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comments2.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05" windowWidth="14175" windowHeight="4620" firstSheet="4" activeTab="8"/>
  </bookViews>
  <sheets>
    <sheet name="1. TH CAC CHI TIEU VON DAU TU" sheetId="9" r:id="rId1"/>
    <sheet name="2. TMDT" sheetId="6" r:id="rId2"/>
    <sheet name="2.1. CP XAY DUNG" sheetId="1" r:id="rId3"/>
    <sheet name="2.2. CP THUE DAT" sheetId="2" r:id="rId4"/>
    <sheet name="2.3. CPQLDA, TV, K" sheetId="3" r:id="rId5"/>
    <sheet name="2.4.CPDP" sheetId="8" r:id="rId6"/>
    <sheet name="NOI SUY 957" sheetId="4" r:id="rId7"/>
    <sheet name="3. TIEN DO THUC HIEN DU AN" sheetId="5" r:id="rId8"/>
    <sheet name="4. KH HUY DONG VON (VAT)" sheetId="7" r:id="rId9"/>
  </sheets>
  <externalReferences>
    <externalReference r:id="rId10"/>
    <externalReference r:id="rId11"/>
  </externalReferences>
  <definedNames>
    <definedName name="_xlnm.Print_Area" localSheetId="0">'1. TH CAC CHI TIEU VON DAU TU'!$A$1:$E$15</definedName>
    <definedName name="_xlnm.Print_Area" localSheetId="1">'2. TMDT'!$A$1:$E$12</definedName>
    <definedName name="_xlnm.Print_Area" localSheetId="2">'2.1. CP XAY DUNG'!$A$1:$H$24</definedName>
    <definedName name="_xlnm.Print_Area" localSheetId="3">'2.2. CP THUE DAT'!$A$1:$I$6</definedName>
    <definedName name="_xlnm.Print_Area" localSheetId="4">'2.3. CPQLDA, TV, K'!$A$1:$G$24</definedName>
    <definedName name="_xlnm.Print_Area" localSheetId="5">'2.4.CPDP'!$A$1:$H$21</definedName>
    <definedName name="_xlnm.Print_Area" localSheetId="7">'3. TIEN DO THUC HIEN DU AN'!$A$1:$T$21</definedName>
    <definedName name="_xlnm.Print_Area" localSheetId="8">'4. KH HUY DONG VON (VAT)'!$A$1:$I$34</definedName>
  </definedNames>
  <calcPr calcId="124519"/>
</workbook>
</file>

<file path=xl/calcChain.xml><?xml version="1.0" encoding="utf-8"?>
<calcChain xmlns="http://schemas.openxmlformats.org/spreadsheetml/2006/main">
  <c r="C11" i="9"/>
  <c r="C12"/>
  <c r="C7"/>
  <c r="D9"/>
  <c r="D10" s="1"/>
  <c r="I17" i="7" l="1"/>
  <c r="H17"/>
  <c r="G17"/>
  <c r="I16"/>
  <c r="H16"/>
  <c r="G16"/>
  <c r="G15"/>
  <c r="F4" i="2"/>
  <c r="D7" i="6"/>
  <c r="D6"/>
  <c r="D5"/>
  <c r="E5"/>
  <c r="C5"/>
  <c r="G12" i="8"/>
  <c r="F8" s="1"/>
  <c r="C37" i="7"/>
  <c r="E21" i="1"/>
  <c r="E21" i="3"/>
  <c r="C22"/>
  <c r="C21"/>
  <c r="C314" i="4"/>
  <c r="C315"/>
  <c r="C316"/>
  <c r="C317"/>
  <c r="C313"/>
  <c r="C311"/>
  <c r="B311"/>
  <c r="G315" s="1"/>
  <c r="B315" s="1"/>
  <c r="C256"/>
  <c r="C257"/>
  <c r="C258"/>
  <c r="C259"/>
  <c r="C255"/>
  <c r="C253"/>
  <c r="B253"/>
  <c r="C216"/>
  <c r="C217"/>
  <c r="C218"/>
  <c r="C219"/>
  <c r="C215"/>
  <c r="C213"/>
  <c r="H216" s="1"/>
  <c r="B213"/>
  <c r="G218" s="1"/>
  <c r="B218" s="1"/>
  <c r="C178"/>
  <c r="C179"/>
  <c r="C180"/>
  <c r="C181"/>
  <c r="C177"/>
  <c r="C175"/>
  <c r="H179" s="1"/>
  <c r="B175"/>
  <c r="G180" s="1"/>
  <c r="B180" s="1"/>
  <c r="C159"/>
  <c r="C160"/>
  <c r="C161"/>
  <c r="C162"/>
  <c r="C158"/>
  <c r="C156"/>
  <c r="H160" s="1"/>
  <c r="B156"/>
  <c r="C112"/>
  <c r="C113"/>
  <c r="C114"/>
  <c r="C115"/>
  <c r="C111"/>
  <c r="C109"/>
  <c r="H113" s="1"/>
  <c r="B115"/>
  <c r="B112"/>
  <c r="B113"/>
  <c r="B114"/>
  <c r="B111"/>
  <c r="B109"/>
  <c r="G113" s="1"/>
  <c r="C54"/>
  <c r="C55"/>
  <c r="C56"/>
  <c r="C57"/>
  <c r="C53"/>
  <c r="C51"/>
  <c r="H55" s="1"/>
  <c r="B51"/>
  <c r="G55" s="1"/>
  <c r="B55" s="1"/>
  <c r="C16"/>
  <c r="C17"/>
  <c r="C18"/>
  <c r="C19"/>
  <c r="C15"/>
  <c r="C13"/>
  <c r="H18" s="1"/>
  <c r="B16"/>
  <c r="B17"/>
  <c r="B18"/>
  <c r="B19"/>
  <c r="B15"/>
  <c r="B13"/>
  <c r="G16" s="1"/>
  <c r="D21" i="1"/>
  <c r="E16"/>
  <c r="E15"/>
  <c r="G54" i="4"/>
  <c r="B54" s="1"/>
  <c r="H19"/>
  <c r="N363"/>
  <c r="N362"/>
  <c r="L361"/>
  <c r="M361" s="1"/>
  <c r="G349"/>
  <c r="D349" s="1"/>
  <c r="F337"/>
  <c r="C337"/>
  <c r="C336"/>
  <c r="C335"/>
  <c r="C334"/>
  <c r="G333"/>
  <c r="B333" s="1"/>
  <c r="D333" s="1"/>
  <c r="C333"/>
  <c r="G331"/>
  <c r="D331" s="1"/>
  <c r="C331"/>
  <c r="H336" s="1"/>
  <c r="B331"/>
  <c r="G337" s="1"/>
  <c r="B337" s="1"/>
  <c r="D337" s="1"/>
  <c r="C327"/>
  <c r="B327"/>
  <c r="C326"/>
  <c r="B326"/>
  <c r="C325"/>
  <c r="B325"/>
  <c r="C324"/>
  <c r="B324"/>
  <c r="C323"/>
  <c r="B323"/>
  <c r="G321"/>
  <c r="D321" s="1"/>
  <c r="C321"/>
  <c r="B321"/>
  <c r="G316"/>
  <c r="B316" s="1"/>
  <c r="H314"/>
  <c r="G292"/>
  <c r="D292" s="1"/>
  <c r="F279"/>
  <c r="C279"/>
  <c r="C278"/>
  <c r="C277"/>
  <c r="C276"/>
  <c r="C275"/>
  <c r="G273"/>
  <c r="D273" s="1"/>
  <c r="C273"/>
  <c r="B273"/>
  <c r="C269"/>
  <c r="B269"/>
  <c r="C268"/>
  <c r="B268"/>
  <c r="C267"/>
  <c r="B267"/>
  <c r="C266"/>
  <c r="B266"/>
  <c r="C265"/>
  <c r="B265"/>
  <c r="G263"/>
  <c r="D263" s="1"/>
  <c r="C263"/>
  <c r="B263"/>
  <c r="G258"/>
  <c r="B258" s="1"/>
  <c r="H257"/>
  <c r="G259"/>
  <c r="B259" s="1"/>
  <c r="F239"/>
  <c r="C239"/>
  <c r="C238"/>
  <c r="C237"/>
  <c r="C236"/>
  <c r="C235"/>
  <c r="G233"/>
  <c r="D233" s="1"/>
  <c r="C233"/>
  <c r="H238" s="1"/>
  <c r="B233"/>
  <c r="G235" s="1"/>
  <c r="B235" s="1"/>
  <c r="C229"/>
  <c r="B229"/>
  <c r="C228"/>
  <c r="B228"/>
  <c r="C227"/>
  <c r="B227"/>
  <c r="C226"/>
  <c r="B226"/>
  <c r="C225"/>
  <c r="B225"/>
  <c r="G223"/>
  <c r="D223" s="1"/>
  <c r="C223"/>
  <c r="B223"/>
  <c r="F201"/>
  <c r="C201"/>
  <c r="C200"/>
  <c r="H199"/>
  <c r="C199"/>
  <c r="C198"/>
  <c r="C197"/>
  <c r="G195"/>
  <c r="D195" s="1"/>
  <c r="C195"/>
  <c r="H200" s="1"/>
  <c r="B195"/>
  <c r="G197" s="1"/>
  <c r="B197" s="1"/>
  <c r="C191"/>
  <c r="B191"/>
  <c r="C190"/>
  <c r="B190"/>
  <c r="C189"/>
  <c r="B189"/>
  <c r="C188"/>
  <c r="B188"/>
  <c r="C187"/>
  <c r="B187"/>
  <c r="G185"/>
  <c r="D185" s="1"/>
  <c r="C185"/>
  <c r="B185"/>
  <c r="H178"/>
  <c r="H159"/>
  <c r="G161"/>
  <c r="B161" s="1"/>
  <c r="G144"/>
  <c r="C144"/>
  <c r="B144"/>
  <c r="G143"/>
  <c r="C143"/>
  <c r="B143"/>
  <c r="G142"/>
  <c r="C142"/>
  <c r="B142"/>
  <c r="G141"/>
  <c r="C141"/>
  <c r="B141"/>
  <c r="G140"/>
  <c r="C140"/>
  <c r="B140"/>
  <c r="G138"/>
  <c r="D138" s="1"/>
  <c r="C138"/>
  <c r="H142" s="1"/>
  <c r="C125"/>
  <c r="B125"/>
  <c r="C124"/>
  <c r="B124"/>
  <c r="C123"/>
  <c r="B123"/>
  <c r="C122"/>
  <c r="B122"/>
  <c r="C121"/>
  <c r="B121"/>
  <c r="G119"/>
  <c r="D119" s="1"/>
  <c r="C119"/>
  <c r="B119"/>
  <c r="D90"/>
  <c r="F90" s="1"/>
  <c r="B90" s="1"/>
  <c r="J71"/>
  <c r="C70" s="1"/>
  <c r="J70"/>
  <c r="B70" s="1"/>
  <c r="D70"/>
  <c r="F39"/>
  <c r="C39"/>
  <c r="C38"/>
  <c r="H37"/>
  <c r="G37"/>
  <c r="B37" s="1"/>
  <c r="C37"/>
  <c r="H36"/>
  <c r="C36"/>
  <c r="C35"/>
  <c r="G33"/>
  <c r="D33" s="1"/>
  <c r="C33"/>
  <c r="H38" s="1"/>
  <c r="B33"/>
  <c r="G38" s="1"/>
  <c r="B38" s="1"/>
  <c r="C29"/>
  <c r="B29"/>
  <c r="H39" s="1"/>
  <c r="C28"/>
  <c r="B28"/>
  <c r="C27"/>
  <c r="B27"/>
  <c r="C26"/>
  <c r="B26"/>
  <c r="D26" s="1"/>
  <c r="C25"/>
  <c r="B25"/>
  <c r="H35" s="1"/>
  <c r="G23"/>
  <c r="D23" s="1"/>
  <c r="C23"/>
  <c r="B23"/>
  <c r="G17"/>
  <c r="F11" i="3"/>
  <c r="G11" s="1"/>
  <c r="F8"/>
  <c r="G8" s="1"/>
  <c r="F7"/>
  <c r="G7" s="1"/>
  <c r="D7" i="7" s="1"/>
  <c r="F5" i="2"/>
  <c r="C6" i="6" s="1"/>
  <c r="D326" i="4" l="1"/>
  <c r="D197"/>
  <c r="D324"/>
  <c r="D235"/>
  <c r="D325"/>
  <c r="D8" i="8"/>
  <c r="C8"/>
  <c r="H8"/>
  <c r="G8"/>
  <c r="E8"/>
  <c r="C15" i="7"/>
  <c r="C16"/>
  <c r="C7"/>
  <c r="F21" i="3"/>
  <c r="G21" s="1"/>
  <c r="H217" i="4"/>
  <c r="H115"/>
  <c r="H57"/>
  <c r="H54"/>
  <c r="H112"/>
  <c r="H56"/>
  <c r="H53"/>
  <c r="H17"/>
  <c r="H15"/>
  <c r="H16"/>
  <c r="G76"/>
  <c r="B76" s="1"/>
  <c r="G72"/>
  <c r="B72" s="1"/>
  <c r="G73"/>
  <c r="B73" s="1"/>
  <c r="G74"/>
  <c r="B74" s="1"/>
  <c r="G75"/>
  <c r="B75" s="1"/>
  <c r="F186"/>
  <c r="F185"/>
  <c r="G94"/>
  <c r="B94" s="1"/>
  <c r="G93"/>
  <c r="B93" s="1"/>
  <c r="G95"/>
  <c r="B95" s="1"/>
  <c r="G96"/>
  <c r="B96" s="1"/>
  <c r="G92"/>
  <c r="B92" s="1"/>
  <c r="F264"/>
  <c r="F263"/>
  <c r="F293"/>
  <c r="C292" s="1"/>
  <c r="F292"/>
  <c r="B292" s="1"/>
  <c r="F332"/>
  <c r="F331"/>
  <c r="F350"/>
  <c r="C349" s="1"/>
  <c r="F349"/>
  <c r="B349" s="1"/>
  <c r="H75"/>
  <c r="C75" s="1"/>
  <c r="H74"/>
  <c r="C74" s="1"/>
  <c r="H76"/>
  <c r="C76" s="1"/>
  <c r="H72"/>
  <c r="C72" s="1"/>
  <c r="H73"/>
  <c r="C73" s="1"/>
  <c r="F196"/>
  <c r="F195"/>
  <c r="F234"/>
  <c r="F233"/>
  <c r="F322"/>
  <c r="F321"/>
  <c r="D38"/>
  <c r="D121"/>
  <c r="D144"/>
  <c r="D191"/>
  <c r="D229"/>
  <c r="D25"/>
  <c r="F25" s="1"/>
  <c r="D37"/>
  <c r="D123"/>
  <c r="F123" s="1"/>
  <c r="D125"/>
  <c r="D141"/>
  <c r="D189"/>
  <c r="D227"/>
  <c r="D269"/>
  <c r="D266"/>
  <c r="G278"/>
  <c r="B278" s="1"/>
  <c r="D278" s="1"/>
  <c r="F34"/>
  <c r="F33"/>
  <c r="F120"/>
  <c r="D124"/>
  <c r="F119"/>
  <c r="F139"/>
  <c r="D143"/>
  <c r="D140"/>
  <c r="F138"/>
  <c r="F224"/>
  <c r="F223"/>
  <c r="F23"/>
  <c r="F24"/>
  <c r="D27"/>
  <c r="F274"/>
  <c r="F273"/>
  <c r="D28"/>
  <c r="D122"/>
  <c r="D142"/>
  <c r="F142" s="1"/>
  <c r="D188"/>
  <c r="D226"/>
  <c r="D267"/>
  <c r="H237"/>
  <c r="G238"/>
  <c r="B238" s="1"/>
  <c r="D238" s="1"/>
  <c r="H256"/>
  <c r="G257"/>
  <c r="B257" s="1"/>
  <c r="H277" s="1"/>
  <c r="D265"/>
  <c r="F265" s="1"/>
  <c r="D268"/>
  <c r="H111"/>
  <c r="G112"/>
  <c r="H114"/>
  <c r="G115"/>
  <c r="H141"/>
  <c r="H144"/>
  <c r="H158"/>
  <c r="G159"/>
  <c r="B159" s="1"/>
  <c r="H162"/>
  <c r="H177"/>
  <c r="G178"/>
  <c r="B178" s="1"/>
  <c r="H181"/>
  <c r="H198"/>
  <c r="G199"/>
  <c r="B199" s="1"/>
  <c r="D199" s="1"/>
  <c r="H201"/>
  <c r="H215"/>
  <c r="G216"/>
  <c r="B216" s="1"/>
  <c r="H219"/>
  <c r="H236"/>
  <c r="G237"/>
  <c r="B237" s="1"/>
  <c r="D237" s="1"/>
  <c r="H239"/>
  <c r="H255"/>
  <c r="G256"/>
  <c r="B256" s="1"/>
  <c r="H259"/>
  <c r="H279"/>
  <c r="H313"/>
  <c r="G314"/>
  <c r="B314" s="1"/>
  <c r="H317"/>
  <c r="H334"/>
  <c r="G335"/>
  <c r="B335" s="1"/>
  <c r="D335" s="1"/>
  <c r="H337"/>
  <c r="G160"/>
  <c r="B160" s="1"/>
  <c r="G179"/>
  <c r="B179" s="1"/>
  <c r="D187"/>
  <c r="F187" s="1"/>
  <c r="D190"/>
  <c r="G200"/>
  <c r="B200" s="1"/>
  <c r="D200" s="1"/>
  <c r="G217"/>
  <c r="B217" s="1"/>
  <c r="D225"/>
  <c r="F225" s="1"/>
  <c r="D228"/>
  <c r="H335"/>
  <c r="G336"/>
  <c r="B336" s="1"/>
  <c r="D336" s="1"/>
  <c r="G15"/>
  <c r="G19"/>
  <c r="G36"/>
  <c r="B36" s="1"/>
  <c r="D36" s="1"/>
  <c r="G39"/>
  <c r="B39" s="1"/>
  <c r="D39" s="1"/>
  <c r="G53"/>
  <c r="B53" s="1"/>
  <c r="G57"/>
  <c r="B57" s="1"/>
  <c r="F91"/>
  <c r="C90" s="1"/>
  <c r="G18"/>
  <c r="D29"/>
  <c r="G35"/>
  <c r="G56"/>
  <c r="B56" s="1"/>
  <c r="G111"/>
  <c r="G114"/>
  <c r="H140"/>
  <c r="H143"/>
  <c r="G158"/>
  <c r="B158" s="1"/>
  <c r="H161"/>
  <c r="G162"/>
  <c r="B162" s="1"/>
  <c r="G177"/>
  <c r="B177" s="1"/>
  <c r="H180"/>
  <c r="G181"/>
  <c r="B181" s="1"/>
  <c r="H197"/>
  <c r="G198"/>
  <c r="B198" s="1"/>
  <c r="D198" s="1"/>
  <c r="G201"/>
  <c r="B201" s="1"/>
  <c r="D201" s="1"/>
  <c r="G215"/>
  <c r="B215" s="1"/>
  <c r="H218"/>
  <c r="G219"/>
  <c r="B219" s="1"/>
  <c r="H235"/>
  <c r="G236"/>
  <c r="B236" s="1"/>
  <c r="D236" s="1"/>
  <c r="G239"/>
  <c r="B239" s="1"/>
  <c r="D239" s="1"/>
  <c r="G255"/>
  <c r="B255" s="1"/>
  <c r="H275" s="1"/>
  <c r="H258"/>
  <c r="G279"/>
  <c r="B279" s="1"/>
  <c r="D279" s="1"/>
  <c r="G313"/>
  <c r="B313" s="1"/>
  <c r="H316"/>
  <c r="G317"/>
  <c r="B317" s="1"/>
  <c r="H333"/>
  <c r="G334"/>
  <c r="B334" s="1"/>
  <c r="D334" s="1"/>
  <c r="H278"/>
  <c r="H315"/>
  <c r="D327"/>
  <c r="D323"/>
  <c r="F323" s="1"/>
  <c r="D76" l="1"/>
  <c r="D96"/>
  <c r="D73"/>
  <c r="D94"/>
  <c r="D74"/>
  <c r="G275"/>
  <c r="B275" s="1"/>
  <c r="D275" s="1"/>
  <c r="H93"/>
  <c r="C93" s="1"/>
  <c r="D93" s="1"/>
  <c r="H94"/>
  <c r="C94" s="1"/>
  <c r="H95"/>
  <c r="C95" s="1"/>
  <c r="H96"/>
  <c r="C96" s="1"/>
  <c r="H92"/>
  <c r="C92" s="1"/>
  <c r="D92" s="1"/>
  <c r="H353"/>
  <c r="C353" s="1"/>
  <c r="H354"/>
  <c r="C354" s="1"/>
  <c r="H352"/>
  <c r="C352" s="1"/>
  <c r="H355"/>
  <c r="C355" s="1"/>
  <c r="H351"/>
  <c r="C351" s="1"/>
  <c r="H295"/>
  <c r="C295" s="1"/>
  <c r="H296"/>
  <c r="C296" s="1"/>
  <c r="H297"/>
  <c r="C297" s="1"/>
  <c r="H298"/>
  <c r="C298" s="1"/>
  <c r="H294"/>
  <c r="C294" s="1"/>
  <c r="H276"/>
  <c r="D75"/>
  <c r="G354"/>
  <c r="B354" s="1"/>
  <c r="G355"/>
  <c r="B355" s="1"/>
  <c r="G351"/>
  <c r="B351" s="1"/>
  <c r="D351" s="1"/>
  <c r="F351" s="1"/>
  <c r="G353"/>
  <c r="B353" s="1"/>
  <c r="D353" s="1"/>
  <c r="G352"/>
  <c r="B352" s="1"/>
  <c r="G296"/>
  <c r="B296" s="1"/>
  <c r="G297"/>
  <c r="B297" s="1"/>
  <c r="G298"/>
  <c r="B298" s="1"/>
  <c r="D298" s="1"/>
  <c r="G294"/>
  <c r="B294" s="1"/>
  <c r="G295"/>
  <c r="B295" s="1"/>
  <c r="D295" s="1"/>
  <c r="G276"/>
  <c r="B276" s="1"/>
  <c r="D276" s="1"/>
  <c r="G277"/>
  <c r="B277" s="1"/>
  <c r="D277" s="1"/>
  <c r="D95"/>
  <c r="D72"/>
  <c r="H4" i="2"/>
  <c r="D297" i="4" l="1"/>
  <c r="D294"/>
  <c r="F294" s="1"/>
  <c r="D354"/>
  <c r="H5" i="2"/>
  <c r="E6" i="6" s="1"/>
  <c r="E24" i="7"/>
  <c r="F24"/>
  <c r="D352" i="4"/>
  <c r="D296"/>
  <c r="D355"/>
  <c r="C24" i="7" l="1"/>
  <c r="E17" i="1"/>
  <c r="E14"/>
  <c r="H5"/>
  <c r="G10"/>
  <c r="F7"/>
  <c r="G7" s="1"/>
  <c r="F8"/>
  <c r="G8" s="1"/>
  <c r="F9"/>
  <c r="G9" s="1"/>
  <c r="F10"/>
  <c r="F11"/>
  <c r="G11" s="1"/>
  <c r="F12"/>
  <c r="G12" s="1"/>
  <c r="F6"/>
  <c r="G6" s="1"/>
  <c r="E23"/>
  <c r="F23" s="1"/>
  <c r="F17"/>
  <c r="F14"/>
  <c r="E22"/>
  <c r="F22" s="1"/>
  <c r="G22" s="1"/>
  <c r="E19"/>
  <c r="F19" s="1"/>
  <c r="G19" s="1"/>
  <c r="D18"/>
  <c r="D16"/>
  <c r="D15"/>
  <c r="G5" l="1"/>
  <c r="F5"/>
  <c r="E7"/>
  <c r="F21"/>
  <c r="F20" s="1"/>
  <c r="F15"/>
  <c r="G15" s="1"/>
  <c r="G23"/>
  <c r="H23" s="1"/>
  <c r="H22"/>
  <c r="H19"/>
  <c r="F16"/>
  <c r="G17"/>
  <c r="H17" s="1"/>
  <c r="E18"/>
  <c r="F18" s="1"/>
  <c r="G14"/>
  <c r="F13" l="1"/>
  <c r="F24" s="1"/>
  <c r="G21"/>
  <c r="H21" s="1"/>
  <c r="H20" s="1"/>
  <c r="H15"/>
  <c r="H14"/>
  <c r="G20"/>
  <c r="G16"/>
  <c r="H16" s="1"/>
  <c r="H18"/>
  <c r="G18"/>
  <c r="E20" i="3" l="1"/>
  <c r="E23" s="1"/>
  <c r="G13" i="4"/>
  <c r="D13" s="1"/>
  <c r="E22" i="3"/>
  <c r="G24" i="1"/>
  <c r="H24" s="1"/>
  <c r="H13"/>
  <c r="G13"/>
  <c r="G20" i="3" l="1"/>
  <c r="F23" i="7" s="1"/>
  <c r="C23" s="1"/>
  <c r="F20" i="3"/>
  <c r="G51" i="4"/>
  <c r="D51" s="1"/>
  <c r="G213"/>
  <c r="G109"/>
  <c r="D109" s="1"/>
  <c r="D111" s="1"/>
  <c r="G175"/>
  <c r="D175" s="1"/>
  <c r="F22" i="3"/>
  <c r="G22" s="1"/>
  <c r="I20" i="7" s="1"/>
  <c r="C20" s="1"/>
  <c r="C17"/>
  <c r="G156" i="4"/>
  <c r="D156" s="1"/>
  <c r="D113"/>
  <c r="F113" s="1"/>
  <c r="C12" i="3" s="1"/>
  <c r="E12" s="1"/>
  <c r="F110" i="4"/>
  <c r="D15"/>
  <c r="D18"/>
  <c r="F13"/>
  <c r="D17"/>
  <c r="D16"/>
  <c r="F16" s="1"/>
  <c r="C5" i="3" s="1"/>
  <c r="E5" s="1"/>
  <c r="C7" i="6" s="1"/>
  <c r="D19" i="4"/>
  <c r="F14"/>
  <c r="D114" l="1"/>
  <c r="F109"/>
  <c r="D115"/>
  <c r="D112"/>
  <c r="D213"/>
  <c r="G253"/>
  <c r="G5" i="3"/>
  <c r="E7" i="6" s="1"/>
  <c r="F176" i="4"/>
  <c r="F175"/>
  <c r="D180"/>
  <c r="D178"/>
  <c r="F178" s="1"/>
  <c r="C13" i="3" s="1"/>
  <c r="E13" s="1"/>
  <c r="D179" i="4"/>
  <c r="D177"/>
  <c r="D181"/>
  <c r="E19" i="3"/>
  <c r="F23"/>
  <c r="G23" s="1"/>
  <c r="F12"/>
  <c r="G12" s="1"/>
  <c r="E11" i="7" s="1"/>
  <c r="C11" s="1"/>
  <c r="F156" i="4"/>
  <c r="F157"/>
  <c r="D161"/>
  <c r="D158"/>
  <c r="D160"/>
  <c r="D162"/>
  <c r="D159"/>
  <c r="F159" s="1"/>
  <c r="C10" i="3" s="1"/>
  <c r="E10" s="1"/>
  <c r="F10" s="1"/>
  <c r="G10" s="1"/>
  <c r="E9" i="7" s="1"/>
  <c r="G125" i="4"/>
  <c r="H122"/>
  <c r="G121"/>
  <c r="H121"/>
  <c r="G123"/>
  <c r="H124"/>
  <c r="H123"/>
  <c r="H125"/>
  <c r="G124"/>
  <c r="G122"/>
  <c r="F52"/>
  <c r="D54"/>
  <c r="F54" s="1"/>
  <c r="C9" i="3" s="1"/>
  <c r="E9" s="1"/>
  <c r="E18" s="1"/>
  <c r="D55" i="4"/>
  <c r="F51"/>
  <c r="D53"/>
  <c r="F53" s="1"/>
  <c r="D56"/>
  <c r="D57"/>
  <c r="H27"/>
  <c r="G25"/>
  <c r="G28"/>
  <c r="H29"/>
  <c r="G27"/>
  <c r="H26"/>
  <c r="G26"/>
  <c r="H25"/>
  <c r="B35" s="1"/>
  <c r="D35" s="1"/>
  <c r="G29"/>
  <c r="H28"/>
  <c r="F19" i="3" l="1"/>
  <c r="D9" i="6" s="1"/>
  <c r="C9"/>
  <c r="G19" i="3"/>
  <c r="E9" i="6" s="1"/>
  <c r="F13" i="3"/>
  <c r="G13" s="1"/>
  <c r="F9"/>
  <c r="C9" i="7"/>
  <c r="F214" i="4"/>
  <c r="F213"/>
  <c r="D218"/>
  <c r="D219"/>
  <c r="D215"/>
  <c r="F215" s="1"/>
  <c r="D216"/>
  <c r="F216" s="1"/>
  <c r="C14" i="3" s="1"/>
  <c r="E14" s="1"/>
  <c r="D217" i="4"/>
  <c r="G311"/>
  <c r="D311" s="1"/>
  <c r="D253"/>
  <c r="H188"/>
  <c r="G188"/>
  <c r="G187"/>
  <c r="G191"/>
  <c r="H187"/>
  <c r="H190"/>
  <c r="H191"/>
  <c r="G190"/>
  <c r="G189"/>
  <c r="H189"/>
  <c r="F14" i="3" l="1"/>
  <c r="G14" s="1"/>
  <c r="F12" i="7" s="1"/>
  <c r="G9" i="3"/>
  <c r="D8" i="7" s="1"/>
  <c r="D316" i="4"/>
  <c r="D317"/>
  <c r="D315"/>
  <c r="F311"/>
  <c r="F312"/>
  <c r="D313"/>
  <c r="F313" s="1"/>
  <c r="D314"/>
  <c r="F314" s="1"/>
  <c r="C16" i="3" s="1"/>
  <c r="E16" s="1"/>
  <c r="D257" i="4"/>
  <c r="F253"/>
  <c r="D258"/>
  <c r="D256"/>
  <c r="F256" s="1"/>
  <c r="C15" i="3" s="1"/>
  <c r="E15" s="1"/>
  <c r="F254" i="4"/>
  <c r="D259"/>
  <c r="D255"/>
  <c r="F255" s="1"/>
  <c r="H226"/>
  <c r="H227"/>
  <c r="G225"/>
  <c r="H229"/>
  <c r="G227"/>
  <c r="H228"/>
  <c r="G226"/>
  <c r="G228"/>
  <c r="G229"/>
  <c r="H225"/>
  <c r="F18" i="3"/>
  <c r="G18" s="1"/>
  <c r="C12" i="7" l="1"/>
  <c r="H269" i="4"/>
  <c r="H268"/>
  <c r="G265"/>
  <c r="H267"/>
  <c r="H265"/>
  <c r="G269"/>
  <c r="H266"/>
  <c r="G266"/>
  <c r="G268"/>
  <c r="G267"/>
  <c r="H324"/>
  <c r="H325"/>
  <c r="G325"/>
  <c r="G327"/>
  <c r="H327"/>
  <c r="G326"/>
  <c r="G323"/>
  <c r="H326"/>
  <c r="H323"/>
  <c r="G324"/>
  <c r="F15" i="3"/>
  <c r="G15" s="1"/>
  <c r="F13" i="7" s="1"/>
  <c r="C13" s="1"/>
  <c r="E17" i="3"/>
  <c r="F16"/>
  <c r="G16" s="1"/>
  <c r="C8" i="7"/>
  <c r="I18" l="1"/>
  <c r="H18"/>
  <c r="G18"/>
  <c r="F17" i="3"/>
  <c r="G17" s="1"/>
  <c r="I19" i="7" s="1"/>
  <c r="E6" i="3"/>
  <c r="C18" i="7" l="1"/>
  <c r="G6" i="3"/>
  <c r="E24"/>
  <c r="C8" i="6"/>
  <c r="F6" i="3"/>
  <c r="G24" l="1"/>
  <c r="E8" i="6"/>
  <c r="C19" i="7"/>
  <c r="F24" i="3"/>
  <c r="D8" i="6"/>
  <c r="I21" i="7" l="1"/>
  <c r="E21"/>
  <c r="F21"/>
  <c r="G21"/>
  <c r="D21"/>
  <c r="H21"/>
  <c r="F22" l="1"/>
  <c r="F26" s="1"/>
  <c r="C21"/>
  <c r="H22" s="1"/>
  <c r="E22" l="1"/>
  <c r="E26" s="1"/>
  <c r="D19" i="8" s="1"/>
  <c r="G22" i="7"/>
  <c r="G26" s="1"/>
  <c r="F7" i="8" s="1"/>
  <c r="F9" s="1"/>
  <c r="F20" s="1"/>
  <c r="G27" i="7" s="1"/>
  <c r="D22"/>
  <c r="D26" s="1"/>
  <c r="C7" i="8" s="1"/>
  <c r="C9" s="1"/>
  <c r="I22" i="7"/>
  <c r="I26" s="1"/>
  <c r="H7" i="8" s="1"/>
  <c r="H9" s="1"/>
  <c r="H20" s="1"/>
  <c r="I27" i="7" s="1"/>
  <c r="E19" i="8"/>
  <c r="E7"/>
  <c r="E9" s="1"/>
  <c r="E20" s="1"/>
  <c r="F27" i="7" s="1"/>
  <c r="F25" s="1"/>
  <c r="F5" s="1"/>
  <c r="F29" s="1"/>
  <c r="F30" s="1"/>
  <c r="F28" s="1"/>
  <c r="H26"/>
  <c r="G7" i="8" s="1"/>
  <c r="G9" s="1"/>
  <c r="G20" s="1"/>
  <c r="H27" i="7" s="1"/>
  <c r="C22" l="1"/>
  <c r="E21" i="8"/>
  <c r="C10"/>
  <c r="C20"/>
  <c r="D27" i="7" s="1"/>
  <c r="D25" s="1"/>
  <c r="D5" s="1"/>
  <c r="D29" s="1"/>
  <c r="G19" i="8"/>
  <c r="G21" s="1"/>
  <c r="H25" i="7"/>
  <c r="H5" s="1"/>
  <c r="H19" i="8"/>
  <c r="H21" s="1"/>
  <c r="I25" i="7"/>
  <c r="I5" s="1"/>
  <c r="D7" i="8"/>
  <c r="D9" s="1"/>
  <c r="D20" s="1"/>
  <c r="C26" i="7"/>
  <c r="C19" i="8"/>
  <c r="F19"/>
  <c r="F21" s="1"/>
  <c r="G25" i="7"/>
  <c r="G5" s="1"/>
  <c r="G29" l="1"/>
  <c r="D30"/>
  <c r="D32" s="1"/>
  <c r="D33" s="1"/>
  <c r="D34" s="1"/>
  <c r="I29"/>
  <c r="D10" i="8"/>
  <c r="E10" s="1"/>
  <c r="F10" s="1"/>
  <c r="G10" s="1"/>
  <c r="H10" s="1"/>
  <c r="C21"/>
  <c r="E27" i="7"/>
  <c r="E25" s="1"/>
  <c r="E5" s="1"/>
  <c r="D21" i="8"/>
  <c r="H29" i="7"/>
  <c r="E11" i="6" l="1"/>
  <c r="C11" s="1"/>
  <c r="D11" s="1"/>
  <c r="D12" s="1"/>
  <c r="E29" i="7"/>
  <c r="C27"/>
  <c r="C25" s="1"/>
  <c r="C5" s="1"/>
  <c r="D28"/>
  <c r="H30"/>
  <c r="H28" s="1"/>
  <c r="I30"/>
  <c r="I28" s="1"/>
  <c r="G30"/>
  <c r="G28" s="1"/>
  <c r="C29" l="1"/>
  <c r="C9" i="9" s="1"/>
  <c r="E30" i="7"/>
  <c r="E28" s="1"/>
  <c r="B29" l="1"/>
  <c r="C14" i="9" s="1"/>
  <c r="C30" i="7"/>
  <c r="E32"/>
  <c r="B30" l="1"/>
  <c r="C15" i="9" s="1"/>
  <c r="C10"/>
  <c r="C28" i="7"/>
  <c r="E33"/>
  <c r="E34" s="1"/>
  <c r="F32"/>
  <c r="G32" l="1"/>
  <c r="F33"/>
  <c r="F34" s="1"/>
  <c r="H32" l="1"/>
  <c r="G33"/>
  <c r="G34" s="1"/>
  <c r="I32" l="1"/>
  <c r="I33" s="1"/>
  <c r="H33"/>
  <c r="H34" s="1"/>
  <c r="I34" l="1"/>
  <c r="C10" i="6" s="1"/>
  <c r="C12" s="1"/>
  <c r="E10" l="1"/>
  <c r="G10"/>
  <c r="G8"/>
  <c r="G9"/>
  <c r="G12"/>
  <c r="G11"/>
  <c r="G7"/>
  <c r="G6"/>
  <c r="G5"/>
  <c r="E12" l="1"/>
  <c r="C13" i="9"/>
  <c r="H7" i="6"/>
  <c r="C6" i="9" l="1"/>
  <c r="C5"/>
</calcChain>
</file>

<file path=xl/comments1.xml><?xml version="1.0" encoding="utf-8"?>
<comments xmlns="http://schemas.openxmlformats.org/spreadsheetml/2006/main">
  <authors>
    <author>Admin</author>
  </authors>
  <commentList>
    <comment ref="E14" authorId="0">
      <text>
        <r>
          <rPr>
            <b/>
            <sz val="9"/>
            <color indexed="81"/>
            <rFont val="Tahoma"/>
          </rPr>
          <t>Đơn giá lấy theo công trình tương tự.</t>
        </r>
      </text>
    </comment>
  </commentList>
</comments>
</file>

<file path=xl/comments2.xml><?xml version="1.0" encoding="utf-8"?>
<comments xmlns="http://schemas.openxmlformats.org/spreadsheetml/2006/main">
  <authors>
    <author>Admin</author>
  </authors>
  <commentList>
    <comment ref="E5" authorId="0">
      <text>
        <r>
          <rPr>
            <b/>
            <sz val="9"/>
            <color indexed="81"/>
            <rFont val="Tahoma"/>
            <family val="2"/>
          </rPr>
          <t>Admin:</t>
        </r>
        <r>
          <rPr>
            <sz val="9"/>
            <color indexed="81"/>
            <rFont val="Tahoma"/>
            <family val="2"/>
          </rPr>
          <t xml:space="preserve">
Chủ đầu tư tự lập ban quản lý dự án
</t>
        </r>
      </text>
    </comment>
  </commentList>
</comments>
</file>

<file path=xl/sharedStrings.xml><?xml version="1.0" encoding="utf-8"?>
<sst xmlns="http://schemas.openxmlformats.org/spreadsheetml/2006/main" count="765" uniqueCount="261">
  <si>
    <t>STT</t>
  </si>
  <si>
    <t>Nội dung</t>
  </si>
  <si>
    <t>Đơn vị</t>
  </si>
  <si>
    <t>Khối lượng</t>
  </si>
  <si>
    <t>Đơn giá</t>
  </si>
  <si>
    <t>Chi phí
trước thuế</t>
  </si>
  <si>
    <t>Thuế VAT</t>
  </si>
  <si>
    <t>Chi phí 
sau thuế</t>
  </si>
  <si>
    <t>(1)</t>
  </si>
  <si>
    <t>(2)</t>
  </si>
  <si>
    <t>(3)</t>
  </si>
  <si>
    <t>(4)</t>
  </si>
  <si>
    <t>(5)</t>
  </si>
  <si>
    <t>(6)=(4) x(5)</t>
  </si>
  <si>
    <t>(7)=10% x(6)</t>
  </si>
  <si>
    <t>(8)=(6)+(7)</t>
  </si>
  <si>
    <t>Khu điều hành</t>
  </si>
  <si>
    <t>Nhà làm việc</t>
  </si>
  <si>
    <t>Nhà để xe</t>
  </si>
  <si>
    <t>Nhà bảo vệ</t>
  </si>
  <si>
    <t>Nhà ở chuyên gia</t>
  </si>
  <si>
    <t>Nhà vệ sinh</t>
  </si>
  <si>
    <t>m2</t>
  </si>
  <si>
    <t>Khu sản xuất</t>
  </si>
  <si>
    <t>Nhà sản xuất
(2 tầng)</t>
  </si>
  <si>
    <t>Kho thép tiền chế</t>
  </si>
  <si>
    <t>Phần hạ tầng</t>
  </si>
  <si>
    <t>San nền</t>
  </si>
  <si>
    <t>Cấp nước</t>
  </si>
  <si>
    <t>Thoát nước thải</t>
  </si>
  <si>
    <t>Thoát nước mưa</t>
  </si>
  <si>
    <t>Điện hạ thế</t>
  </si>
  <si>
    <t>Điện chiếu sáng</t>
  </si>
  <si>
    <t>I</t>
  </si>
  <si>
    <t>II</t>
  </si>
  <si>
    <t>III</t>
  </si>
  <si>
    <t>Tổng cộng</t>
  </si>
  <si>
    <t>ĐVT: 1000Đ</t>
  </si>
  <si>
    <t>TT</t>
  </si>
  <si>
    <t>Chi phí 
trước thuế</t>
  </si>
  <si>
    <t>Chi phí
sau thuế</t>
  </si>
  <si>
    <t>Ghi chú</t>
  </si>
  <si>
    <t>Nộp tiền sử dụng đất</t>
  </si>
  <si>
    <t>Tạm tính</t>
  </si>
  <si>
    <t>Tổng</t>
  </si>
  <si>
    <t>Loại chi phí</t>
  </si>
  <si>
    <t xml:space="preserve">Hệ số k
(%)
</t>
  </si>
  <si>
    <t>Công thức 
xác định</t>
  </si>
  <si>
    <t>Giá trị 
thuế VAT</t>
  </si>
  <si>
    <t>(7)</t>
  </si>
  <si>
    <t>(8)</t>
  </si>
  <si>
    <t>Chi phí tư vấn</t>
  </si>
  <si>
    <t>Chi phí khảo sát địa hình phục vụ TKCS</t>
  </si>
  <si>
    <t>Chi phí lập Quy hoạch tổng mặt bằng tỷ lệ 1/500</t>
  </si>
  <si>
    <t>Chi phí lập dự án đầu tư (bao gồm thiết kế cơ sở &amp; thuyết minh dự án).</t>
  </si>
  <si>
    <r>
      <t>k</t>
    </r>
    <r>
      <rPr>
        <vertAlign val="subscript"/>
        <sz val="13"/>
        <color theme="1"/>
        <rFont val="Times New Roman"/>
        <family val="1"/>
      </rPr>
      <t>1</t>
    </r>
    <r>
      <rPr>
        <sz val="13"/>
        <color indexed="8"/>
        <rFont val="Times New Roman"/>
        <family val="1"/>
        <charset val="163"/>
      </rPr>
      <t>x(G</t>
    </r>
    <r>
      <rPr>
        <vertAlign val="subscript"/>
        <sz val="13"/>
        <color indexed="8"/>
        <rFont val="Times New Roman"/>
        <family val="1"/>
        <charset val="163"/>
      </rPr>
      <t>XD</t>
    </r>
    <r>
      <rPr>
        <sz val="13"/>
        <color indexed="8"/>
        <rFont val="Times New Roman"/>
        <family val="1"/>
        <charset val="163"/>
      </rPr>
      <t>+G</t>
    </r>
    <r>
      <rPr>
        <vertAlign val="subscript"/>
        <sz val="13"/>
        <color indexed="8"/>
        <rFont val="Times New Roman"/>
        <family val="1"/>
        <charset val="163"/>
      </rPr>
      <t>TB</t>
    </r>
    <r>
      <rPr>
        <sz val="13"/>
        <color indexed="8"/>
        <rFont val="Times New Roman"/>
        <family val="1"/>
        <charset val="163"/>
      </rPr>
      <t>)</t>
    </r>
  </si>
  <si>
    <t xml:space="preserve">Chi  phí thẩm tra tính hiệu quả của dự án </t>
  </si>
  <si>
    <r>
      <t>k</t>
    </r>
    <r>
      <rPr>
        <vertAlign val="subscript"/>
        <sz val="13"/>
        <color theme="1"/>
        <rFont val="Times New Roman"/>
        <family val="1"/>
      </rPr>
      <t>2</t>
    </r>
    <r>
      <rPr>
        <sz val="13"/>
        <color indexed="8"/>
        <rFont val="Times New Roman"/>
        <family val="1"/>
        <charset val="163"/>
      </rPr>
      <t>x(G</t>
    </r>
    <r>
      <rPr>
        <vertAlign val="subscript"/>
        <sz val="13"/>
        <color indexed="8"/>
        <rFont val="Times New Roman"/>
        <family val="1"/>
        <charset val="163"/>
      </rPr>
      <t>XD</t>
    </r>
    <r>
      <rPr>
        <sz val="13"/>
        <color indexed="8"/>
        <rFont val="Times New Roman"/>
        <family val="1"/>
        <charset val="163"/>
      </rPr>
      <t>+G</t>
    </r>
    <r>
      <rPr>
        <vertAlign val="subscript"/>
        <sz val="13"/>
        <color indexed="8"/>
        <rFont val="Times New Roman"/>
        <family val="1"/>
        <charset val="163"/>
      </rPr>
      <t>TB</t>
    </r>
    <r>
      <rPr>
        <sz val="13"/>
        <color indexed="8"/>
        <rFont val="Times New Roman"/>
        <family val="1"/>
        <charset val="163"/>
      </rPr>
      <t>)</t>
    </r>
  </si>
  <si>
    <t>Chi phí khảo sát địa chất phục vụ thiết kế thi công.</t>
  </si>
  <si>
    <t>Chi phí tư vấn khác</t>
  </si>
  <si>
    <t>Chi phí khác</t>
  </si>
  <si>
    <t>Chi phí bảo hiểm công trình</t>
  </si>
  <si>
    <t>Chi phí kiểm toán</t>
  </si>
  <si>
    <t>Chi phí thẩm tra phê duyệt quyết toán</t>
  </si>
  <si>
    <t>Chi phí QLDA</t>
  </si>
  <si>
    <t>Chi phí lập hồ sơ mời thầu và đánh giá hồ sơ dự thầu thi công xây dựng</t>
  </si>
  <si>
    <t>Chi phí giám sát thi công xây dựng</t>
  </si>
  <si>
    <t>Chi phí thẩm tra thiết kế bản vẽ thi công</t>
  </si>
  <si>
    <t>Chi phí kiểm tra, chứng nhận sự phù hợp chất lượng công trình</t>
  </si>
  <si>
    <t>BẢNG TÍNH CHI PHÍ KHÁC</t>
  </si>
  <si>
    <t>I. ĐỊNH MỨC CHI PHÍ QUẢN LÝ DỰ ÁN:</t>
  </si>
  <si>
    <t>Loại công trình</t>
  </si>
  <si>
    <t>Chi phí xây dựng và thiết bị (chưa có VAT) (tỷ đồng)</t>
  </si>
  <si>
    <t>&lt;=10</t>
  </si>
  <si>
    <t>Công trình dân dụng</t>
  </si>
  <si>
    <t>Công trình công nghiệp</t>
  </si>
  <si>
    <t>Công trình giao thông</t>
  </si>
  <si>
    <t>Công trình thuỷ lợi</t>
  </si>
  <si>
    <t>Công trình hạ tầng</t>
  </si>
  <si>
    <t>Nội suy định mức</t>
  </si>
  <si>
    <t>Cận dưới</t>
  </si>
  <si>
    <t>Cận trên</t>
  </si>
  <si>
    <t>Giá trị trước thuế</t>
  </si>
  <si>
    <t>Giá trị phê duyệt</t>
  </si>
  <si>
    <t>Chi phí xây dựng + TB</t>
  </si>
  <si>
    <t>Tỷ lệ sau nội suy</t>
  </si>
  <si>
    <t>Nhập giá trị cần tính vào ô trên</t>
  </si>
  <si>
    <t>Chi phí XD + TB</t>
  </si>
  <si>
    <t>II. Định mức chi phí lập dự án:</t>
  </si>
  <si>
    <t>Chi phí XD và TB trong TMĐT được duyệt (chưa có thuế VAT) (tỷ đồng)</t>
  </si>
  <si>
    <t>&lt;= 15</t>
  </si>
  <si>
    <t>III. Định mức chi phí lập báo cáo kinh tế - kỹ thuật</t>
  </si>
  <si>
    <t>Loại công trính</t>
  </si>
  <si>
    <t>Chi phí XD và TB</t>
  </si>
  <si>
    <t>&lt;= 3</t>
  </si>
  <si>
    <t>&lt; 15</t>
  </si>
  <si>
    <t>IV. Định mức thiết kế công trình dân dụng</t>
  </si>
  <si>
    <t>1. Thiết kế 3 bước:</t>
  </si>
  <si>
    <t>Cấp công trình</t>
  </si>
  <si>
    <t>Chi phí XD  (chưa có VAT) trong TMDDT được duyệt (tỷ đồng)</t>
  </si>
  <si>
    <t>&lt;= 7</t>
  </si>
  <si>
    <t>Cấp đặc biệt</t>
  </si>
  <si>
    <t>Cấp I</t>
  </si>
  <si>
    <t>Cấp II</t>
  </si>
  <si>
    <t>Cấp III</t>
  </si>
  <si>
    <t>Cấp IV</t>
  </si>
  <si>
    <t>Giá trị được phê duyệt</t>
  </si>
  <si>
    <t>Chi phí xây dựng</t>
  </si>
  <si>
    <t>Nhập giá trị cần tìm vào ô trên</t>
  </si>
  <si>
    <t>2. Thiết kế 2 bước (TK BVTC)</t>
  </si>
  <si>
    <t>Chi phí XD (chưa có thuế VAT) trong TMĐT được duyệt (tỷ đồng)</t>
  </si>
  <si>
    <t>-</t>
  </si>
  <si>
    <t>Định mức thiết kế bản vẽ thi công hạ tầng kỹ thuật:</t>
  </si>
  <si>
    <t>&lt;=7</t>
  </si>
  <si>
    <t>V. Định mức thẩm tra tính hiệu quả và tính khả thi của dự án:</t>
  </si>
  <si>
    <t>Chi phí XD và TB (chưa có VAT) trong TMĐT được duyệt  (tỷ đồng)</t>
  </si>
  <si>
    <t>&lt;=15</t>
  </si>
  <si>
    <t>Chi phí XD</t>
  </si>
  <si>
    <t>VI. Định mức chi phí thẩm tra TK kỹ thuật với công trình có yêu cầu thiết kế 3 bước, thẩm tra TK BVTC đối với công trình có yêu cầu thiết kế 1 bước và 2 bước.</t>
  </si>
  <si>
    <t>Chi phí XD (chưa có thuế VAT) trong TMĐT (tỷ đồng)</t>
  </si>
  <si>
    <t>&lt;= 10</t>
  </si>
  <si>
    <t>Chi phí Xd</t>
  </si>
  <si>
    <t>VII. Định mức chi phí thẩm tra dự toán công trình:</t>
  </si>
  <si>
    <t>VIII. Định mức chi phí lập hồ sơ mời thầu và đánh giá hồ sơ dự thầu thi công xây dựng:</t>
  </si>
  <si>
    <t>IX. Định mức chi phí lập hồ sơ mời thầu và đánh giá hồ sơ dự thầu mua sắm thiết bị</t>
  </si>
  <si>
    <t>Chi phí TB (chưa có thuế VAT) trong TMĐT được duyệt (tỷ đồng)</t>
  </si>
  <si>
    <t>Chi phí thiết bị</t>
  </si>
  <si>
    <t>X. Định mức chi phí giám sát thi công xây dựng</t>
  </si>
  <si>
    <t>XI. Định mức giám sát chi phí lắp đặt thiết bị:</t>
  </si>
  <si>
    <t>£ 10</t>
  </si>
  <si>
    <t xml:space="preserve">XI. Chi phí thẩm tra, phê duyệt quyết toán, kiểm toán độc lập </t>
  </si>
  <si>
    <t>Văn bản quy định</t>
  </si>
  <si>
    <t>ĐVT</t>
  </si>
  <si>
    <t>Định mức</t>
  </si>
  <si>
    <t>Xác định</t>
  </si>
  <si>
    <t>Giá trị thực tế</t>
  </si>
  <si>
    <t>TM ĐT (tỷ đồng) - Không có thuế VAT</t>
  </si>
  <si>
    <t>≤ 5</t>
  </si>
  <si>
    <t>≥1000</t>
  </si>
  <si>
    <t>Thẩm tra, phê duyệt quyết toán</t>
  </si>
  <si>
    <t>TT
19/2011-BTC</t>
  </si>
  <si>
    <t>%</t>
  </si>
  <si>
    <t>Kiểm toán</t>
  </si>
  <si>
    <r>
      <t>k</t>
    </r>
    <r>
      <rPr>
        <vertAlign val="subscript"/>
        <sz val="13"/>
        <color theme="1"/>
        <rFont val="Times New Roman"/>
        <family val="1"/>
      </rPr>
      <t>3</t>
    </r>
    <r>
      <rPr>
        <sz val="13"/>
        <color indexed="8"/>
        <rFont val="Times New Roman"/>
        <family val="1"/>
        <charset val="163"/>
      </rPr>
      <t>x(G</t>
    </r>
    <r>
      <rPr>
        <vertAlign val="subscript"/>
        <sz val="13"/>
        <color indexed="8"/>
        <rFont val="Times New Roman"/>
        <family val="1"/>
        <charset val="163"/>
      </rPr>
      <t>XD</t>
    </r>
    <r>
      <rPr>
        <sz val="13"/>
        <color indexed="8"/>
        <rFont val="Times New Roman"/>
        <family val="1"/>
        <charset val="163"/>
      </rPr>
      <t>+G</t>
    </r>
    <r>
      <rPr>
        <vertAlign val="subscript"/>
        <sz val="13"/>
        <color indexed="8"/>
        <rFont val="Times New Roman"/>
        <family val="1"/>
        <charset val="163"/>
      </rPr>
      <t>TB</t>
    </r>
    <r>
      <rPr>
        <sz val="13"/>
        <color indexed="8"/>
        <rFont val="Times New Roman"/>
        <family val="1"/>
        <charset val="163"/>
      </rPr>
      <t>)</t>
    </r>
  </si>
  <si>
    <r>
      <t>k</t>
    </r>
    <r>
      <rPr>
        <vertAlign val="subscript"/>
        <sz val="13"/>
        <color theme="1"/>
        <rFont val="Times New Roman"/>
        <family val="1"/>
      </rPr>
      <t>10</t>
    </r>
    <r>
      <rPr>
        <sz val="13"/>
        <color indexed="8"/>
        <rFont val="Times New Roman"/>
        <family val="1"/>
        <charset val="163"/>
      </rPr>
      <t xml:space="preserve"> x (G</t>
    </r>
    <r>
      <rPr>
        <vertAlign val="subscript"/>
        <sz val="13"/>
        <color indexed="8"/>
        <rFont val="Times New Roman"/>
        <family val="1"/>
        <charset val="163"/>
      </rPr>
      <t>XD</t>
    </r>
    <r>
      <rPr>
        <sz val="13"/>
        <color indexed="8"/>
        <rFont val="Times New Roman"/>
        <family val="1"/>
        <charset val="163"/>
      </rPr>
      <t>+G</t>
    </r>
    <r>
      <rPr>
        <vertAlign val="subscript"/>
        <sz val="13"/>
        <color indexed="8"/>
        <rFont val="Times New Roman"/>
        <family val="1"/>
        <charset val="163"/>
      </rPr>
      <t>TB</t>
    </r>
    <r>
      <rPr>
        <sz val="13"/>
        <color indexed="8"/>
        <rFont val="Times New Roman"/>
        <family val="1"/>
        <charset val="163"/>
      </rPr>
      <t>)</t>
    </r>
  </si>
  <si>
    <r>
      <t>k</t>
    </r>
    <r>
      <rPr>
        <vertAlign val="subscript"/>
        <sz val="13"/>
        <color theme="1"/>
        <rFont val="Times New Roman"/>
        <family val="1"/>
      </rPr>
      <t xml:space="preserve">11 </t>
    </r>
    <r>
      <rPr>
        <sz val="13"/>
        <color indexed="8"/>
        <rFont val="Times New Roman"/>
        <family val="1"/>
        <charset val="163"/>
      </rPr>
      <t>xTMĐT</t>
    </r>
  </si>
  <si>
    <r>
      <t>k</t>
    </r>
    <r>
      <rPr>
        <vertAlign val="subscript"/>
        <sz val="13"/>
        <color theme="1"/>
        <rFont val="Times New Roman"/>
        <family val="1"/>
      </rPr>
      <t>12</t>
    </r>
    <r>
      <rPr>
        <sz val="13"/>
        <color indexed="8"/>
        <rFont val="Times New Roman"/>
        <family val="1"/>
        <charset val="163"/>
      </rPr>
      <t>x(G</t>
    </r>
    <r>
      <rPr>
        <vertAlign val="subscript"/>
        <sz val="13"/>
        <color indexed="8"/>
        <rFont val="Times New Roman"/>
        <family val="1"/>
        <charset val="163"/>
      </rPr>
      <t>XD</t>
    </r>
    <r>
      <rPr>
        <sz val="13"/>
        <color indexed="8"/>
        <rFont val="Times New Roman"/>
        <family val="1"/>
        <charset val="163"/>
      </rPr>
      <t>+G</t>
    </r>
    <r>
      <rPr>
        <vertAlign val="subscript"/>
        <sz val="13"/>
        <color indexed="8"/>
        <rFont val="Times New Roman"/>
        <family val="1"/>
        <charset val="163"/>
      </rPr>
      <t>TB</t>
    </r>
    <r>
      <rPr>
        <sz val="13"/>
        <color indexed="8"/>
        <rFont val="Times New Roman"/>
        <family val="1"/>
        <charset val="163"/>
      </rPr>
      <t>)</t>
    </r>
  </si>
  <si>
    <r>
      <t>k</t>
    </r>
    <r>
      <rPr>
        <vertAlign val="subscript"/>
        <sz val="13"/>
        <color theme="1"/>
        <rFont val="Times New Roman"/>
        <family val="1"/>
      </rPr>
      <t>4</t>
    </r>
    <r>
      <rPr>
        <sz val="13"/>
        <color indexed="8"/>
        <rFont val="Times New Roman"/>
        <family val="1"/>
        <charset val="163"/>
      </rPr>
      <t>x G</t>
    </r>
    <r>
      <rPr>
        <vertAlign val="subscript"/>
        <sz val="13"/>
        <color indexed="8"/>
        <rFont val="Times New Roman"/>
        <family val="1"/>
        <charset val="163"/>
      </rPr>
      <t>XD</t>
    </r>
  </si>
  <si>
    <r>
      <t>k</t>
    </r>
    <r>
      <rPr>
        <vertAlign val="subscript"/>
        <sz val="13"/>
        <color theme="1"/>
        <rFont val="Times New Roman"/>
        <family val="1"/>
      </rPr>
      <t>6</t>
    </r>
    <r>
      <rPr>
        <sz val="13"/>
        <color indexed="8"/>
        <rFont val="Times New Roman"/>
        <family val="1"/>
        <charset val="163"/>
      </rPr>
      <t>x G</t>
    </r>
    <r>
      <rPr>
        <vertAlign val="subscript"/>
        <sz val="13"/>
        <color indexed="8"/>
        <rFont val="Times New Roman"/>
        <family val="1"/>
        <charset val="163"/>
      </rPr>
      <t>XD</t>
    </r>
  </si>
  <si>
    <r>
      <t>k</t>
    </r>
    <r>
      <rPr>
        <vertAlign val="subscript"/>
        <sz val="13"/>
        <color theme="1"/>
        <rFont val="Times New Roman"/>
        <family val="1"/>
      </rPr>
      <t>5</t>
    </r>
    <r>
      <rPr>
        <sz val="13"/>
        <color indexed="8"/>
        <rFont val="Times New Roman"/>
        <family val="1"/>
        <charset val="163"/>
      </rPr>
      <t>x G</t>
    </r>
    <r>
      <rPr>
        <vertAlign val="subscript"/>
        <sz val="13"/>
        <color indexed="8"/>
        <rFont val="Times New Roman"/>
        <family val="1"/>
        <charset val="163"/>
      </rPr>
      <t>XD</t>
    </r>
  </si>
  <si>
    <r>
      <t>k</t>
    </r>
    <r>
      <rPr>
        <vertAlign val="subscript"/>
        <sz val="13"/>
        <color theme="1"/>
        <rFont val="Times New Roman"/>
        <family val="1"/>
      </rPr>
      <t>7</t>
    </r>
    <r>
      <rPr>
        <sz val="13"/>
        <color indexed="8"/>
        <rFont val="Times New Roman"/>
        <family val="1"/>
        <charset val="163"/>
      </rPr>
      <t>x G</t>
    </r>
    <r>
      <rPr>
        <vertAlign val="subscript"/>
        <sz val="13"/>
        <color indexed="8"/>
        <rFont val="Times New Roman"/>
        <family val="1"/>
        <charset val="163"/>
      </rPr>
      <t>XD</t>
    </r>
  </si>
  <si>
    <r>
      <t>k</t>
    </r>
    <r>
      <rPr>
        <vertAlign val="subscript"/>
        <sz val="13"/>
        <color theme="1"/>
        <rFont val="Times New Roman"/>
        <family val="1"/>
      </rPr>
      <t>8</t>
    </r>
    <r>
      <rPr>
        <sz val="13"/>
        <color indexed="8"/>
        <rFont val="Times New Roman"/>
        <family val="1"/>
        <charset val="163"/>
      </rPr>
      <t>x G</t>
    </r>
    <r>
      <rPr>
        <vertAlign val="subscript"/>
        <sz val="13"/>
        <color indexed="8"/>
        <rFont val="Times New Roman"/>
        <family val="1"/>
        <charset val="163"/>
      </rPr>
      <t>XD</t>
    </r>
  </si>
  <si>
    <r>
      <t>k</t>
    </r>
    <r>
      <rPr>
        <vertAlign val="subscript"/>
        <sz val="13"/>
        <color theme="1"/>
        <rFont val="Times New Roman"/>
        <family val="1"/>
      </rPr>
      <t>9</t>
    </r>
    <r>
      <rPr>
        <sz val="13"/>
        <color indexed="8"/>
        <rFont val="Times New Roman"/>
        <family val="1"/>
        <charset val="163"/>
      </rPr>
      <t>x G</t>
    </r>
    <r>
      <rPr>
        <vertAlign val="subscript"/>
        <sz val="13"/>
        <color indexed="8"/>
        <rFont val="Times New Roman"/>
        <family val="1"/>
      </rPr>
      <t>GSTCXD</t>
    </r>
  </si>
  <si>
    <t>Năm 2015</t>
  </si>
  <si>
    <t>Năm 2016</t>
  </si>
  <si>
    <t>Quý I</t>
  </si>
  <si>
    <t>Quý II</t>
  </si>
  <si>
    <t>Quý III</t>
  </si>
  <si>
    <t>Quý IV</t>
  </si>
  <si>
    <t>Giai đoạn chuẩn bị đầu tư</t>
  </si>
  <si>
    <t>Khảo sát và lập quy hoạch tổng mặt bằng</t>
  </si>
  <si>
    <t>Lập dự án đầu tư và thiết kế cơ sở</t>
  </si>
  <si>
    <t>Thẩm định, thẩm tra hiệu quả Dự án</t>
  </si>
  <si>
    <t>Giai đoạn thực hiện đầu tư</t>
  </si>
  <si>
    <t>Thiết kế và lập dự toán</t>
  </si>
  <si>
    <t>Thẩm tra TK và dự toán</t>
  </si>
  <si>
    <t>Tổ chức lựa chọn nhà thầu xây lắp</t>
  </si>
  <si>
    <t>Thi công xây dựng các hạng mục:</t>
  </si>
  <si>
    <t>6.1</t>
  </si>
  <si>
    <t>6.2</t>
  </si>
  <si>
    <t>6.3</t>
  </si>
  <si>
    <t>Giám sát thi công xây dựng</t>
  </si>
  <si>
    <t>Kiểm toán độc lập, thẩm tra phê duyệt quyết toán</t>
  </si>
  <si>
    <t>Quản lý dự án</t>
  </si>
  <si>
    <t>Thi công hạ tầng</t>
  </si>
  <si>
    <t>Thi công khối nhà điều hành</t>
  </si>
  <si>
    <t>Thi công khu vực sản xuất</t>
  </si>
  <si>
    <t>Thực hiện các thủ tục pháp lý đối với cơ quan Nhà nước: Duyệt quy hoạch TMB;  xin ý kiến TKCS của DA; Đăng ký đầu tư; đăng ký cam kết môi trường; Xin giấy phép xây dựng,…</t>
  </si>
  <si>
    <t>Chi phí quản lý dự án</t>
  </si>
  <si>
    <t>Chi phí tư vấn đầu tư xây dựng</t>
  </si>
  <si>
    <t xml:space="preserve">Chi phí lãi vay </t>
  </si>
  <si>
    <t>Chi phí dự phòng</t>
  </si>
  <si>
    <t>Giá trị
(có VAT)</t>
  </si>
  <si>
    <t>Quý 1</t>
  </si>
  <si>
    <t>Quý 2</t>
  </si>
  <si>
    <t>Quý 3</t>
  </si>
  <si>
    <t>Quý 4</t>
  </si>
  <si>
    <t>KẾ HOẠCH ĐẦU TƯ</t>
  </si>
  <si>
    <t>I.1</t>
  </si>
  <si>
    <t>I.2</t>
  </si>
  <si>
    <t>Kiểm tra chứng nhận sự phù hợp chất lượng công trình.</t>
  </si>
  <si>
    <t>Thực hiện các thủ tục pháp lý đối với cơ quan Nhà nước: Duyệt quy hoạch TMB;  xin ý kiến TKCS của DA; Đăng ký đầu tư; đăng ký cam kết môi trường; Xin giấy phép xây dựng; và các chi phí tư vấn cùng các chi phí liên quan khác.</t>
  </si>
  <si>
    <t>Bảo hiểm công trình</t>
  </si>
  <si>
    <t>Dự phòng cho khối lượng công tác phát sinh</t>
  </si>
  <si>
    <t>Dự phòng cho yếu tố trượt giá</t>
  </si>
  <si>
    <t>KẾ HOẠCH BỐ TRÍ VỐN</t>
  </si>
  <si>
    <t>LÃI VAY TRONG XD</t>
  </si>
  <si>
    <t>Vốn vay tích luỹ cuối kỳ</t>
  </si>
  <si>
    <t>Lãi vay cuối quý</t>
  </si>
  <si>
    <t>Lãi vay tích luỹ</t>
  </si>
  <si>
    <t>Xây dựng khu điều hành</t>
  </si>
  <si>
    <t>Xây dựng khối sản xuất</t>
  </si>
  <si>
    <t>Lãi suất năm</t>
  </si>
  <si>
    <t>Lãi suất quý</t>
  </si>
  <si>
    <t>ĐVT: 1000đ</t>
  </si>
  <si>
    <t>Tiến độ thực hiện</t>
  </si>
  <si>
    <t>Chi phí thực hiện dự án theo tiến độ chưa có trượt giá</t>
  </si>
  <si>
    <t>Mức độ trượt giá</t>
  </si>
  <si>
    <t>Trượt giá từng quý</t>
  </si>
  <si>
    <r>
      <t>Ngoài cách tính toán G</t>
    </r>
    <r>
      <rPr>
        <vertAlign val="subscript"/>
        <sz val="13"/>
        <color indexed="8"/>
        <rFont val="Times New Roman"/>
        <family val="1"/>
      </rPr>
      <t>DP2</t>
    </r>
    <r>
      <rPr>
        <sz val="13"/>
        <color indexed="8"/>
        <rFont val="Times New Roman"/>
        <family val="1"/>
      </rPr>
      <t xml:space="preserve"> theo I</t>
    </r>
    <r>
      <rPr>
        <vertAlign val="subscript"/>
        <sz val="13"/>
        <color indexed="8"/>
        <rFont val="Times New Roman"/>
        <family val="1"/>
      </rPr>
      <t>XDCTbq</t>
    </r>
    <r>
      <rPr>
        <sz val="13"/>
        <color indexed="8"/>
        <rFont val="Times New Roman"/>
        <family val="1"/>
      </rPr>
      <t xml:space="preserve"> theo hướng dẫn của Thông tư 04/2010, ta có thể dự tính G</t>
    </r>
    <r>
      <rPr>
        <vertAlign val="subscript"/>
        <sz val="13"/>
        <color indexed="8"/>
        <rFont val="Times New Roman"/>
        <family val="1"/>
      </rPr>
      <t>DP2</t>
    </r>
    <r>
      <rPr>
        <sz val="13"/>
        <color indexed="8"/>
        <rFont val="Times New Roman"/>
        <family val="1"/>
      </rPr>
      <t xml:space="preserve"> bởi yếu tố này hoàn toàn mang tính thị trường. Do vậy, qua việc xem xét chỉ số giá xây dựng, thậm chí là chỉ số giá tiêu dùng (CPI) được cập nhật liên tục trên các phương tiện thông tin có thể dự báo được DP2. Ví dụ, 2 năm vừa rồi, mức trượt giá tiêu dùng ở mức khoảng 6,5%/năm; do vậy dự báo trượt giá cho ngành xây dựng trong những năm tới có thể ở mức 6 - 6,5%/năm là khá an toàn bởi chính sách điều tiết kinh tế vĩ mô của Nhà nước ta trong thời gian tới vẫn là ổn định kinh tế, kiềm chế lạm phát. Ở đây, ta lựa chọn mức độ trượt giá bình quân là 6%/năm. </t>
    </r>
  </si>
  <si>
    <t>Vậy mức độ trượt giá bình quân theo quý:</t>
  </si>
  <si>
    <t>(Ghi chú: Theo dõi, chỉ số giá tiêu dùng 10 năm qua có thể thấy: năm 2004 tăng 9,5%; năm 2005: 8,4%; năm 2006: 6,6%; năm 2007: 12,63%; năm 2008: 19,89%; năm 2009: 6,52%; năm 2010: 11,75%; năm 2011: 18,13%; năm 2012: 6,81%; năm 2013: 6,04%. Trung bình 10 năm qua: 10,67%).</t>
  </si>
  <si>
    <t>Tổng chi phí dự phòng</t>
  </si>
  <si>
    <r>
      <t>Trượt giá tích luỹ (G</t>
    </r>
    <r>
      <rPr>
        <vertAlign val="subscript"/>
        <sz val="13"/>
        <color indexed="8"/>
        <rFont val="Times New Roman"/>
        <family val="1"/>
      </rPr>
      <t>DP2</t>
    </r>
    <r>
      <rPr>
        <sz val="13"/>
        <color indexed="8"/>
        <rFont val="Times New Roman"/>
        <family val="1"/>
      </rPr>
      <t>)</t>
    </r>
  </si>
  <si>
    <r>
      <t>Chi phí dự phòng do phát sinh khối lượng (G</t>
    </r>
    <r>
      <rPr>
        <vertAlign val="subscript"/>
        <sz val="13"/>
        <color theme="1"/>
        <rFont val="Times New Roman"/>
        <family val="1"/>
      </rPr>
      <t>DP1</t>
    </r>
    <r>
      <rPr>
        <sz val="13"/>
        <color theme="1"/>
        <rFont val="Times New Roman"/>
        <family val="1"/>
      </rPr>
      <t>)</t>
    </r>
  </si>
  <si>
    <t>DỰ ÁN: ĐẦU TƯ NHÀ MÁY SẢN XUẤT MAY MẶC 
ĐỊA ĐIỂM: CỤM CN PHÚ GIA - PHÚ NHAM - 
HUYỆN PHÙ NINH- T.PHÚ THỌ</t>
  </si>
  <si>
    <t>Thi công đường nội bộ (mặt đường rộng 5,5m)</t>
  </si>
  <si>
    <t>Nhà ăn ca nhân
 viên</t>
  </si>
  <si>
    <t>Nhà nồi hơi - khí 
nén</t>
  </si>
  <si>
    <t>Chi phí thiết kế BVTC (TK 2 bước; công trình công nghiệp)</t>
  </si>
  <si>
    <t>Chi phí thẩm tra 
dự toán</t>
  </si>
  <si>
    <r>
      <t>Chi phí dự phòng
cho yếu tố trượt giá (G</t>
    </r>
    <r>
      <rPr>
        <vertAlign val="subscript"/>
        <sz val="13"/>
        <color theme="1"/>
        <rFont val="Times New Roman"/>
        <family val="1"/>
      </rPr>
      <t>DP2</t>
    </r>
    <r>
      <rPr>
        <sz val="13"/>
        <color theme="1"/>
        <rFont val="Times New Roman"/>
        <family val="1"/>
      </rPr>
      <t>)</t>
    </r>
  </si>
  <si>
    <t>Chi phí thuê đất trong thời gian xây dựng</t>
  </si>
  <si>
    <t>QĐ số 1753/2009/UBND tỉnh Phú Thọ về việc quy định đơn giá thuê đất đối với các dự án đầu tư trên địa bàn tỉnh Phú Thọ</t>
  </si>
  <si>
    <t>Chi phí khác có liên quan (thoả thuận
chuyên ngành,…)</t>
  </si>
  <si>
    <t>Tổ chức tiếp nhận mặt bằng được bàn giao</t>
  </si>
  <si>
    <t>Chi phí thuê đất</t>
  </si>
  <si>
    <t>4.1</t>
  </si>
  <si>
    <t>4.2</t>
  </si>
  <si>
    <t>4.3</t>
  </si>
  <si>
    <t xml:space="preserve">CÁC CHỈ TIÊU </t>
  </si>
  <si>
    <t>TRỊ SỐ</t>
  </si>
  <si>
    <t>GHI CHÚ/NHẬN XÉT</t>
  </si>
  <si>
    <t>Các chỉ tiêu về vốn đầu tư</t>
  </si>
  <si>
    <t>Tổng mức đầu tư của dự án (chưa có lãi vay)</t>
  </si>
  <si>
    <t>1000 đồng</t>
  </si>
  <si>
    <t>Tổng mức đầu tư dự án (có lãi vay)</t>
  </si>
  <si>
    <t>Cơ cấu nguồn vốn</t>
  </si>
  <si>
    <t>Vốn tự có</t>
  </si>
  <si>
    <t>%/năm</t>
  </si>
  <si>
    <t>Lãi vay trong thời gian xây dựng</t>
  </si>
  <si>
    <t xml:space="preserve">Tỷ lệ: Vốn tự có/TMĐT </t>
  </si>
  <si>
    <t>BẢNG 1: TỔNG HỢP CÁC CHỈ TIÊU VỀ VỐN ĐẦU TƯ CỦA DỰ ÁN</t>
  </si>
  <si>
    <t xml:space="preserve">Chi phí thuê đất của dự án </t>
  </si>
  <si>
    <t>Vốn vay thương mại</t>
  </si>
  <si>
    <t>Chưa tính lãi vay</t>
  </si>
  <si>
    <t>Lãi suất vay thương mại trong thời gian xây dựng</t>
  </si>
  <si>
    <t>%/quý</t>
  </si>
  <si>
    <t>DỰ ÁN: ĐẦU TƯ NHÀ MÁY SẢN XUẤT MAY MẶC 
ĐỊA ĐIỂM: CỤM CN PHÚ GIA - PHÚ NHAM - HUYỆN PHÙ NINH- T.PHÚ THỌ</t>
  </si>
  <si>
    <t>BẢNG 2: TỔNG HỢP TỔNG MỨC ĐẦU TƯ CỦA DỰ ÁN</t>
  </si>
  <si>
    <t>BẢNG 2.1. CHI PHÍ XÂY DỰNG CÁC HẠNG MỤC CÔNG TRÌNH</t>
  </si>
  <si>
    <t>BẢNG 2.3. CHI PHÍ TƯ VẤN, CHI PHÍ KHÁC</t>
  </si>
  <si>
    <t>BẢNG 2.4.1. CHI PHÍ DỰ PHÒNG TRƯỢT GIÁ SAU THUẾ</t>
  </si>
  <si>
    <t>BẢNG 2.4. CHI PHÍ DỰ PHÒNG</t>
  </si>
  <si>
    <t>BẢNG 3: TIẾN ĐỘ THỰC HIỆN DỰ ÁN</t>
  </si>
  <si>
    <t>BẢNG 4: KẾ HOẠCH HUY ĐỘNG VỐN VÀ TÍNH TOÁN LÃI VAY TRONG THỜI GIAN XÂY DỰNG</t>
  </si>
  <si>
    <t>Thuê đất trong 50 năm; 
trả ngay trong giai đoạn
thực hiện đầu tư xây 
dựng dự án.</t>
  </si>
  <si>
    <t>Chưa có lãi vay</t>
  </si>
  <si>
    <t>Tỷ lệ: Vốn vay thương mại/TMĐT</t>
  </si>
  <si>
    <t>Ghi chú: Thuê đất trong 50 năm với giả thiết trả hết trong giai đoạn thực hiện đầu tư dự án.</t>
  </si>
  <si>
    <t>BẢNG 2.2: CHI PHÍ THUÊ ĐẤT CỦA DỰ ÁN</t>
  </si>
</sst>
</file>

<file path=xl/styles.xml><?xml version="1.0" encoding="utf-8"?>
<styleSheet xmlns="http://schemas.openxmlformats.org/spreadsheetml/2006/main">
  <numFmts count="12">
    <numFmt numFmtId="43" formatCode="_(* #,##0.00_);_(* \(#,##0.00\);_(* &quot;-&quot;??_);_(@_)"/>
    <numFmt numFmtId="164" formatCode="0.000%"/>
    <numFmt numFmtId="165" formatCode="0.0%"/>
    <numFmt numFmtId="166" formatCode="#,##0.000"/>
    <numFmt numFmtId="167" formatCode="0.000"/>
    <numFmt numFmtId="168" formatCode="&quot;Vốn tự có (&quot;0%&quot;)&quot;"/>
    <numFmt numFmtId="169" formatCode="&quot;Vốn vay (&quot;0%&quot;)&quot;"/>
    <numFmt numFmtId="170" formatCode="0%&quot;/năm&quot;"/>
    <numFmt numFmtId="171" formatCode="0.000%&quot;/quý&quot;"/>
    <numFmt numFmtId="172" formatCode="#,##0.0000"/>
    <numFmt numFmtId="174" formatCode="_(* #,##0_);_(* \(#,##0\);_(* &quot;-&quot;??_);_(@_)"/>
    <numFmt numFmtId="175" formatCode="#,##0.0\ &quot;ngđ/m2/năm&quot;"/>
  </numFmts>
  <fonts count="45">
    <font>
      <sz val="13"/>
      <color theme="1"/>
      <name val="Times New Roman"/>
      <family val="2"/>
    </font>
    <font>
      <b/>
      <sz val="13"/>
      <color theme="1"/>
      <name val="Times New Roman"/>
      <family val="1"/>
    </font>
    <font>
      <sz val="13"/>
      <color theme="1"/>
      <name val="Times New Roman"/>
      <family val="1"/>
    </font>
    <font>
      <b/>
      <sz val="14"/>
      <color theme="1"/>
      <name val="Times New Roman"/>
      <family val="1"/>
    </font>
    <font>
      <i/>
      <sz val="13"/>
      <color theme="1"/>
      <name val="Times New Roman"/>
      <family val="1"/>
    </font>
    <font>
      <sz val="13"/>
      <color theme="1"/>
      <name val="Times New Roman"/>
      <family val="1"/>
      <charset val="163"/>
    </font>
    <font>
      <b/>
      <sz val="13"/>
      <color theme="1"/>
      <name val="Times New Roman"/>
      <family val="1"/>
      <charset val="163"/>
    </font>
    <font>
      <b/>
      <i/>
      <sz val="13"/>
      <color theme="1"/>
      <name val="Times New Roman"/>
      <family val="1"/>
      <charset val="163"/>
    </font>
    <font>
      <vertAlign val="subscript"/>
      <sz val="13"/>
      <color theme="1"/>
      <name val="Times New Roman"/>
      <family val="1"/>
    </font>
    <font>
      <sz val="13"/>
      <color indexed="8"/>
      <name val="Times New Roman"/>
      <family val="1"/>
      <charset val="163"/>
    </font>
    <font>
      <vertAlign val="subscript"/>
      <sz val="13"/>
      <color indexed="8"/>
      <name val="Times New Roman"/>
      <family val="1"/>
      <charset val="163"/>
    </font>
    <font>
      <sz val="14"/>
      <name val=".VnTime"/>
      <family val="2"/>
    </font>
    <font>
      <b/>
      <sz val="14"/>
      <name val="Times New Roman"/>
      <family val="1"/>
    </font>
    <font>
      <sz val="11"/>
      <color theme="1"/>
      <name val="Times New Roman"/>
      <family val="1"/>
    </font>
    <font>
      <b/>
      <sz val="14"/>
      <color indexed="10"/>
      <name val="Times New Roman"/>
      <family val="1"/>
    </font>
    <font>
      <sz val="14"/>
      <name val="Times New Roman"/>
      <family val="1"/>
    </font>
    <font>
      <b/>
      <sz val="14"/>
      <color indexed="9"/>
      <name val="Times New Roman"/>
      <family val="1"/>
    </font>
    <font>
      <sz val="14"/>
      <color indexed="9"/>
      <name val="Times New Roman"/>
      <family val="1"/>
    </font>
    <font>
      <i/>
      <sz val="14"/>
      <name val="Times New Roman"/>
      <family val="1"/>
    </font>
    <font>
      <sz val="14"/>
      <color indexed="10"/>
      <name val="Times New Roman"/>
      <family val="1"/>
    </font>
    <font>
      <b/>
      <sz val="14"/>
      <color rgb="FFFF0000"/>
      <name val="Times New Roman"/>
      <family val="1"/>
    </font>
    <font>
      <sz val="11"/>
      <color rgb="FFFF0000"/>
      <name val="Times New Roman"/>
      <family val="1"/>
    </font>
    <font>
      <sz val="12"/>
      <name val="Times New Roman"/>
      <family val="1"/>
    </font>
    <font>
      <b/>
      <sz val="12"/>
      <name val="Times New Roman"/>
      <family val="1"/>
    </font>
    <font>
      <b/>
      <sz val="12"/>
      <color indexed="10"/>
      <name val="Times New Roman"/>
      <family val="1"/>
    </font>
    <font>
      <sz val="14"/>
      <color theme="0"/>
      <name val="Times New Roman"/>
      <family val="1"/>
    </font>
    <font>
      <vertAlign val="subscript"/>
      <sz val="13"/>
      <color indexed="8"/>
      <name val="Times New Roman"/>
      <family val="1"/>
    </font>
    <font>
      <b/>
      <sz val="14"/>
      <color theme="0"/>
      <name val="Times New Roman"/>
      <family val="1"/>
    </font>
    <font>
      <i/>
      <sz val="14"/>
      <color theme="0"/>
      <name val="Times New Roman"/>
      <family val="1"/>
    </font>
    <font>
      <b/>
      <i/>
      <sz val="13"/>
      <color theme="1"/>
      <name val="Times New Roman"/>
      <family val="1"/>
    </font>
    <font>
      <b/>
      <sz val="13"/>
      <name val="Times New Roman"/>
      <family val="1"/>
    </font>
    <font>
      <sz val="13"/>
      <name val="Times New Roman"/>
      <family val="1"/>
    </font>
    <font>
      <sz val="13"/>
      <color indexed="10"/>
      <name val="Times New Roman"/>
      <family val="1"/>
    </font>
    <font>
      <i/>
      <sz val="13"/>
      <name val="Times New Roman"/>
      <family val="1"/>
    </font>
    <font>
      <i/>
      <sz val="13"/>
      <color rgb="FFFF0000"/>
      <name val="Times New Roman"/>
      <family val="1"/>
    </font>
    <font>
      <i/>
      <sz val="13"/>
      <color rgb="FF00B050"/>
      <name val="Times New Roman"/>
      <family val="1"/>
    </font>
    <font>
      <i/>
      <sz val="13"/>
      <color indexed="10"/>
      <name val="Times New Roman"/>
      <family val="1"/>
    </font>
    <font>
      <sz val="13"/>
      <color indexed="8"/>
      <name val="Times New Roman"/>
      <family val="1"/>
    </font>
    <font>
      <sz val="9"/>
      <color indexed="81"/>
      <name val="Tahoma"/>
      <family val="2"/>
    </font>
    <font>
      <b/>
      <sz val="9"/>
      <color indexed="81"/>
      <name val="Tahoma"/>
      <family val="2"/>
    </font>
    <font>
      <b/>
      <sz val="9"/>
      <color indexed="81"/>
      <name val="Tahoma"/>
    </font>
    <font>
      <sz val="13"/>
      <color theme="1"/>
      <name val="Times New Roman"/>
      <family val="2"/>
    </font>
    <font>
      <sz val="12"/>
      <name val=".VnTime"/>
      <family val="2"/>
    </font>
    <font>
      <sz val="10"/>
      <name val=".VnTime"/>
      <family val="2"/>
    </font>
    <font>
      <b/>
      <i/>
      <sz val="13"/>
      <name val="Times New Roman"/>
      <family val="1"/>
    </font>
  </fonts>
  <fills count="13">
    <fill>
      <patternFill patternType="none"/>
    </fill>
    <fill>
      <patternFill patternType="gray125"/>
    </fill>
    <fill>
      <patternFill patternType="solid">
        <fgColor theme="0" tint="-0.14999847407452621"/>
        <bgColor indexed="64"/>
      </patternFill>
    </fill>
    <fill>
      <patternFill patternType="solid">
        <fgColor indexed="41"/>
        <bgColor indexed="64"/>
      </patternFill>
    </fill>
    <fill>
      <patternFill patternType="solid">
        <fgColor indexed="44"/>
        <bgColor indexed="64"/>
      </patternFill>
    </fill>
    <fill>
      <patternFill patternType="solid">
        <fgColor indexed="45"/>
        <bgColor indexed="64"/>
      </patternFill>
    </fill>
    <fill>
      <patternFill patternType="solid">
        <fgColor indexed="47"/>
        <bgColor indexed="64"/>
      </patternFill>
    </fill>
    <fill>
      <patternFill patternType="solid">
        <fgColor indexed="13"/>
        <bgColor indexed="64"/>
      </patternFill>
    </fill>
    <fill>
      <patternFill patternType="solid">
        <fgColor rgb="FFFFFF00"/>
        <bgColor indexed="64"/>
      </patternFill>
    </fill>
    <fill>
      <patternFill patternType="solid">
        <fgColor rgb="FFFF0000"/>
        <bgColor indexed="64"/>
      </patternFill>
    </fill>
    <fill>
      <patternFill patternType="solid">
        <fgColor indexed="10"/>
        <bgColor indexed="64"/>
      </patternFill>
    </fill>
    <fill>
      <patternFill patternType="solid">
        <fgColor rgb="FF00B0F0"/>
        <bgColor indexed="64"/>
      </patternFill>
    </fill>
    <fill>
      <patternFill patternType="solid">
        <fgColor indexed="43"/>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s>
  <cellStyleXfs count="6">
    <xf numFmtId="0" fontId="0" fillId="0" borderId="0"/>
    <xf numFmtId="0" fontId="11" fillId="0" borderId="0"/>
    <xf numFmtId="43" fontId="41" fillId="0" borderId="0" applyFont="0" applyFill="0" applyBorder="0" applyAlignment="0" applyProtection="0"/>
    <xf numFmtId="9" fontId="41" fillId="0" borderId="0" applyFont="0" applyFill="0" applyBorder="0" applyAlignment="0" applyProtection="0"/>
    <xf numFmtId="3" fontId="42" fillId="0" borderId="0">
      <alignment vertical="center"/>
    </xf>
    <xf numFmtId="0" fontId="43" fillId="0" borderId="0"/>
  </cellStyleXfs>
  <cellXfs count="393">
    <xf numFmtId="0" fontId="0" fillId="0" borderId="0" xfId="0"/>
    <xf numFmtId="0" fontId="0" fillId="0" borderId="0" xfId="0" applyAlignment="1">
      <alignment horizontal="center" vertical="center"/>
    </xf>
    <xf numFmtId="3" fontId="0" fillId="0" borderId="0" xfId="0" applyNumberFormat="1" applyAlignment="1">
      <alignment horizontal="center" vertical="center"/>
    </xf>
    <xf numFmtId="0" fontId="2" fillId="0" borderId="0" xfId="0" applyFont="1"/>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49" fontId="1" fillId="0" borderId="1" xfId="0" applyNumberFormat="1" applyFont="1" applyBorder="1" applyAlignment="1">
      <alignment horizontal="center" vertical="center"/>
    </xf>
    <xf numFmtId="49" fontId="1" fillId="0" borderId="1" xfId="0" applyNumberFormat="1" applyFont="1" applyBorder="1" applyAlignment="1">
      <alignment horizontal="left"/>
    </xf>
    <xf numFmtId="49" fontId="2" fillId="0" borderId="1" xfId="0" applyNumberFormat="1" applyFont="1" applyBorder="1" applyAlignment="1">
      <alignment horizontal="center"/>
    </xf>
    <xf numFmtId="3" fontId="1" fillId="0" borderId="1" xfId="0" applyNumberFormat="1" applyFont="1" applyBorder="1" applyAlignment="1">
      <alignment horizontal="center"/>
    </xf>
    <xf numFmtId="3" fontId="2" fillId="0" borderId="1" xfId="0" applyNumberFormat="1" applyFont="1" applyBorder="1" applyAlignment="1">
      <alignment horizontal="center" vertical="center"/>
    </xf>
    <xf numFmtId="49" fontId="2" fillId="0" borderId="1" xfId="0" applyNumberFormat="1" applyFont="1" applyBorder="1" applyAlignment="1">
      <alignment horizontal="left"/>
    </xf>
    <xf numFmtId="3" fontId="2" fillId="0" borderId="1" xfId="0" applyNumberFormat="1" applyFont="1" applyBorder="1" applyAlignment="1">
      <alignment horizontal="center"/>
    </xf>
    <xf numFmtId="3" fontId="0" fillId="0" borderId="1" xfId="0" applyNumberFormat="1" applyBorder="1" applyAlignment="1">
      <alignment horizontal="center" vertical="center"/>
    </xf>
    <xf numFmtId="49" fontId="2" fillId="0" borderId="1" xfId="0" applyNumberFormat="1" applyFont="1" applyBorder="1" applyAlignment="1">
      <alignment horizontal="center" vertical="center"/>
    </xf>
    <xf numFmtId="3" fontId="1" fillId="0" borderId="1" xfId="0" applyNumberFormat="1" applyFont="1" applyBorder="1" applyAlignment="1">
      <alignment horizontal="center" vertical="center"/>
    </xf>
    <xf numFmtId="0" fontId="1" fillId="0" borderId="1" xfId="0" applyFont="1" applyBorder="1"/>
    <xf numFmtId="0" fontId="0" fillId="0" borderId="1" xfId="0" applyBorder="1" applyAlignment="1">
      <alignment horizontal="center" vertical="center"/>
    </xf>
    <xf numFmtId="0" fontId="0" fillId="0" borderId="1" xfId="0" applyBorder="1"/>
    <xf numFmtId="0" fontId="0" fillId="0" borderId="1" xfId="0" applyBorder="1" applyAlignment="1">
      <alignment wrapText="1"/>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0" fillId="0" borderId="10" xfId="0" applyBorder="1" applyAlignment="1">
      <alignment horizontal="center" vertical="center"/>
    </xf>
    <xf numFmtId="0" fontId="0" fillId="0" borderId="1" xfId="0" applyBorder="1" applyAlignment="1">
      <alignment vertical="center" wrapText="1"/>
    </xf>
    <xf numFmtId="3" fontId="0" fillId="0" borderId="1" xfId="0" applyNumberFormat="1" applyBorder="1" applyAlignment="1">
      <alignment vertical="center"/>
    </xf>
    <xf numFmtId="0" fontId="0" fillId="0" borderId="11" xfId="0" applyBorder="1" applyAlignment="1">
      <alignment horizontal="center" vertical="center" wrapText="1"/>
    </xf>
    <xf numFmtId="0" fontId="1" fillId="0" borderId="13" xfId="0" applyFont="1" applyBorder="1"/>
    <xf numFmtId="3" fontId="1" fillId="0" borderId="13" xfId="0" applyNumberFormat="1" applyFont="1" applyBorder="1" applyAlignment="1">
      <alignment vertical="center"/>
    </xf>
    <xf numFmtId="0" fontId="1" fillId="0" borderId="14" xfId="0" applyFont="1" applyBorder="1"/>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49" fontId="6" fillId="0" borderId="10" xfId="0" applyNumberFormat="1" applyFont="1" applyBorder="1" applyAlignment="1">
      <alignment horizontal="center" vertical="center"/>
    </xf>
    <xf numFmtId="49" fontId="6" fillId="0" borderId="1" xfId="0" applyNumberFormat="1" applyFont="1" applyBorder="1" applyAlignment="1">
      <alignment horizontal="center" vertical="center"/>
    </xf>
    <xf numFmtId="49" fontId="6" fillId="0" borderId="11" xfId="0" applyNumberFormat="1" applyFont="1" applyBorder="1" applyAlignment="1">
      <alignment horizontal="center" vertical="center"/>
    </xf>
    <xf numFmtId="0" fontId="7" fillId="0" borderId="10" xfId="0" applyFont="1" applyBorder="1" applyAlignment="1">
      <alignment horizontal="center" vertical="center"/>
    </xf>
    <xf numFmtId="0" fontId="7" fillId="0" borderId="1" xfId="0" applyFont="1" applyBorder="1" applyAlignment="1">
      <alignment horizontal="center" vertical="center"/>
    </xf>
    <xf numFmtId="0" fontId="5" fillId="0" borderId="1" xfId="0" applyFont="1" applyBorder="1" applyAlignment="1">
      <alignment horizontal="center" vertical="center"/>
    </xf>
    <xf numFmtId="3" fontId="1" fillId="0" borderId="11" xfId="0" applyNumberFormat="1" applyFont="1" applyBorder="1" applyAlignment="1">
      <alignment horizontal="center" vertical="center"/>
    </xf>
    <xf numFmtId="0" fontId="5" fillId="0" borderId="10" xfId="0" applyFont="1" applyBorder="1" applyAlignment="1">
      <alignment horizontal="center" vertical="center"/>
    </xf>
    <xf numFmtId="0" fontId="5" fillId="0" borderId="1" xfId="0" applyFont="1" applyBorder="1" applyAlignment="1">
      <alignment horizontal="left" vertical="center" wrapText="1"/>
    </xf>
    <xf numFmtId="3" fontId="5" fillId="0" borderId="1" xfId="0" applyNumberFormat="1" applyFont="1" applyBorder="1" applyAlignment="1">
      <alignment horizontal="center" vertical="center"/>
    </xf>
    <xf numFmtId="3" fontId="5" fillId="0" borderId="1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5" fillId="0" borderId="1" xfId="0" applyFont="1" applyBorder="1" applyAlignment="1">
      <alignment horizontal="left" vertical="center"/>
    </xf>
    <xf numFmtId="10" fontId="5" fillId="0" borderId="1" xfId="0" applyNumberFormat="1" applyFont="1" applyBorder="1" applyAlignment="1">
      <alignment horizontal="center" vertical="center"/>
    </xf>
    <xf numFmtId="3" fontId="6" fillId="0" borderId="13" xfId="0" applyNumberFormat="1" applyFont="1" applyBorder="1" applyAlignment="1">
      <alignment horizontal="center" vertical="center"/>
    </xf>
    <xf numFmtId="0" fontId="13" fillId="0" borderId="0" xfId="0" applyFont="1"/>
    <xf numFmtId="0" fontId="14" fillId="0" borderId="0" xfId="1" applyFont="1" applyAlignment="1">
      <alignment horizontal="left" vertical="center"/>
    </xf>
    <xf numFmtId="0" fontId="12" fillId="0" borderId="0" xfId="1" applyFont="1" applyAlignment="1">
      <alignment horizontal="center" vertical="center"/>
    </xf>
    <xf numFmtId="3" fontId="15" fillId="0" borderId="1" xfId="1" applyNumberFormat="1" applyFont="1" applyBorder="1" applyAlignment="1">
      <alignment horizontal="center" vertical="center"/>
    </xf>
    <xf numFmtId="3" fontId="15" fillId="0" borderId="0" xfId="1" applyNumberFormat="1" applyFont="1" applyAlignment="1">
      <alignment horizontal="center" vertical="center"/>
    </xf>
    <xf numFmtId="0" fontId="15" fillId="0" borderId="1" xfId="1" applyFont="1" applyBorder="1" applyAlignment="1">
      <alignment horizontal="left" vertical="center"/>
    </xf>
    <xf numFmtId="164" fontId="15" fillId="0" borderId="1" xfId="1" applyNumberFormat="1" applyFont="1" applyBorder="1" applyAlignment="1">
      <alignment horizontal="center" vertical="center"/>
    </xf>
    <xf numFmtId="0" fontId="15" fillId="0" borderId="0" xfId="1" applyFont="1" applyAlignment="1">
      <alignment horizontal="center" vertical="center"/>
    </xf>
    <xf numFmtId="0" fontId="15" fillId="0" borderId="0" xfId="1" applyFont="1" applyAlignment="1">
      <alignment horizontal="left" vertical="center"/>
    </xf>
    <xf numFmtId="0" fontId="12" fillId="0" borderId="0" xfId="1" applyFont="1" applyAlignment="1">
      <alignment horizontal="left" vertical="center"/>
    </xf>
    <xf numFmtId="0" fontId="12" fillId="0" borderId="1" xfId="1" applyFont="1" applyBorder="1" applyAlignment="1">
      <alignment horizontal="center" vertical="center"/>
    </xf>
    <xf numFmtId="0" fontId="16" fillId="0" borderId="0" xfId="1" applyFont="1" applyAlignment="1">
      <alignment horizontal="center" vertical="center"/>
    </xf>
    <xf numFmtId="0" fontId="16" fillId="0" borderId="0" xfId="1" quotePrefix="1" applyFont="1" applyAlignment="1">
      <alignment horizontal="center" vertical="center"/>
    </xf>
    <xf numFmtId="0" fontId="17" fillId="0" borderId="0" xfId="1" applyFont="1" applyAlignment="1">
      <alignment horizontal="center" vertical="center"/>
    </xf>
    <xf numFmtId="0" fontId="17" fillId="0" borderId="0" xfId="1" quotePrefix="1" applyFont="1" applyAlignment="1">
      <alignment horizontal="center" vertical="center"/>
    </xf>
    <xf numFmtId="164" fontId="15" fillId="7" borderId="0" xfId="1" applyNumberFormat="1" applyFont="1" applyFill="1" applyAlignment="1">
      <alignment horizontal="center" vertical="center"/>
    </xf>
    <xf numFmtId="0" fontId="15" fillId="0" borderId="0" xfId="1" applyFont="1" applyBorder="1" applyAlignment="1">
      <alignment horizontal="left" vertical="center"/>
    </xf>
    <xf numFmtId="164" fontId="15" fillId="0" borderId="0" xfId="1" applyNumberFormat="1" applyFont="1" applyBorder="1" applyAlignment="1">
      <alignment horizontal="center" vertical="center"/>
    </xf>
    <xf numFmtId="164" fontId="12" fillId="6" borderId="0" xfId="1" applyNumberFormat="1" applyFont="1" applyFill="1" applyBorder="1" applyAlignment="1">
      <alignment horizontal="center" vertical="center"/>
    </xf>
    <xf numFmtId="164" fontId="15" fillId="0" borderId="0" xfId="1" applyNumberFormat="1" applyFont="1" applyFill="1" applyAlignment="1">
      <alignment horizontal="center" vertical="center"/>
    </xf>
    <xf numFmtId="164" fontId="15" fillId="8" borderId="0" xfId="1" applyNumberFormat="1" applyFont="1" applyFill="1" applyAlignment="1">
      <alignment horizontal="center" vertical="center"/>
    </xf>
    <xf numFmtId="0" fontId="12" fillId="0" borderId="0" xfId="1" applyFont="1" applyBorder="1" applyAlignment="1">
      <alignment vertical="center"/>
    </xf>
    <xf numFmtId="3" fontId="15" fillId="0" borderId="0" xfId="1" applyNumberFormat="1" applyFont="1" applyBorder="1" applyAlignment="1">
      <alignment horizontal="center" vertical="center"/>
    </xf>
    <xf numFmtId="165" fontId="15" fillId="0" borderId="1" xfId="1" applyNumberFormat="1" applyFont="1" applyBorder="1" applyAlignment="1">
      <alignment horizontal="center" vertical="center"/>
    </xf>
    <xf numFmtId="0" fontId="19" fillId="0" borderId="0" xfId="1" applyFont="1" applyAlignment="1">
      <alignment horizontal="center" vertical="center"/>
    </xf>
    <xf numFmtId="0" fontId="15" fillId="0" borderId="1" xfId="1" applyFont="1" applyBorder="1" applyAlignment="1">
      <alignment horizontal="center" vertical="center"/>
    </xf>
    <xf numFmtId="9" fontId="15" fillId="0" borderId="1" xfId="1" applyNumberFormat="1" applyFont="1" applyBorder="1" applyAlignment="1">
      <alignment horizontal="center" vertical="center"/>
    </xf>
    <xf numFmtId="3" fontId="12" fillId="0" borderId="1" xfId="1" applyNumberFormat="1" applyFont="1" applyBorder="1" applyAlignment="1">
      <alignment horizontal="center" vertical="center"/>
    </xf>
    <xf numFmtId="10" fontId="15" fillId="0" borderId="1" xfId="1" applyNumberFormat="1" applyFont="1" applyBorder="1" applyAlignment="1">
      <alignment horizontal="center" vertical="center"/>
    </xf>
    <xf numFmtId="0" fontId="15" fillId="0" borderId="0" xfId="1" applyFont="1" applyBorder="1" applyAlignment="1">
      <alignment horizontal="center" vertical="center"/>
    </xf>
    <xf numFmtId="0" fontId="20" fillId="0" borderId="0" xfId="0" applyFont="1" applyFill="1"/>
    <xf numFmtId="0" fontId="21" fillId="0" borderId="0" xfId="0" applyFont="1" applyFill="1"/>
    <xf numFmtId="0" fontId="23" fillId="0" borderId="16" xfId="0" applyFont="1" applyBorder="1" applyAlignment="1">
      <alignment horizontal="center" vertical="center" wrapText="1"/>
    </xf>
    <xf numFmtId="0" fontId="22" fillId="0" borderId="16" xfId="0" applyFont="1" applyBorder="1" applyAlignment="1">
      <alignment horizontal="center" vertical="center" wrapText="1"/>
    </xf>
    <xf numFmtId="166" fontId="23" fillId="7" borderId="16" xfId="0" applyNumberFormat="1" applyFont="1" applyFill="1" applyBorder="1" applyAlignment="1">
      <alignment horizontal="right" vertical="center" wrapText="1"/>
    </xf>
    <xf numFmtId="0" fontId="22" fillId="0" borderId="18" xfId="0" applyFont="1" applyBorder="1" applyAlignment="1">
      <alignment horizontal="center" vertical="center" wrapText="1"/>
    </xf>
    <xf numFmtId="0" fontId="22" fillId="0" borderId="18" xfId="0" applyFont="1" applyBorder="1" applyAlignment="1">
      <alignment vertical="center" wrapText="1"/>
    </xf>
    <xf numFmtId="0" fontId="22" fillId="0" borderId="18" xfId="0" applyFont="1" applyBorder="1" applyAlignment="1">
      <alignment horizontal="center" vertical="center"/>
    </xf>
    <xf numFmtId="0" fontId="22" fillId="0" borderId="18" xfId="0" applyFont="1" applyBorder="1" applyAlignment="1">
      <alignment vertical="center"/>
    </xf>
    <xf numFmtId="164" fontId="22" fillId="0" borderId="18" xfId="0" applyNumberFormat="1" applyFont="1" applyBorder="1" applyAlignment="1">
      <alignment vertical="center"/>
    </xf>
    <xf numFmtId="167" fontId="22" fillId="0" borderId="19" xfId="0" applyNumberFormat="1" applyFont="1" applyBorder="1" applyAlignment="1">
      <alignment horizontal="right" vertical="center"/>
    </xf>
    <xf numFmtId="0" fontId="22" fillId="0" borderId="20" xfId="0" applyFont="1" applyBorder="1" applyAlignment="1">
      <alignment horizontal="center" vertical="center" wrapText="1"/>
    </xf>
    <xf numFmtId="0" fontId="22" fillId="0" borderId="20" xfId="0" applyFont="1" applyBorder="1" applyAlignment="1">
      <alignment vertical="center" wrapText="1"/>
    </xf>
    <xf numFmtId="0" fontId="22" fillId="0" borderId="20" xfId="0" applyFont="1" applyBorder="1" applyAlignment="1">
      <alignment vertical="center"/>
    </xf>
    <xf numFmtId="164" fontId="22" fillId="0" borderId="20" xfId="0" applyNumberFormat="1" applyFont="1" applyBorder="1" applyAlignment="1">
      <alignment vertical="center"/>
    </xf>
    <xf numFmtId="0" fontId="22" fillId="0" borderId="21" xfId="0" applyFont="1" applyBorder="1" applyAlignment="1">
      <alignment horizontal="center" vertical="center"/>
    </xf>
    <xf numFmtId="0" fontId="22" fillId="0" borderId="21" xfId="0" applyFont="1" applyBorder="1" applyAlignment="1">
      <alignment vertical="center"/>
    </xf>
    <xf numFmtId="0" fontId="22" fillId="0" borderId="21" xfId="0" applyFont="1" applyBorder="1" applyAlignment="1">
      <alignment horizontal="right" vertical="center"/>
    </xf>
    <xf numFmtId="167" fontId="22" fillId="0" borderId="21" xfId="0" applyNumberFormat="1" applyFont="1" applyBorder="1" applyAlignment="1">
      <alignment horizontal="right" vertical="center"/>
    </xf>
    <xf numFmtId="0" fontId="15" fillId="8" borderId="0" xfId="1" applyFont="1" applyFill="1" applyAlignment="1">
      <alignment horizontal="center" vertical="center"/>
    </xf>
    <xf numFmtId="164" fontId="25" fillId="7" borderId="0" xfId="1" applyNumberFormat="1" applyFont="1" applyFill="1" applyAlignment="1">
      <alignment horizontal="center" vertical="center"/>
    </xf>
    <xf numFmtId="164" fontId="25" fillId="8" borderId="0" xfId="1" applyNumberFormat="1" applyFont="1" applyFill="1" applyAlignment="1">
      <alignment horizontal="center" vertical="center"/>
    </xf>
    <xf numFmtId="164" fontId="25" fillId="9" borderId="0" xfId="1" applyNumberFormat="1" applyFont="1" applyFill="1" applyAlignment="1">
      <alignment horizontal="center" vertical="center"/>
    </xf>
    <xf numFmtId="9" fontId="5" fillId="0" borderId="3" xfId="0" applyNumberFormat="1" applyFont="1" applyBorder="1" applyAlignment="1">
      <alignment horizontal="center" vertical="center"/>
    </xf>
    <xf numFmtId="0" fontId="27" fillId="0" borderId="0" xfId="1" applyFont="1" applyAlignment="1">
      <alignment horizontal="left" vertical="center"/>
    </xf>
    <xf numFmtId="0" fontId="25" fillId="0" borderId="0" xfId="1" applyFont="1" applyAlignment="1">
      <alignment horizontal="center" vertical="center"/>
    </xf>
    <xf numFmtId="0" fontId="27" fillId="0" borderId="0" xfId="1" applyFont="1" applyAlignment="1">
      <alignment horizontal="center" vertical="center"/>
    </xf>
    <xf numFmtId="164" fontId="25" fillId="0" borderId="0" xfId="1" applyNumberFormat="1" applyFont="1" applyBorder="1" applyAlignment="1">
      <alignment horizontal="center" vertical="center"/>
    </xf>
    <xf numFmtId="164" fontId="25" fillId="0" borderId="0" xfId="1" applyNumberFormat="1" applyFont="1" applyFill="1" applyAlignment="1">
      <alignment horizontal="center" vertical="center"/>
    </xf>
    <xf numFmtId="0" fontId="27" fillId="0" borderId="0" xfId="1" applyFont="1" applyBorder="1" applyAlignment="1">
      <alignment vertical="center"/>
    </xf>
    <xf numFmtId="3" fontId="25" fillId="0" borderId="0" xfId="1" applyNumberFormat="1" applyFont="1" applyBorder="1" applyAlignment="1">
      <alignment horizontal="center" vertical="center"/>
    </xf>
    <xf numFmtId="0" fontId="25" fillId="0" borderId="0" xfId="1" applyFont="1" applyAlignment="1">
      <alignment horizontal="left" vertical="center"/>
    </xf>
    <xf numFmtId="164" fontId="25" fillId="10" borderId="0" xfId="1" applyNumberFormat="1" applyFont="1" applyFill="1" applyAlignment="1">
      <alignment horizontal="center" vertical="center"/>
    </xf>
    <xf numFmtId="164" fontId="25" fillId="11" borderId="0" xfId="1" applyNumberFormat="1" applyFont="1" applyFill="1" applyAlignment="1">
      <alignment horizontal="center" vertical="center"/>
    </xf>
    <xf numFmtId="164" fontId="2" fillId="0" borderId="1" xfId="0" applyNumberFormat="1" applyFont="1" applyBorder="1" applyAlignment="1">
      <alignment horizontal="center" vertical="center"/>
    </xf>
    <xf numFmtId="3" fontId="6" fillId="0" borderId="1" xfId="0" applyNumberFormat="1" applyFont="1" applyBorder="1" applyAlignment="1">
      <alignment horizontal="center" vertical="center"/>
    </xf>
    <xf numFmtId="3" fontId="6" fillId="0" borderId="11" xfId="0" applyNumberFormat="1" applyFont="1" applyBorder="1" applyAlignment="1">
      <alignment horizontal="center" vertical="center"/>
    </xf>
    <xf numFmtId="164" fontId="5" fillId="0" borderId="3" xfId="0" applyNumberFormat="1" applyFont="1" applyBorder="1" applyAlignment="1">
      <alignment horizontal="center" vertical="center"/>
    </xf>
    <xf numFmtId="0" fontId="12" fillId="0" borderId="0" xfId="1" applyFont="1" applyBorder="1" applyAlignment="1">
      <alignment horizontal="left" vertical="center"/>
    </xf>
    <xf numFmtId="0" fontId="1" fillId="0" borderId="40" xfId="0" applyFont="1" applyBorder="1" applyAlignment="1">
      <alignment horizontal="center" vertical="center"/>
    </xf>
    <xf numFmtId="43" fontId="1" fillId="0" borderId="40" xfId="0" applyNumberFormat="1" applyFont="1" applyBorder="1" applyAlignment="1">
      <alignment horizontal="center" vertical="center"/>
    </xf>
    <xf numFmtId="0" fontId="2" fillId="0" borderId="41" xfId="0" applyFont="1" applyBorder="1" applyAlignment="1">
      <alignment horizontal="center" vertical="center"/>
    </xf>
    <xf numFmtId="0" fontId="2" fillId="0" borderId="41" xfId="0" applyNumberFormat="1" applyFont="1" applyBorder="1" applyAlignment="1"/>
    <xf numFmtId="3" fontId="2" fillId="0" borderId="41" xfId="0" applyNumberFormat="1" applyFont="1" applyBorder="1" applyAlignment="1">
      <alignment horizontal="right"/>
    </xf>
    <xf numFmtId="0" fontId="2" fillId="0" borderId="41" xfId="0" applyFont="1" applyBorder="1"/>
    <xf numFmtId="3" fontId="2" fillId="0" borderId="41" xfId="0" applyNumberFormat="1" applyFont="1" applyBorder="1" applyAlignment="1">
      <alignment horizontal="right" vertical="center"/>
    </xf>
    <xf numFmtId="0" fontId="2" fillId="0" borderId="41" xfId="0" applyFont="1" applyBorder="1" applyAlignment="1">
      <alignment vertical="center" wrapText="1"/>
    </xf>
    <xf numFmtId="0" fontId="2" fillId="0" borderId="41" xfId="0" applyFont="1" applyBorder="1" applyAlignment="1">
      <alignment horizontal="right"/>
    </xf>
    <xf numFmtId="0" fontId="2" fillId="0" borderId="42" xfId="0" applyFont="1" applyBorder="1"/>
    <xf numFmtId="3" fontId="2" fillId="0" borderId="43" xfId="0" applyNumberFormat="1" applyFont="1" applyBorder="1" applyAlignment="1">
      <alignment horizontal="right"/>
    </xf>
    <xf numFmtId="3" fontId="1" fillId="0" borderId="46" xfId="0" applyNumberFormat="1" applyFont="1" applyBorder="1" applyAlignment="1">
      <alignment horizontal="center" vertical="center"/>
    </xf>
    <xf numFmtId="0" fontId="1" fillId="0" borderId="40" xfId="0" applyFont="1" applyBorder="1" applyAlignment="1">
      <alignment horizontal="center" vertical="center" wrapText="1"/>
    </xf>
    <xf numFmtId="3" fontId="30" fillId="0" borderId="27" xfId="0" applyNumberFormat="1" applyFont="1" applyBorder="1" applyAlignment="1">
      <alignment horizontal="center"/>
    </xf>
    <xf numFmtId="3" fontId="30" fillId="0" borderId="3" xfId="0" applyNumberFormat="1" applyFont="1" applyBorder="1" applyAlignment="1">
      <alignment horizontal="center"/>
    </xf>
    <xf numFmtId="3" fontId="30" fillId="0" borderId="3" xfId="0" applyNumberFormat="1" applyFont="1" applyFill="1" applyBorder="1" applyAlignment="1">
      <alignment horizontal="center"/>
    </xf>
    <xf numFmtId="3" fontId="30" fillId="0" borderId="11" xfId="0" applyNumberFormat="1" applyFont="1" applyFill="1" applyBorder="1" applyAlignment="1">
      <alignment horizontal="center"/>
    </xf>
    <xf numFmtId="3" fontId="30" fillId="0" borderId="10" xfId="0" applyNumberFormat="1" applyFont="1" applyFill="1" applyBorder="1" applyAlignment="1">
      <alignment horizontal="center"/>
    </xf>
    <xf numFmtId="3" fontId="30" fillId="0" borderId="1" xfId="0" applyNumberFormat="1" applyFont="1" applyFill="1" applyBorder="1" applyAlignment="1">
      <alignment horizontal="center"/>
    </xf>
    <xf numFmtId="3" fontId="30" fillId="0" borderId="29" xfId="0" applyNumberFormat="1" applyFont="1" applyBorder="1" applyAlignment="1">
      <alignment horizontal="center" vertical="center"/>
    </xf>
    <xf numFmtId="3" fontId="30" fillId="0" borderId="29" xfId="0" applyNumberFormat="1" applyFont="1" applyBorder="1" applyAlignment="1">
      <alignment horizontal="justify" vertical="center" wrapText="1"/>
    </xf>
    <xf numFmtId="3" fontId="31" fillId="0" borderId="30" xfId="0" applyNumberFormat="1" applyFont="1" applyBorder="1"/>
    <xf numFmtId="3" fontId="31" fillId="0" borderId="31" xfId="0" applyNumberFormat="1" applyFont="1" applyBorder="1"/>
    <xf numFmtId="3" fontId="32" fillId="0" borderId="31" xfId="0" applyNumberFormat="1" applyFont="1" applyBorder="1"/>
    <xf numFmtId="3" fontId="32" fillId="0" borderId="31" xfId="0" applyNumberFormat="1" applyFont="1" applyFill="1" applyBorder="1"/>
    <xf numFmtId="3" fontId="31" fillId="0" borderId="31" xfId="0" applyNumberFormat="1" applyFont="1" applyFill="1" applyBorder="1"/>
    <xf numFmtId="3" fontId="32" fillId="0" borderId="32" xfId="0" applyNumberFormat="1" applyFont="1" applyFill="1" applyBorder="1"/>
    <xf numFmtId="3" fontId="31" fillId="0" borderId="30" xfId="0" applyNumberFormat="1" applyFont="1" applyFill="1" applyBorder="1"/>
    <xf numFmtId="3" fontId="31" fillId="0" borderId="33" xfId="0" applyNumberFormat="1" applyFont="1" applyBorder="1" applyAlignment="1">
      <alignment horizontal="center" vertical="center"/>
    </xf>
    <xf numFmtId="3" fontId="31" fillId="0" borderId="33" xfId="0" applyNumberFormat="1" applyFont="1" applyBorder="1" applyAlignment="1">
      <alignment horizontal="justify" vertical="center" wrapText="1"/>
    </xf>
    <xf numFmtId="3" fontId="31" fillId="0" borderId="34" xfId="0" applyNumberFormat="1" applyFont="1" applyBorder="1"/>
    <xf numFmtId="3" fontId="31" fillId="0" borderId="18" xfId="0" applyNumberFormat="1" applyFont="1" applyBorder="1"/>
    <xf numFmtId="3" fontId="32" fillId="0" borderId="18" xfId="0" applyNumberFormat="1" applyFont="1" applyBorder="1"/>
    <xf numFmtId="3" fontId="32" fillId="0" borderId="18" xfId="0" applyNumberFormat="1" applyFont="1" applyFill="1" applyBorder="1"/>
    <xf numFmtId="3" fontId="31" fillId="0" borderId="18" xfId="0" applyNumberFormat="1" applyFont="1" applyFill="1" applyBorder="1"/>
    <xf numFmtId="3" fontId="32" fillId="0" borderId="35" xfId="0" applyNumberFormat="1" applyFont="1" applyFill="1" applyBorder="1"/>
    <xf numFmtId="3" fontId="31" fillId="0" borderId="34" xfId="0" applyNumberFormat="1" applyFont="1" applyFill="1" applyBorder="1"/>
    <xf numFmtId="3" fontId="30" fillId="0" borderId="33" xfId="0" applyNumberFormat="1" applyFont="1" applyBorder="1" applyAlignment="1">
      <alignment horizontal="center" vertical="center"/>
    </xf>
    <xf numFmtId="3" fontId="30" fillId="0" borderId="33" xfId="0" applyNumberFormat="1" applyFont="1" applyBorder="1" applyAlignment="1">
      <alignment horizontal="justify" vertical="center" wrapText="1"/>
    </xf>
    <xf numFmtId="3" fontId="33" fillId="0" borderId="33" xfId="0" applyNumberFormat="1" applyFont="1" applyBorder="1" applyAlignment="1">
      <alignment horizontal="center" vertical="center"/>
    </xf>
    <xf numFmtId="3" fontId="33" fillId="0" borderId="33" xfId="0" applyNumberFormat="1" applyFont="1" applyBorder="1" applyAlignment="1">
      <alignment horizontal="justify" vertical="center" wrapText="1"/>
    </xf>
    <xf numFmtId="3" fontId="34" fillId="0" borderId="33" xfId="0" applyNumberFormat="1" applyFont="1" applyBorder="1" applyAlignment="1">
      <alignment horizontal="justify" vertical="center" wrapText="1"/>
    </xf>
    <xf numFmtId="3" fontId="35" fillId="0" borderId="33" xfId="0" applyNumberFormat="1" applyFont="1" applyBorder="1" applyAlignment="1">
      <alignment horizontal="justify" vertical="center" wrapText="1"/>
    </xf>
    <xf numFmtId="3" fontId="36" fillId="0" borderId="35" xfId="0" applyNumberFormat="1" applyFont="1" applyFill="1" applyBorder="1"/>
    <xf numFmtId="3" fontId="31" fillId="0" borderId="36" xfId="0" applyNumberFormat="1" applyFont="1" applyBorder="1" applyAlignment="1">
      <alignment horizontal="center" vertical="center"/>
    </xf>
    <xf numFmtId="3" fontId="31" fillId="0" borderId="36" xfId="0" applyNumberFormat="1" applyFont="1" applyBorder="1" applyAlignment="1">
      <alignment horizontal="justify" vertical="center" wrapText="1"/>
    </xf>
    <xf numFmtId="3" fontId="31" fillId="0" borderId="37" xfId="0" applyNumberFormat="1" applyFont="1" applyBorder="1"/>
    <xf numFmtId="3" fontId="31" fillId="0" borderId="38" xfId="0" applyNumberFormat="1" applyFont="1" applyBorder="1"/>
    <xf numFmtId="3" fontId="32" fillId="0" borderId="38" xfId="0" applyNumberFormat="1" applyFont="1" applyBorder="1"/>
    <xf numFmtId="3" fontId="32" fillId="0" borderId="38" xfId="0" applyNumberFormat="1" applyFont="1" applyFill="1" applyBorder="1"/>
    <xf numFmtId="3" fontId="31" fillId="0" borderId="38" xfId="0" applyNumberFormat="1" applyFont="1" applyFill="1" applyBorder="1"/>
    <xf numFmtId="3" fontId="32" fillId="0" borderId="39" xfId="0" applyNumberFormat="1" applyFont="1" applyFill="1" applyBorder="1"/>
    <xf numFmtId="3" fontId="31" fillId="0" borderId="37" xfId="0" applyNumberFormat="1" applyFont="1" applyFill="1" applyBorder="1"/>
    <xf numFmtId="3" fontId="30" fillId="0" borderId="41" xfId="0" applyNumberFormat="1" applyFont="1" applyBorder="1" applyAlignment="1">
      <alignment horizontal="center" vertical="center"/>
    </xf>
    <xf numFmtId="3" fontId="30" fillId="0" borderId="41" xfId="0" applyNumberFormat="1" applyFont="1" applyBorder="1" applyAlignment="1">
      <alignment horizontal="justify" vertical="center" wrapText="1"/>
    </xf>
    <xf numFmtId="0" fontId="2" fillId="0" borderId="10" xfId="0" applyFont="1" applyBorder="1"/>
    <xf numFmtId="0" fontId="2" fillId="0" borderId="1" xfId="0" applyFont="1" applyBorder="1"/>
    <xf numFmtId="0" fontId="2" fillId="0" borderId="11" xfId="0" applyFont="1" applyBorder="1"/>
    <xf numFmtId="3" fontId="31" fillId="0" borderId="41" xfId="0" applyNumberFormat="1" applyFont="1" applyBorder="1" applyAlignment="1">
      <alignment horizontal="center" vertical="center"/>
    </xf>
    <xf numFmtId="3" fontId="31" fillId="0" borderId="41" xfId="0" applyNumberFormat="1" applyFont="1" applyBorder="1" applyAlignment="1">
      <alignment horizontal="left" vertical="top" wrapText="1"/>
    </xf>
    <xf numFmtId="3" fontId="2" fillId="0" borderId="10" xfId="0" applyNumberFormat="1" applyFont="1" applyBorder="1" applyAlignment="1">
      <alignment vertical="center"/>
    </xf>
    <xf numFmtId="3" fontId="31" fillId="0" borderId="41" xfId="0" applyNumberFormat="1" applyFont="1" applyBorder="1" applyAlignment="1">
      <alignment horizontal="left" vertical="center" wrapText="1"/>
    </xf>
    <xf numFmtId="3" fontId="2" fillId="0" borderId="1" xfId="0" applyNumberFormat="1" applyFont="1" applyBorder="1" applyAlignment="1">
      <alignment vertical="center"/>
    </xf>
    <xf numFmtId="3" fontId="30" fillId="0" borderId="41" xfId="0" applyNumberFormat="1" applyFont="1" applyBorder="1" applyAlignment="1">
      <alignment horizontal="left" vertical="center" wrapText="1"/>
    </xf>
    <xf numFmtId="3" fontId="2" fillId="0" borderId="1" xfId="0" applyNumberFormat="1" applyFont="1" applyBorder="1"/>
    <xf numFmtId="3" fontId="2" fillId="0" borderId="11" xfId="0" applyNumberFormat="1" applyFont="1" applyBorder="1"/>
    <xf numFmtId="3" fontId="2" fillId="0" borderId="11" xfId="0" applyNumberFormat="1" applyFont="1" applyBorder="1" applyAlignment="1">
      <alignment vertical="center"/>
    </xf>
    <xf numFmtId="3" fontId="33" fillId="0" borderId="41" xfId="0" applyNumberFormat="1" applyFont="1" applyBorder="1" applyAlignment="1">
      <alignment horizontal="center" vertical="center"/>
    </xf>
    <xf numFmtId="3" fontId="33" fillId="0" borderId="41" xfId="0" applyNumberFormat="1" applyFont="1" applyBorder="1" applyAlignment="1">
      <alignment horizontal="left" vertical="center" wrapText="1"/>
    </xf>
    <xf numFmtId="3" fontId="4" fillId="0" borderId="41" xfId="0" applyNumberFormat="1" applyFont="1" applyBorder="1" applyAlignment="1">
      <alignment horizontal="left" vertical="center" wrapText="1"/>
    </xf>
    <xf numFmtId="3" fontId="31" fillId="0" borderId="41" xfId="0" applyNumberFormat="1" applyFont="1" applyBorder="1" applyAlignment="1">
      <alignment horizontal="justify" vertical="center" wrapText="1"/>
    </xf>
    <xf numFmtId="3" fontId="2" fillId="0" borderId="41" xfId="0" applyNumberFormat="1" applyFont="1" applyBorder="1" applyAlignment="1">
      <alignment horizontal="justify" vertical="center" wrapText="1"/>
    </xf>
    <xf numFmtId="3" fontId="4" fillId="0" borderId="10" xfId="0" applyNumberFormat="1" applyFont="1" applyBorder="1" applyAlignment="1">
      <alignment horizontal="center" vertical="center"/>
    </xf>
    <xf numFmtId="3" fontId="4" fillId="0" borderId="1" xfId="0" applyNumberFormat="1" applyFont="1" applyBorder="1" applyAlignment="1">
      <alignment horizontal="center" vertical="center"/>
    </xf>
    <xf numFmtId="3" fontId="4" fillId="0" borderId="11" xfId="0" applyNumberFormat="1" applyFont="1" applyBorder="1" applyAlignment="1">
      <alignment horizontal="center" vertical="center"/>
    </xf>
    <xf numFmtId="168" fontId="2" fillId="0" borderId="41" xfId="0" applyNumberFormat="1" applyFont="1" applyBorder="1" applyAlignment="1">
      <alignment horizontal="left"/>
    </xf>
    <xf numFmtId="3" fontId="2" fillId="0" borderId="10" xfId="0" applyNumberFormat="1" applyFont="1" applyBorder="1"/>
    <xf numFmtId="3" fontId="2" fillId="0" borderId="12" xfId="0" applyNumberFormat="1" applyFont="1" applyBorder="1"/>
    <xf numFmtId="3" fontId="2" fillId="0" borderId="13" xfId="0" applyNumberFormat="1" applyFont="1" applyBorder="1"/>
    <xf numFmtId="3" fontId="2" fillId="0" borderId="14" xfId="0" applyNumberFormat="1" applyFont="1" applyBorder="1"/>
    <xf numFmtId="3" fontId="2" fillId="0" borderId="1" xfId="0" applyNumberFormat="1" applyFont="1" applyBorder="1" applyAlignment="1">
      <alignment horizontal="right"/>
    </xf>
    <xf numFmtId="3" fontId="2" fillId="0" borderId="10" xfId="0" applyNumberFormat="1" applyFont="1" applyBorder="1" applyAlignment="1">
      <alignment horizontal="center" vertical="center"/>
    </xf>
    <xf numFmtId="3" fontId="2" fillId="0" borderId="0" xfId="0" applyNumberFormat="1" applyFont="1"/>
    <xf numFmtId="0" fontId="2" fillId="0" borderId="0" xfId="0" applyFont="1" applyFill="1" applyBorder="1"/>
    <xf numFmtId="170" fontId="2" fillId="0" borderId="0" xfId="0" applyNumberFormat="1" applyFont="1"/>
    <xf numFmtId="171" fontId="2" fillId="0" borderId="0" xfId="0" applyNumberFormat="1" applyFont="1"/>
    <xf numFmtId="0" fontId="2" fillId="0" borderId="0" xfId="0" applyFont="1" applyAlignment="1">
      <alignment horizontal="center"/>
    </xf>
    <xf numFmtId="0" fontId="2" fillId="0" borderId="0" xfId="0" applyFont="1" applyBorder="1" applyAlignment="1">
      <alignment vertical="center" wrapText="1"/>
    </xf>
    <xf numFmtId="171" fontId="2" fillId="0" borderId="0" xfId="0" applyNumberFormat="1" applyFont="1" applyBorder="1" applyAlignment="1">
      <alignment horizontal="center" vertical="center" wrapText="1"/>
    </xf>
    <xf numFmtId="0" fontId="2" fillId="0" borderId="0" xfId="0" applyFont="1" applyBorder="1" applyAlignment="1">
      <alignment horizontal="left" vertical="center" wrapText="1"/>
    </xf>
    <xf numFmtId="0" fontId="1" fillId="2" borderId="1" xfId="0" applyFont="1" applyFill="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vertical="center" wrapText="1"/>
    </xf>
    <xf numFmtId="172" fontId="2" fillId="0" borderId="1" xfId="0" applyNumberFormat="1" applyFont="1" applyBorder="1" applyAlignment="1">
      <alignment horizontal="center" vertical="center"/>
    </xf>
    <xf numFmtId="10" fontId="0" fillId="0" borderId="0" xfId="0" applyNumberFormat="1"/>
    <xf numFmtId="10" fontId="0" fillId="0" borderId="0" xfId="0" applyNumberFormat="1" applyAlignment="1">
      <alignment vertical="center"/>
    </xf>
    <xf numFmtId="49" fontId="2" fillId="0" borderId="1" xfId="0" applyNumberFormat="1" applyFont="1" applyBorder="1" applyAlignment="1">
      <alignment horizontal="left" vertical="center" wrapText="1"/>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xf>
    <xf numFmtId="3" fontId="1" fillId="8" borderId="1" xfId="0" applyNumberFormat="1" applyFont="1" applyFill="1" applyBorder="1" applyAlignment="1">
      <alignment horizontal="center" vertical="center" wrapText="1"/>
    </xf>
    <xf numFmtId="0" fontId="1" fillId="8" borderId="1" xfId="0" applyFont="1" applyFill="1" applyBorder="1" applyAlignment="1">
      <alignment horizontal="center"/>
    </xf>
    <xf numFmtId="3" fontId="1" fillId="8" borderId="1" xfId="0" applyNumberFormat="1" applyFont="1" applyFill="1" applyBorder="1" applyAlignment="1">
      <alignment horizontal="center"/>
    </xf>
    <xf numFmtId="0" fontId="1" fillId="8" borderId="41" xfId="0" applyFont="1" applyFill="1" applyBorder="1" applyAlignment="1">
      <alignment horizontal="center" vertical="center"/>
    </xf>
    <xf numFmtId="0" fontId="1" fillId="8" borderId="41" xfId="0" applyFont="1" applyFill="1" applyBorder="1" applyAlignment="1">
      <alignment horizontal="center"/>
    </xf>
    <xf numFmtId="169" fontId="2" fillId="0" borderId="41" xfId="0" applyNumberFormat="1" applyFont="1" applyBorder="1" applyAlignment="1">
      <alignment horizontal="left"/>
    </xf>
    <xf numFmtId="3" fontId="1" fillId="8" borderId="41" xfId="0" applyNumberFormat="1" applyFont="1" applyFill="1" applyBorder="1" applyAlignment="1">
      <alignment horizontal="center" vertical="center" wrapText="1"/>
    </xf>
    <xf numFmtId="3" fontId="1" fillId="0" borderId="41" xfId="0" applyNumberFormat="1" applyFont="1" applyBorder="1" applyAlignment="1">
      <alignment horizontal="center" vertical="center"/>
    </xf>
    <xf numFmtId="3" fontId="1" fillId="8" borderId="41" xfId="0" applyNumberFormat="1" applyFont="1" applyFill="1" applyBorder="1" applyAlignment="1">
      <alignment horizontal="center"/>
    </xf>
    <xf numFmtId="3" fontId="29" fillId="0" borderId="41" xfId="0" applyNumberFormat="1" applyFont="1" applyBorder="1"/>
    <xf numFmtId="0" fontId="1" fillId="0" borderId="10" xfId="0" applyFont="1" applyBorder="1" applyAlignment="1">
      <alignment horizontal="center"/>
    </xf>
    <xf numFmtId="0" fontId="1" fillId="0" borderId="11" xfId="0" applyFont="1" applyBorder="1" applyAlignment="1">
      <alignment horizontal="center"/>
    </xf>
    <xf numFmtId="3" fontId="1" fillId="8" borderId="10" xfId="0" applyNumberFormat="1" applyFont="1" applyFill="1" applyBorder="1" applyAlignment="1">
      <alignment horizontal="center" vertical="center" wrapText="1"/>
    </xf>
    <xf numFmtId="3" fontId="1" fillId="8" borderId="11" xfId="0" applyNumberFormat="1" applyFont="1" applyFill="1" applyBorder="1" applyAlignment="1">
      <alignment horizontal="center" vertical="center" wrapText="1"/>
    </xf>
    <xf numFmtId="3" fontId="2" fillId="0" borderId="11" xfId="0" applyNumberFormat="1" applyFont="1" applyBorder="1" applyAlignment="1">
      <alignment horizontal="center" vertical="center"/>
    </xf>
    <xf numFmtId="3" fontId="1" fillId="8" borderId="10" xfId="0" applyNumberFormat="1" applyFont="1" applyFill="1" applyBorder="1" applyAlignment="1">
      <alignment horizontal="center"/>
    </xf>
    <xf numFmtId="3" fontId="1" fillId="8" borderId="11" xfId="0" applyNumberFormat="1" applyFont="1" applyFill="1" applyBorder="1" applyAlignment="1">
      <alignment horizontal="center"/>
    </xf>
    <xf numFmtId="0" fontId="1" fillId="8" borderId="10" xfId="0" applyFont="1" applyFill="1" applyBorder="1" applyAlignment="1">
      <alignment horizontal="center"/>
    </xf>
    <xf numFmtId="0" fontId="1" fillId="8" borderId="11" xfId="0" applyFont="1" applyFill="1" applyBorder="1" applyAlignment="1">
      <alignment horizontal="center"/>
    </xf>
    <xf numFmtId="0" fontId="3" fillId="0" borderId="0" xfId="0" applyFont="1" applyAlignment="1">
      <alignment horizontal="center"/>
    </xf>
    <xf numFmtId="0" fontId="1" fillId="0" borderId="0" xfId="0" applyFont="1" applyAlignment="1">
      <alignment horizontal="center" vertical="center" wrapText="1"/>
    </xf>
    <xf numFmtId="0" fontId="29" fillId="0" borderId="0" xfId="0" applyFont="1" applyAlignment="1">
      <alignment horizontal="center"/>
    </xf>
    <xf numFmtId="0" fontId="1" fillId="0" borderId="44" xfId="0" applyFont="1" applyBorder="1" applyAlignment="1">
      <alignment horizontal="center"/>
    </xf>
    <xf numFmtId="0" fontId="1" fillId="0" borderId="45" xfId="0" applyFont="1" applyBorder="1" applyAlignment="1">
      <alignment horizontal="center"/>
    </xf>
    <xf numFmtId="0" fontId="1" fillId="0" borderId="1" xfId="0" applyFont="1" applyBorder="1" applyAlignment="1">
      <alignment horizont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3" fillId="0" borderId="6" xfId="0" applyFont="1" applyBorder="1" applyAlignment="1">
      <alignment horizontal="center"/>
    </xf>
    <xf numFmtId="0" fontId="1" fillId="0" borderId="0" xfId="0" applyFont="1" applyAlignment="1">
      <alignment horizont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5" fillId="0" borderId="1" xfId="0" applyFont="1" applyBorder="1" applyAlignment="1">
      <alignment horizontal="center" vertical="center"/>
    </xf>
    <xf numFmtId="0" fontId="1" fillId="2" borderId="1" xfId="0" applyFont="1" applyFill="1" applyBorder="1" applyAlignment="1">
      <alignment horizontal="center" vertical="center"/>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1" fillId="2" borderId="1" xfId="0" applyFont="1" applyFill="1" applyBorder="1" applyAlignment="1">
      <alignment horizontal="center"/>
    </xf>
    <xf numFmtId="0" fontId="1" fillId="2" borderId="3" xfId="0" applyFont="1" applyFill="1" applyBorder="1" applyAlignment="1">
      <alignment horizontal="center" vertical="center"/>
    </xf>
    <xf numFmtId="0" fontId="1" fillId="2" borderId="5" xfId="0" applyFont="1" applyFill="1" applyBorder="1" applyAlignment="1">
      <alignment horizontal="center" vertical="center"/>
    </xf>
    <xf numFmtId="0" fontId="2" fillId="0" borderId="2" xfId="0" applyFont="1" applyBorder="1" applyAlignment="1">
      <alignment horizontal="left" vertical="center" wrapText="1"/>
    </xf>
    <xf numFmtId="0" fontId="4" fillId="0" borderId="0" xfId="0" applyFont="1" applyAlignment="1">
      <alignment horizontal="left" vertical="center" wrapText="1"/>
    </xf>
    <xf numFmtId="0" fontId="2" fillId="0" borderId="0" xfId="0" applyFont="1" applyBorder="1" applyAlignment="1">
      <alignment horizontal="left" vertical="center" wrapText="1"/>
    </xf>
    <xf numFmtId="0" fontId="1" fillId="0" borderId="0" xfId="0" applyFont="1" applyAlignment="1">
      <alignment horizontal="center" vertical="center"/>
    </xf>
    <xf numFmtId="0" fontId="1" fillId="0" borderId="6" xfId="0" applyFont="1" applyBorder="1" applyAlignment="1">
      <alignment horizontal="center"/>
    </xf>
    <xf numFmtId="0" fontId="12" fillId="0" borderId="0" xfId="1" applyFont="1" applyAlignment="1">
      <alignment horizontal="center" vertical="center"/>
    </xf>
    <xf numFmtId="0" fontId="12" fillId="0" borderId="15" xfId="1" applyFont="1" applyBorder="1" applyAlignment="1">
      <alignment horizontal="center" vertical="center"/>
    </xf>
    <xf numFmtId="0" fontId="12" fillId="0" borderId="16" xfId="1" applyFont="1" applyBorder="1" applyAlignment="1">
      <alignment horizontal="center" vertical="center"/>
    </xf>
    <xf numFmtId="0" fontId="12" fillId="0" borderId="1" xfId="1" applyFont="1" applyBorder="1" applyAlignment="1">
      <alignment horizontal="center" vertical="center"/>
    </xf>
    <xf numFmtId="0" fontId="0" fillId="0" borderId="16" xfId="0" applyBorder="1"/>
    <xf numFmtId="3" fontId="12" fillId="0" borderId="15" xfId="1" applyNumberFormat="1" applyFont="1" applyBorder="1" applyAlignment="1">
      <alignment horizontal="center" vertical="center"/>
    </xf>
    <xf numFmtId="0" fontId="12" fillId="3" borderId="1" xfId="1" applyFont="1" applyFill="1" applyBorder="1" applyAlignment="1">
      <alignment horizontal="center" vertical="center"/>
    </xf>
    <xf numFmtId="3" fontId="12" fillId="3" borderId="1" xfId="1" applyNumberFormat="1" applyFont="1" applyFill="1" applyBorder="1" applyAlignment="1">
      <alignment horizontal="center" vertical="center"/>
    </xf>
    <xf numFmtId="3" fontId="27" fillId="3" borderId="1" xfId="1" applyNumberFormat="1" applyFont="1" applyFill="1" applyBorder="1" applyAlignment="1">
      <alignment horizontal="center" vertical="center"/>
    </xf>
    <xf numFmtId="0" fontId="12" fillId="4" borderId="1" xfId="1" applyFont="1" applyFill="1" applyBorder="1" applyAlignment="1">
      <alignment horizontal="center" vertical="center"/>
    </xf>
    <xf numFmtId="0" fontId="28" fillId="5" borderId="1" xfId="1" applyFont="1" applyFill="1" applyBorder="1" applyAlignment="1">
      <alignment horizontal="center" vertical="center"/>
    </xf>
    <xf numFmtId="0" fontId="18" fillId="5" borderId="1" xfId="1" applyFont="1" applyFill="1" applyBorder="1" applyAlignment="1">
      <alignment horizontal="center" vertical="center"/>
    </xf>
    <xf numFmtId="164" fontId="12" fillId="6" borderId="1" xfId="1" applyNumberFormat="1" applyFont="1" applyFill="1" applyBorder="1" applyAlignment="1">
      <alignment horizontal="center" vertical="center"/>
    </xf>
    <xf numFmtId="0" fontId="27" fillId="0" borderId="1" xfId="1" applyFont="1" applyBorder="1" applyAlignment="1">
      <alignment horizontal="center" vertical="center"/>
    </xf>
    <xf numFmtId="164" fontId="12" fillId="6" borderId="3" xfId="1" applyNumberFormat="1" applyFont="1" applyFill="1" applyBorder="1" applyAlignment="1">
      <alignment horizontal="center" vertical="center"/>
    </xf>
    <xf numFmtId="164" fontId="12" fillId="6" borderId="5" xfId="1" applyNumberFormat="1" applyFont="1" applyFill="1" applyBorder="1" applyAlignment="1">
      <alignment horizontal="center" vertical="center"/>
    </xf>
    <xf numFmtId="0" fontId="12" fillId="0" borderId="3" xfId="1" applyFont="1" applyBorder="1" applyAlignment="1">
      <alignment horizontal="center" vertical="center"/>
    </xf>
    <xf numFmtId="0" fontId="12" fillId="0" borderId="4" xfId="1" applyFont="1" applyBorder="1" applyAlignment="1">
      <alignment horizontal="center" vertical="center"/>
    </xf>
    <xf numFmtId="0" fontId="12" fillId="0" borderId="5" xfId="1" applyFont="1" applyBorder="1" applyAlignment="1">
      <alignment horizontal="center" vertical="center"/>
    </xf>
    <xf numFmtId="0" fontId="27" fillId="0" borderId="3" xfId="1" applyFont="1" applyBorder="1" applyAlignment="1">
      <alignment horizontal="center" vertical="center"/>
    </xf>
    <xf numFmtId="0" fontId="27" fillId="0" borderId="4" xfId="1" applyFont="1" applyBorder="1" applyAlignment="1">
      <alignment horizontal="center" vertical="center"/>
    </xf>
    <xf numFmtId="0" fontId="27" fillId="0" borderId="5" xfId="1" applyFont="1" applyBorder="1" applyAlignment="1">
      <alignment horizontal="center" vertical="center"/>
    </xf>
    <xf numFmtId="0" fontId="12" fillId="3" borderId="3" xfId="1" applyFont="1" applyFill="1" applyBorder="1" applyAlignment="1">
      <alignment horizontal="center" vertical="center"/>
    </xf>
    <xf numFmtId="0" fontId="12" fillId="3" borderId="5" xfId="1" applyFont="1" applyFill="1" applyBorder="1" applyAlignment="1">
      <alignment horizontal="center" vertical="center"/>
    </xf>
    <xf numFmtId="3" fontId="27" fillId="3" borderId="3" xfId="1" applyNumberFormat="1" applyFont="1" applyFill="1" applyBorder="1" applyAlignment="1">
      <alignment horizontal="center" vertical="center"/>
    </xf>
    <xf numFmtId="3" fontId="27" fillId="3" borderId="4" xfId="1" applyNumberFormat="1" applyFont="1" applyFill="1" applyBorder="1" applyAlignment="1">
      <alignment horizontal="center" vertical="center"/>
    </xf>
    <xf numFmtId="3" fontId="27" fillId="3" borderId="5" xfId="1" applyNumberFormat="1" applyFont="1" applyFill="1" applyBorder="1" applyAlignment="1">
      <alignment horizontal="center" vertical="center"/>
    </xf>
    <xf numFmtId="0" fontId="12" fillId="4" borderId="3" xfId="1" applyFont="1" applyFill="1" applyBorder="1" applyAlignment="1">
      <alignment horizontal="center" vertical="center"/>
    </xf>
    <xf numFmtId="0" fontId="12" fillId="4" borderId="5" xfId="1" applyFont="1" applyFill="1" applyBorder="1" applyAlignment="1">
      <alignment horizontal="center" vertical="center"/>
    </xf>
    <xf numFmtId="0" fontId="28" fillId="5" borderId="3" xfId="1" applyFont="1" applyFill="1" applyBorder="1" applyAlignment="1">
      <alignment horizontal="center" vertical="center"/>
    </xf>
    <xf numFmtId="0" fontId="28" fillId="5" borderId="4" xfId="1" applyFont="1" applyFill="1" applyBorder="1" applyAlignment="1">
      <alignment horizontal="center" vertical="center"/>
    </xf>
    <xf numFmtId="0" fontId="28" fillId="5" borderId="5" xfId="1" applyFont="1" applyFill="1" applyBorder="1" applyAlignment="1">
      <alignment horizontal="center" vertical="center"/>
    </xf>
    <xf numFmtId="0" fontId="14" fillId="0" borderId="6" xfId="1" applyFont="1" applyBorder="1" applyAlignment="1">
      <alignment horizontal="left" vertical="center" wrapText="1"/>
    </xf>
    <xf numFmtId="0" fontId="22" fillId="0" borderId="15"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16"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5" xfId="0" applyFont="1" applyBorder="1" applyAlignment="1">
      <alignment horizontal="center" vertical="center" wrapText="1"/>
    </xf>
    <xf numFmtId="3" fontId="23" fillId="0" borderId="15" xfId="0" applyNumberFormat="1" applyFont="1" applyBorder="1" applyAlignment="1">
      <alignment horizontal="center" vertical="center" wrapText="1"/>
    </xf>
    <xf numFmtId="3" fontId="23" fillId="0" borderId="16" xfId="0" applyNumberFormat="1" applyFont="1" applyBorder="1" applyAlignment="1">
      <alignment horizontal="center" vertical="center" wrapText="1"/>
    </xf>
    <xf numFmtId="0" fontId="24" fillId="12" borderId="3" xfId="0" applyFont="1" applyFill="1" applyBorder="1" applyAlignment="1">
      <alignment horizontal="center" vertical="center" wrapText="1"/>
    </xf>
    <xf numFmtId="0" fontId="24" fillId="12" borderId="4" xfId="0" applyFont="1" applyFill="1" applyBorder="1" applyAlignment="1">
      <alignment horizontal="center" vertical="center" wrapText="1"/>
    </xf>
    <xf numFmtId="0" fontId="22" fillId="0" borderId="19" xfId="0" applyFont="1" applyBorder="1" applyAlignment="1">
      <alignment horizontal="center" vertical="center"/>
    </xf>
    <xf numFmtId="3" fontId="30" fillId="0" borderId="10" xfId="0" applyNumberFormat="1" applyFont="1" applyFill="1" applyBorder="1" applyAlignment="1">
      <alignment horizontal="center"/>
    </xf>
    <xf numFmtId="3" fontId="30" fillId="0" borderId="1" xfId="0" applyNumberFormat="1" applyFont="1" applyFill="1" applyBorder="1" applyAlignment="1">
      <alignment horizontal="center"/>
    </xf>
    <xf numFmtId="3" fontId="30" fillId="0" borderId="11" xfId="0" applyNumberFormat="1" applyFont="1" applyFill="1" applyBorder="1" applyAlignment="1">
      <alignment horizontal="center"/>
    </xf>
    <xf numFmtId="3" fontId="30" fillId="0" borderId="0" xfId="0" applyNumberFormat="1" applyFont="1" applyBorder="1" applyAlignment="1">
      <alignment horizontal="center"/>
    </xf>
    <xf numFmtId="3" fontId="30" fillId="0" borderId="22" xfId="0" applyNumberFormat="1" applyFont="1" applyBorder="1" applyAlignment="1">
      <alignment horizontal="center" vertical="center"/>
    </xf>
    <xf numFmtId="3" fontId="30" fillId="0" borderId="26" xfId="0" applyNumberFormat="1" applyFont="1" applyBorder="1" applyAlignment="1">
      <alignment horizontal="center" vertical="center"/>
    </xf>
    <xf numFmtId="3" fontId="30" fillId="0" borderId="28" xfId="0" applyNumberFormat="1" applyFont="1" applyBorder="1" applyAlignment="1">
      <alignment horizontal="center" vertical="center"/>
    </xf>
    <xf numFmtId="3" fontId="30" fillId="0" borderId="22" xfId="0" applyNumberFormat="1" applyFont="1" applyBorder="1" applyAlignment="1">
      <alignment horizontal="center" vertical="center" wrapText="1"/>
    </xf>
    <xf numFmtId="3" fontId="30" fillId="0" borderId="26" xfId="0" applyNumberFormat="1" applyFont="1" applyBorder="1" applyAlignment="1">
      <alignment horizontal="center" vertical="center" wrapText="1"/>
    </xf>
    <xf numFmtId="3" fontId="30" fillId="0" borderId="28" xfId="0" applyNumberFormat="1" applyFont="1" applyBorder="1" applyAlignment="1">
      <alignment horizontal="center" vertical="center" wrapText="1"/>
    </xf>
    <xf numFmtId="3" fontId="30" fillId="0" borderId="23" xfId="0" applyNumberFormat="1" applyFont="1" applyBorder="1" applyAlignment="1">
      <alignment horizontal="center"/>
    </xf>
    <xf numFmtId="3" fontId="30" fillId="0" borderId="24" xfId="0" applyNumberFormat="1" applyFont="1" applyBorder="1" applyAlignment="1">
      <alignment horizontal="center"/>
    </xf>
    <xf numFmtId="3" fontId="30" fillId="0" borderId="25" xfId="0" applyNumberFormat="1" applyFont="1" applyBorder="1" applyAlignment="1">
      <alignment horizontal="center"/>
    </xf>
    <xf numFmtId="3" fontId="30" fillId="0" borderId="7" xfId="0" applyNumberFormat="1" applyFont="1" applyFill="1" applyBorder="1" applyAlignment="1">
      <alignment horizontal="center"/>
    </xf>
    <xf numFmtId="3" fontId="30" fillId="0" borderId="8" xfId="0" applyNumberFormat="1" applyFont="1" applyFill="1" applyBorder="1" applyAlignment="1">
      <alignment horizontal="center"/>
    </xf>
    <xf numFmtId="3" fontId="30" fillId="0" borderId="9" xfId="0" applyNumberFormat="1" applyFont="1" applyFill="1" applyBorder="1" applyAlignment="1">
      <alignment horizontal="center"/>
    </xf>
    <xf numFmtId="3" fontId="30" fillId="0" borderId="27" xfId="0" applyNumberFormat="1" applyFont="1" applyBorder="1" applyAlignment="1">
      <alignment horizontal="center"/>
    </xf>
    <xf numFmtId="3" fontId="30" fillId="0" borderId="4" xfId="0" applyNumberFormat="1" applyFont="1" applyBorder="1" applyAlignment="1">
      <alignment horizontal="center"/>
    </xf>
    <xf numFmtId="3" fontId="30" fillId="0" borderId="5" xfId="0" applyNumberFormat="1" applyFont="1" applyBorder="1" applyAlignment="1">
      <alignment horizontal="center"/>
    </xf>
    <xf numFmtId="3" fontId="30" fillId="0" borderId="1" xfId="0" applyNumberFormat="1" applyFont="1" applyBorder="1" applyAlignment="1">
      <alignment horizontal="center"/>
    </xf>
    <xf numFmtId="3" fontId="30" fillId="0" borderId="3" xfId="0" applyNumberFormat="1" applyFont="1" applyFill="1" applyBorder="1" applyAlignment="1">
      <alignment horizontal="center"/>
    </xf>
    <xf numFmtId="3" fontId="30" fillId="0" borderId="4" xfId="0" applyNumberFormat="1" applyFont="1" applyFill="1" applyBorder="1" applyAlignment="1">
      <alignment horizontal="center"/>
    </xf>
    <xf numFmtId="3" fontId="30" fillId="0" borderId="5" xfId="0" applyNumberFormat="1" applyFont="1" applyFill="1" applyBorder="1" applyAlignment="1">
      <alignment horizontal="center"/>
    </xf>
    <xf numFmtId="0" fontId="1" fillId="0" borderId="0" xfId="0" applyFont="1" applyBorder="1" applyAlignment="1">
      <alignment horizontal="center" vertical="center"/>
    </xf>
    <xf numFmtId="0" fontId="1" fillId="0" borderId="40" xfId="0" applyFont="1" applyBorder="1" applyAlignment="1">
      <alignment horizontal="center" vertical="center"/>
    </xf>
    <xf numFmtId="0" fontId="1" fillId="0" borderId="41" xfId="0" applyFont="1" applyBorder="1" applyAlignment="1">
      <alignment horizontal="center" vertical="center"/>
    </xf>
    <xf numFmtId="0" fontId="1" fillId="0" borderId="40"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7"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4" fillId="0" borderId="0" xfId="0" applyFont="1" applyAlignment="1">
      <alignment vertical="center"/>
    </xf>
    <xf numFmtId="3" fontId="4" fillId="0" borderId="41" xfId="0" applyNumberFormat="1" applyFont="1" applyBorder="1" applyAlignment="1">
      <alignment horizontal="center" vertical="center"/>
    </xf>
    <xf numFmtId="1" fontId="12" fillId="0" borderId="0" xfId="4" applyNumberFormat="1" applyFont="1" applyAlignment="1">
      <alignment horizontal="center" vertical="center" wrapText="1"/>
    </xf>
    <xf numFmtId="0" fontId="30" fillId="7" borderId="46" xfId="5" applyFont="1" applyFill="1" applyBorder="1" applyAlignment="1">
      <alignment horizontal="center" vertical="center" wrapText="1"/>
    </xf>
    <xf numFmtId="0" fontId="30" fillId="7" borderId="46" xfId="5" applyFont="1" applyFill="1" applyBorder="1" applyAlignment="1">
      <alignment horizontal="center" vertical="center"/>
    </xf>
    <xf numFmtId="174" fontId="31" fillId="0" borderId="1" xfId="2" applyNumberFormat="1" applyFont="1" applyFill="1" applyBorder="1" applyAlignment="1">
      <alignment vertical="center"/>
    </xf>
    <xf numFmtId="174" fontId="31" fillId="0" borderId="1" xfId="2" applyNumberFormat="1" applyFont="1" applyFill="1" applyBorder="1" applyAlignment="1">
      <alignment horizontal="center" vertical="center"/>
    </xf>
    <xf numFmtId="0" fontId="31" fillId="0" borderId="11" xfId="5" applyFont="1" applyBorder="1" applyAlignment="1">
      <alignment vertical="center"/>
    </xf>
    <xf numFmtId="174" fontId="30" fillId="0" borderId="1" xfId="2" applyNumberFormat="1" applyFont="1" applyFill="1" applyBorder="1" applyAlignment="1">
      <alignment vertical="center"/>
    </xf>
    <xf numFmtId="174" fontId="30" fillId="0" borderId="1" xfId="2" applyNumberFormat="1" applyFont="1" applyFill="1" applyBorder="1" applyAlignment="1">
      <alignment horizontal="center" vertical="center"/>
    </xf>
    <xf numFmtId="174" fontId="31" fillId="0" borderId="13" xfId="2" applyNumberFormat="1" applyFont="1" applyFill="1" applyBorder="1" applyAlignment="1">
      <alignment vertical="center"/>
    </xf>
    <xf numFmtId="174" fontId="31" fillId="0" borderId="13" xfId="2" applyNumberFormat="1" applyFont="1" applyFill="1" applyBorder="1" applyAlignment="1">
      <alignment horizontal="center" vertical="center"/>
    </xf>
    <xf numFmtId="174" fontId="31" fillId="0" borderId="1" xfId="5" applyNumberFormat="1" applyFont="1" applyFill="1" applyBorder="1" applyAlignment="1">
      <alignment horizontal="center" vertical="center"/>
    </xf>
    <xf numFmtId="0" fontId="31" fillId="0" borderId="11" xfId="5" applyFont="1" applyBorder="1" applyAlignment="1">
      <alignment horizontal="center" vertical="center"/>
    </xf>
    <xf numFmtId="9" fontId="31" fillId="0" borderId="1" xfId="2" applyNumberFormat="1" applyFont="1" applyFill="1" applyBorder="1" applyAlignment="1">
      <alignment horizontal="right" vertical="center"/>
    </xf>
    <xf numFmtId="164" fontId="31" fillId="0" borderId="1" xfId="3" applyNumberFormat="1" applyFont="1" applyFill="1" applyBorder="1" applyAlignment="1">
      <alignment horizontal="right" vertical="center"/>
    </xf>
    <xf numFmtId="9" fontId="31" fillId="0" borderId="1" xfId="5" applyNumberFormat="1" applyFont="1" applyFill="1" applyBorder="1" applyAlignment="1">
      <alignment horizontal="center" vertical="center"/>
    </xf>
    <xf numFmtId="3" fontId="31" fillId="0" borderId="1" xfId="2" applyNumberFormat="1" applyFont="1" applyFill="1" applyBorder="1" applyAlignment="1">
      <alignment horizontal="right" vertical="center"/>
    </xf>
    <xf numFmtId="9" fontId="31" fillId="0" borderId="1" xfId="3" applyNumberFormat="1" applyFont="1" applyFill="1" applyBorder="1" applyAlignment="1">
      <alignment vertical="center"/>
    </xf>
    <xf numFmtId="9" fontId="31" fillId="0" borderId="1" xfId="5" applyNumberFormat="1" applyFont="1" applyFill="1" applyBorder="1" applyAlignment="1">
      <alignment vertical="center"/>
    </xf>
    <xf numFmtId="9" fontId="31" fillId="0" borderId="13" xfId="5" applyNumberFormat="1" applyFont="1" applyFill="1" applyBorder="1" applyAlignment="1">
      <alignment vertical="center"/>
    </xf>
    <xf numFmtId="0" fontId="31" fillId="0" borderId="14" xfId="5" applyFont="1" applyBorder="1" applyAlignment="1">
      <alignment horizontal="center" vertical="center"/>
    </xf>
    <xf numFmtId="9" fontId="31" fillId="0" borderId="13" xfId="3" applyNumberFormat="1" applyFont="1" applyFill="1" applyBorder="1" applyAlignment="1">
      <alignment vertical="center"/>
    </xf>
    <xf numFmtId="0" fontId="31" fillId="0" borderId="41" xfId="5" applyFont="1" applyFill="1" applyBorder="1" applyAlignment="1">
      <alignment horizontal="center" vertical="center" wrapText="1"/>
    </xf>
    <xf numFmtId="0" fontId="31" fillId="0" borderId="41" xfId="5" applyFont="1" applyBorder="1" applyAlignment="1">
      <alignment horizontal="center" vertical="center" wrapText="1"/>
    </xf>
    <xf numFmtId="0" fontId="31" fillId="0" borderId="43" xfId="5" applyFont="1" applyBorder="1" applyAlignment="1">
      <alignment horizontal="center" vertical="center" wrapText="1"/>
    </xf>
    <xf numFmtId="0" fontId="31" fillId="0" borderId="28" xfId="5" applyFont="1" applyBorder="1" applyAlignment="1">
      <alignment horizontal="center" vertical="center" wrapText="1"/>
    </xf>
    <xf numFmtId="0" fontId="31" fillId="0" borderId="42" xfId="5" applyFont="1" applyBorder="1" applyAlignment="1">
      <alignment horizontal="center" vertical="center" wrapText="1"/>
    </xf>
    <xf numFmtId="0" fontId="31" fillId="0" borderId="10" xfId="5" applyFont="1" applyBorder="1" applyAlignment="1">
      <alignment horizontal="left" vertical="center" wrapText="1"/>
    </xf>
    <xf numFmtId="0" fontId="30" fillId="0" borderId="10" xfId="5" applyFont="1" applyBorder="1" applyAlignment="1">
      <alignment horizontal="left" vertical="center" wrapText="1"/>
    </xf>
    <xf numFmtId="0" fontId="31" fillId="0" borderId="12" xfId="5" applyFont="1" applyBorder="1" applyAlignment="1">
      <alignment horizontal="left" vertical="center" wrapText="1"/>
    </xf>
    <xf numFmtId="0" fontId="31" fillId="0" borderId="47" xfId="5" applyFont="1" applyBorder="1" applyAlignment="1">
      <alignment horizontal="left" vertical="center" wrapText="1"/>
    </xf>
    <xf numFmtId="0" fontId="31" fillId="0" borderId="48" xfId="5" applyFont="1" applyBorder="1" applyAlignment="1">
      <alignment horizontal="left" vertical="center" wrapText="1"/>
    </xf>
    <xf numFmtId="0" fontId="31" fillId="0" borderId="28" xfId="5" applyFont="1" applyBorder="1" applyAlignment="1">
      <alignment horizontal="center" vertical="center" wrapText="1"/>
    </xf>
    <xf numFmtId="0" fontId="31" fillId="0" borderId="48" xfId="5" applyFont="1" applyBorder="1" applyAlignment="1">
      <alignment horizontal="left" vertical="center" wrapText="1"/>
    </xf>
    <xf numFmtId="174" fontId="31" fillId="0" borderId="16" xfId="2" applyNumberFormat="1" applyFont="1" applyFill="1" applyBorder="1" applyAlignment="1">
      <alignment vertical="center"/>
    </xf>
    <xf numFmtId="174" fontId="31" fillId="0" borderId="16" xfId="5" applyNumberFormat="1" applyFont="1" applyFill="1" applyBorder="1" applyAlignment="1">
      <alignment horizontal="center" vertical="center"/>
    </xf>
    <xf numFmtId="0" fontId="31" fillId="0" borderId="49" xfId="5" applyFont="1" applyBorder="1" applyAlignment="1">
      <alignment horizontal="center" vertical="center"/>
    </xf>
    <xf numFmtId="0" fontId="30" fillId="0" borderId="46" xfId="5" applyFont="1" applyFill="1" applyBorder="1" applyAlignment="1">
      <alignment horizontal="center" vertical="center" wrapText="1"/>
    </xf>
    <xf numFmtId="0" fontId="44" fillId="0" borderId="44" xfId="5" applyFont="1" applyBorder="1" applyAlignment="1">
      <alignment horizontal="center" vertical="center" wrapText="1"/>
    </xf>
    <xf numFmtId="0" fontId="44" fillId="0" borderId="50" xfId="5" applyFont="1" applyBorder="1" applyAlignment="1">
      <alignment horizontal="center" vertical="center" wrapText="1"/>
    </xf>
    <xf numFmtId="0" fontId="44" fillId="0" borderId="45" xfId="5" applyFont="1" applyBorder="1" applyAlignment="1">
      <alignment horizontal="center" vertical="center" wrapText="1"/>
    </xf>
    <xf numFmtId="0" fontId="31" fillId="0" borderId="28" xfId="5" applyFont="1" applyFill="1" applyBorder="1" applyAlignment="1">
      <alignment horizontal="center" vertical="center" wrapText="1"/>
    </xf>
    <xf numFmtId="174" fontId="31" fillId="0" borderId="16" xfId="2" applyNumberFormat="1" applyFont="1" applyFill="1" applyBorder="1" applyAlignment="1">
      <alignment horizontal="center" vertical="center"/>
    </xf>
    <xf numFmtId="0" fontId="31" fillId="0" borderId="49" xfId="5" applyFont="1" applyBorder="1" applyAlignment="1">
      <alignment vertical="center"/>
    </xf>
    <xf numFmtId="0" fontId="44" fillId="0" borderId="44" xfId="5" applyFont="1" applyFill="1" applyBorder="1" applyAlignment="1">
      <alignment horizontal="center" vertical="center"/>
    </xf>
    <xf numFmtId="0" fontId="44" fillId="0" borderId="50" xfId="5" applyFont="1" applyFill="1" applyBorder="1" applyAlignment="1">
      <alignment horizontal="center" vertical="center"/>
    </xf>
    <xf numFmtId="0" fontId="44" fillId="0" borderId="45" xfId="5" applyFont="1" applyFill="1" applyBorder="1" applyAlignment="1">
      <alignment horizontal="center" vertical="center"/>
    </xf>
    <xf numFmtId="0" fontId="31" fillId="0" borderId="14" xfId="5" applyFont="1" applyBorder="1" applyAlignment="1">
      <alignment vertical="center" wrapText="1"/>
    </xf>
    <xf numFmtId="175" fontId="0" fillId="0" borderId="1" xfId="0" applyNumberFormat="1" applyBorder="1" applyAlignment="1">
      <alignment horizontal="center" vertical="center"/>
    </xf>
  </cellXfs>
  <cellStyles count="6">
    <cellStyle name="Comma" xfId="2" builtinId="3"/>
    <cellStyle name="Normal" xfId="0" builtinId="0"/>
    <cellStyle name="Normal_bang tinh huong" xfId="4"/>
    <cellStyle name="Normal_bangtinhnoisuy-957-2009" xfId="1"/>
    <cellStyle name="Normal_PAKT - Khach san Tam Dao" xfId="5"/>
    <cellStyle name="Percent" xfId="3" builtin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0</xdr:colOff>
      <xdr:row>7</xdr:row>
      <xdr:rowOff>295275</xdr:rowOff>
    </xdr:from>
    <xdr:to>
      <xdr:col>6</xdr:col>
      <xdr:colOff>0</xdr:colOff>
      <xdr:row>7</xdr:row>
      <xdr:rowOff>295275</xdr:rowOff>
    </xdr:to>
    <xdr:sp macro="" textlink="">
      <xdr:nvSpPr>
        <xdr:cNvPr id="4" name="Line 43"/>
        <xdr:cNvSpPr>
          <a:spLocks noChangeShapeType="1"/>
        </xdr:cNvSpPr>
      </xdr:nvSpPr>
      <xdr:spPr bwMode="auto">
        <a:xfrm flipV="1">
          <a:off x="3009900" y="2381250"/>
          <a:ext cx="266700" cy="0"/>
        </a:xfrm>
        <a:prstGeom prst="line">
          <a:avLst/>
        </a:prstGeom>
        <a:noFill/>
        <a:ln w="38100">
          <a:solidFill>
            <a:srgbClr val="000000"/>
          </a:solidFill>
          <a:round/>
          <a:headEnd/>
          <a:tailEnd/>
        </a:ln>
      </xdr:spPr>
    </xdr:sp>
    <xdr:clientData/>
  </xdr:twoCellAnchor>
  <xdr:twoCellAnchor>
    <xdr:from>
      <xdr:col>9</xdr:col>
      <xdr:colOff>9525</xdr:colOff>
      <xdr:row>12</xdr:row>
      <xdr:rowOff>123825</xdr:rowOff>
    </xdr:from>
    <xdr:to>
      <xdr:col>10</xdr:col>
      <xdr:colOff>9525</xdr:colOff>
      <xdr:row>12</xdr:row>
      <xdr:rowOff>123825</xdr:rowOff>
    </xdr:to>
    <xdr:sp macro="" textlink="">
      <xdr:nvSpPr>
        <xdr:cNvPr id="17" name="Line 43"/>
        <xdr:cNvSpPr>
          <a:spLocks noChangeShapeType="1"/>
        </xdr:cNvSpPr>
      </xdr:nvSpPr>
      <xdr:spPr bwMode="auto">
        <a:xfrm flipV="1">
          <a:off x="4162425" y="5524500"/>
          <a:ext cx="266700" cy="0"/>
        </a:xfrm>
        <a:prstGeom prst="line">
          <a:avLst/>
        </a:prstGeom>
        <a:noFill/>
        <a:ln w="38100">
          <a:solidFill>
            <a:srgbClr val="000000"/>
          </a:solidFill>
          <a:round/>
          <a:headEnd/>
          <a:tailEnd/>
        </a:ln>
      </xdr:spPr>
    </xdr:sp>
    <xdr:clientData/>
  </xdr:twoCellAnchor>
  <xdr:twoCellAnchor>
    <xdr:from>
      <xdr:col>2</xdr:col>
      <xdr:colOff>257175</xdr:colOff>
      <xdr:row>6</xdr:row>
      <xdr:rowOff>276225</xdr:rowOff>
    </xdr:from>
    <xdr:to>
      <xdr:col>5</xdr:col>
      <xdr:colOff>0</xdr:colOff>
      <xdr:row>6</xdr:row>
      <xdr:rowOff>277813</xdr:rowOff>
    </xdr:to>
    <xdr:cxnSp macro="">
      <xdr:nvCxnSpPr>
        <xdr:cNvPr id="26" name="Straight Connector 25"/>
        <xdr:cNvCxnSpPr/>
      </xdr:nvCxnSpPr>
      <xdr:spPr>
        <a:xfrm>
          <a:off x="3076575" y="1838325"/>
          <a:ext cx="561975" cy="1588"/>
        </a:xfrm>
        <a:prstGeom prst="line">
          <a:avLst/>
        </a:prstGeom>
        <a:ln w="381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9525</xdr:colOff>
      <xdr:row>13</xdr:row>
      <xdr:rowOff>247650</xdr:rowOff>
    </xdr:from>
    <xdr:to>
      <xdr:col>11</xdr:col>
      <xdr:colOff>9525</xdr:colOff>
      <xdr:row>13</xdr:row>
      <xdr:rowOff>247650</xdr:rowOff>
    </xdr:to>
    <xdr:sp macro="" textlink="">
      <xdr:nvSpPr>
        <xdr:cNvPr id="30" name="Line 43"/>
        <xdr:cNvSpPr>
          <a:spLocks noChangeShapeType="1"/>
        </xdr:cNvSpPr>
      </xdr:nvSpPr>
      <xdr:spPr bwMode="auto">
        <a:xfrm flipV="1">
          <a:off x="4429125" y="5867400"/>
          <a:ext cx="266700" cy="0"/>
        </a:xfrm>
        <a:prstGeom prst="line">
          <a:avLst/>
        </a:prstGeom>
        <a:noFill/>
        <a:ln w="38100">
          <a:solidFill>
            <a:srgbClr val="000000"/>
          </a:solidFill>
          <a:round/>
          <a:headEnd/>
          <a:tailEnd/>
        </a:ln>
      </xdr:spPr>
    </xdr:sp>
    <xdr:clientData/>
  </xdr:twoCellAnchor>
  <xdr:twoCellAnchor>
    <xdr:from>
      <xdr:col>11</xdr:col>
      <xdr:colOff>0</xdr:colOff>
      <xdr:row>15</xdr:row>
      <xdr:rowOff>104775</xdr:rowOff>
    </xdr:from>
    <xdr:to>
      <xdr:col>14</xdr:col>
      <xdr:colOff>9525</xdr:colOff>
      <xdr:row>15</xdr:row>
      <xdr:rowOff>106363</xdr:rowOff>
    </xdr:to>
    <xdr:cxnSp macro="">
      <xdr:nvCxnSpPr>
        <xdr:cNvPr id="34" name="Straight Connector 33"/>
        <xdr:cNvCxnSpPr/>
      </xdr:nvCxnSpPr>
      <xdr:spPr>
        <a:xfrm>
          <a:off x="4686300" y="6419850"/>
          <a:ext cx="809625" cy="1588"/>
        </a:xfrm>
        <a:prstGeom prst="line">
          <a:avLst/>
        </a:prstGeom>
        <a:ln w="381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9525</xdr:colOff>
      <xdr:row>16</xdr:row>
      <xdr:rowOff>247650</xdr:rowOff>
    </xdr:from>
    <xdr:to>
      <xdr:col>18</xdr:col>
      <xdr:colOff>19050</xdr:colOff>
      <xdr:row>16</xdr:row>
      <xdr:rowOff>249238</xdr:rowOff>
    </xdr:to>
    <xdr:cxnSp macro="">
      <xdr:nvCxnSpPr>
        <xdr:cNvPr id="36" name="Straight Connector 35"/>
        <xdr:cNvCxnSpPr/>
      </xdr:nvCxnSpPr>
      <xdr:spPr>
        <a:xfrm>
          <a:off x="4962525" y="6772275"/>
          <a:ext cx="1609725" cy="1588"/>
        </a:xfrm>
        <a:prstGeom prst="line">
          <a:avLst/>
        </a:prstGeom>
        <a:ln w="3810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9525</xdr:colOff>
      <xdr:row>17</xdr:row>
      <xdr:rowOff>104775</xdr:rowOff>
    </xdr:from>
    <xdr:to>
      <xdr:col>18</xdr:col>
      <xdr:colOff>19050</xdr:colOff>
      <xdr:row>17</xdr:row>
      <xdr:rowOff>106363</xdr:rowOff>
    </xdr:to>
    <xdr:cxnSp macro="">
      <xdr:nvCxnSpPr>
        <xdr:cNvPr id="39" name="Straight Connector 38"/>
        <xdr:cNvCxnSpPr/>
      </xdr:nvCxnSpPr>
      <xdr:spPr>
        <a:xfrm>
          <a:off x="4962525" y="7143750"/>
          <a:ext cx="1609725" cy="1588"/>
        </a:xfrm>
        <a:prstGeom prst="line">
          <a:avLst/>
        </a:prstGeom>
        <a:ln w="38100">
          <a:solidFill>
            <a:srgbClr val="00B05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9525</xdr:colOff>
      <xdr:row>5</xdr:row>
      <xdr:rowOff>190500</xdr:rowOff>
    </xdr:from>
    <xdr:to>
      <xdr:col>3</xdr:col>
      <xdr:colOff>9525</xdr:colOff>
      <xdr:row>5</xdr:row>
      <xdr:rowOff>190500</xdr:rowOff>
    </xdr:to>
    <xdr:sp macro="" textlink="">
      <xdr:nvSpPr>
        <xdr:cNvPr id="42" name="Line 43"/>
        <xdr:cNvSpPr>
          <a:spLocks noChangeShapeType="1"/>
        </xdr:cNvSpPr>
      </xdr:nvSpPr>
      <xdr:spPr bwMode="auto">
        <a:xfrm flipV="1">
          <a:off x="2371725" y="1333500"/>
          <a:ext cx="266700" cy="0"/>
        </a:xfrm>
        <a:prstGeom prst="line">
          <a:avLst/>
        </a:prstGeom>
        <a:noFill/>
        <a:ln w="38100">
          <a:solidFill>
            <a:srgbClr val="000000"/>
          </a:solidFill>
          <a:round/>
          <a:headEnd/>
          <a:tailEnd/>
        </a:ln>
      </xdr:spPr>
    </xdr:sp>
    <xdr:clientData/>
  </xdr:twoCellAnchor>
  <xdr:twoCellAnchor>
    <xdr:from>
      <xdr:col>2</xdr:col>
      <xdr:colOff>9525</xdr:colOff>
      <xdr:row>8</xdr:row>
      <xdr:rowOff>962025</xdr:rowOff>
    </xdr:from>
    <xdr:to>
      <xdr:col>6</xdr:col>
      <xdr:colOff>9525</xdr:colOff>
      <xdr:row>8</xdr:row>
      <xdr:rowOff>963613</xdr:rowOff>
    </xdr:to>
    <xdr:cxnSp macro="">
      <xdr:nvCxnSpPr>
        <xdr:cNvPr id="44" name="Straight Connector 43"/>
        <xdr:cNvCxnSpPr/>
      </xdr:nvCxnSpPr>
      <xdr:spPr>
        <a:xfrm>
          <a:off x="2828925" y="3600450"/>
          <a:ext cx="1085850" cy="1588"/>
        </a:xfrm>
        <a:prstGeom prst="line">
          <a:avLst/>
        </a:prstGeom>
        <a:ln w="381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0</xdr:colOff>
      <xdr:row>18</xdr:row>
      <xdr:rowOff>123825</xdr:rowOff>
    </xdr:from>
    <xdr:to>
      <xdr:col>18</xdr:col>
      <xdr:colOff>0</xdr:colOff>
      <xdr:row>18</xdr:row>
      <xdr:rowOff>125413</xdr:rowOff>
    </xdr:to>
    <xdr:cxnSp macro="">
      <xdr:nvCxnSpPr>
        <xdr:cNvPr id="46" name="Straight Connector 45"/>
        <xdr:cNvCxnSpPr/>
      </xdr:nvCxnSpPr>
      <xdr:spPr>
        <a:xfrm>
          <a:off x="4686300" y="7372350"/>
          <a:ext cx="1866900" cy="1588"/>
        </a:xfrm>
        <a:prstGeom prst="line">
          <a:avLst/>
        </a:prstGeom>
        <a:ln w="381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20</xdr:row>
      <xdr:rowOff>114300</xdr:rowOff>
    </xdr:from>
    <xdr:to>
      <xdr:col>20</xdr:col>
      <xdr:colOff>19050</xdr:colOff>
      <xdr:row>20</xdr:row>
      <xdr:rowOff>115888</xdr:rowOff>
    </xdr:to>
    <xdr:cxnSp macro="">
      <xdr:nvCxnSpPr>
        <xdr:cNvPr id="49" name="Straight Connector 48"/>
        <xdr:cNvCxnSpPr/>
      </xdr:nvCxnSpPr>
      <xdr:spPr>
        <a:xfrm>
          <a:off x="2190750" y="8029575"/>
          <a:ext cx="4838700" cy="1588"/>
        </a:xfrm>
        <a:prstGeom prst="line">
          <a:avLst/>
        </a:prstGeom>
        <a:ln w="381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9</xdr:row>
      <xdr:rowOff>123825</xdr:rowOff>
    </xdr:from>
    <xdr:to>
      <xdr:col>20</xdr:col>
      <xdr:colOff>9525</xdr:colOff>
      <xdr:row>9</xdr:row>
      <xdr:rowOff>125413</xdr:rowOff>
    </xdr:to>
    <xdr:cxnSp macro="">
      <xdr:nvCxnSpPr>
        <xdr:cNvPr id="51" name="Straight Connector 50"/>
        <xdr:cNvCxnSpPr/>
      </xdr:nvCxnSpPr>
      <xdr:spPr>
        <a:xfrm>
          <a:off x="3429000" y="3209925"/>
          <a:ext cx="3743325" cy="1588"/>
        </a:xfrm>
        <a:prstGeom prst="line">
          <a:avLst/>
        </a:prstGeom>
        <a:ln w="31750">
          <a:solidFill>
            <a:schemeClr val="tx1"/>
          </a:solidFill>
          <a:prstDash val="sysDot"/>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1990725</xdr:colOff>
      <xdr:row>4</xdr:row>
      <xdr:rowOff>161925</xdr:rowOff>
    </xdr:from>
    <xdr:to>
      <xdr:col>6</xdr:col>
      <xdr:colOff>28575</xdr:colOff>
      <xdr:row>4</xdr:row>
      <xdr:rowOff>163513</xdr:rowOff>
    </xdr:to>
    <xdr:cxnSp macro="">
      <xdr:nvCxnSpPr>
        <xdr:cNvPr id="52" name="Straight Connector 51"/>
        <xdr:cNvCxnSpPr/>
      </xdr:nvCxnSpPr>
      <xdr:spPr>
        <a:xfrm>
          <a:off x="2352675" y="1009650"/>
          <a:ext cx="1123950" cy="1588"/>
        </a:xfrm>
        <a:prstGeom prst="line">
          <a:avLst/>
        </a:prstGeom>
        <a:ln w="31750">
          <a:solidFill>
            <a:schemeClr val="tx1"/>
          </a:solidFill>
          <a:prstDash val="sysDot"/>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10</xdr:row>
      <xdr:rowOff>276225</xdr:rowOff>
    </xdr:from>
    <xdr:to>
      <xdr:col>7</xdr:col>
      <xdr:colOff>0</xdr:colOff>
      <xdr:row>10</xdr:row>
      <xdr:rowOff>276225</xdr:rowOff>
    </xdr:to>
    <xdr:sp macro="" textlink="">
      <xdr:nvSpPr>
        <xdr:cNvPr id="19" name="Line 43"/>
        <xdr:cNvSpPr>
          <a:spLocks noChangeShapeType="1"/>
        </xdr:cNvSpPr>
      </xdr:nvSpPr>
      <xdr:spPr bwMode="auto">
        <a:xfrm flipV="1">
          <a:off x="3276600" y="4876800"/>
          <a:ext cx="266700" cy="0"/>
        </a:xfrm>
        <a:prstGeom prst="line">
          <a:avLst/>
        </a:prstGeom>
        <a:noFill/>
        <a:ln w="38100">
          <a:solidFill>
            <a:srgbClr val="000000"/>
          </a:solidFill>
          <a:round/>
          <a:headEnd/>
          <a:tailEnd/>
        </a:ln>
      </xdr:spPr>
    </xdr:sp>
    <xdr:clientData/>
  </xdr:twoCellAnchor>
  <xdr:twoCellAnchor>
    <xdr:from>
      <xdr:col>6</xdr:col>
      <xdr:colOff>0</xdr:colOff>
      <xdr:row>11</xdr:row>
      <xdr:rowOff>142875</xdr:rowOff>
    </xdr:from>
    <xdr:to>
      <xdr:col>9</xdr:col>
      <xdr:colOff>9525</xdr:colOff>
      <xdr:row>11</xdr:row>
      <xdr:rowOff>144463</xdr:rowOff>
    </xdr:to>
    <xdr:cxnSp macro="">
      <xdr:nvCxnSpPr>
        <xdr:cNvPr id="20" name="Straight Connector 19"/>
        <xdr:cNvCxnSpPr/>
      </xdr:nvCxnSpPr>
      <xdr:spPr>
        <a:xfrm>
          <a:off x="3352800" y="5276850"/>
          <a:ext cx="809625" cy="1588"/>
        </a:xfrm>
        <a:prstGeom prst="line">
          <a:avLst/>
        </a:prstGeom>
        <a:ln w="381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9525</xdr:colOff>
      <xdr:row>19</xdr:row>
      <xdr:rowOff>247650</xdr:rowOff>
    </xdr:from>
    <xdr:to>
      <xdr:col>20</xdr:col>
      <xdr:colOff>9525</xdr:colOff>
      <xdr:row>19</xdr:row>
      <xdr:rowOff>249238</xdr:rowOff>
    </xdr:to>
    <xdr:cxnSp macro="">
      <xdr:nvCxnSpPr>
        <xdr:cNvPr id="23" name="Straight Connector 22"/>
        <xdr:cNvCxnSpPr/>
      </xdr:nvCxnSpPr>
      <xdr:spPr>
        <a:xfrm>
          <a:off x="6486525" y="7743825"/>
          <a:ext cx="571500" cy="1588"/>
        </a:xfrm>
        <a:prstGeom prst="line">
          <a:avLst/>
        </a:prstGeom>
        <a:ln w="381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0.%20Noi%20dung%20cong%20viec%20SH%20ICT/1.%20Phuong%20an%20kinh%20te%20DADT/8.%20PAKT%20DA%20AO%20TRUNG_NGOC%20LAM%209_12_2014/1.%20PAKT%20DA%20AO%20TRUNG_NGOC%20LAM_LONG%20BIEN%20HOAN%20CHINH%2016-12-201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0.%20Noi%20dung%20cong%20viec%20SH%20ICT/1.%20Phuong%20an%20kinh%20te%20DADT/8.%20PAKT%20DA%20AO%20TRUNG_NGOC%20LAM%209_12_2014/1.DU%20AN%2063%20NGUYEN%20HUY%20TUONG/1.%20Huong%20VTR/3.%2063NgHuyTuong%20chinh%20sua%20hoan%20chinh%2011-2014.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BIA"/>
      <sheetName val="THONG TIN DA"/>
      <sheetName val="0.THONG SO"/>
      <sheetName val="1. TH CHI TIEU"/>
      <sheetName val="2. TMĐT"/>
      <sheetName val="2.1. CP DAU TU NHA O THAP TANG"/>
      <sheetName val="2.2. CP DAU TU NHA CAO TANG"/>
      <sheetName val="2.3. CPTV, CPK CON LAI"/>
      <sheetName val="NOI SUY QD957"/>
      <sheetName val="2.4. NOP TIEN SDD, GPMB"/>
      <sheetName val="2.5. CPDP"/>
      <sheetName val="3. TIEN DO THUC HIEN DA"/>
      <sheetName val="4. KH HUY DONG VON (VAT)"/>
      <sheetName val="5. PHAN BO GIA THANH"/>
      <sheetName val="6.1. KH BAN HANG"/>
      <sheetName val="6.DOANH THU"/>
      <sheetName val="7.1. GTTS KH"/>
      <sheetName val="7.2. KHTS"/>
      <sheetName val="8.1.CP LUONG"/>
      <sheetName val="8.2. CP SC,BD"/>
      <sheetName val="8.CPVH"/>
      <sheetName val="9.1. KH TRA NO DTXD"/>
      <sheetName val="9.2. LAI VAY"/>
      <sheetName val="10.CPSXKD"/>
      <sheetName val="11. LAI-LO"/>
      <sheetName val="12. NPV-IRR"/>
      <sheetName val="13.HS KHA NANG TRA NO"/>
      <sheetName val="14. DO NHAY"/>
    </sheetNames>
    <sheetDataSet>
      <sheetData sheetId="0"/>
      <sheetData sheetId="1"/>
      <sheetData sheetId="2"/>
      <sheetData sheetId="3"/>
      <sheetData sheetId="4"/>
      <sheetData sheetId="5">
        <row r="4">
          <cell r="D4">
            <v>24516750</v>
          </cell>
        </row>
      </sheetData>
      <sheetData sheetId="6">
        <row r="5">
          <cell r="D5">
            <v>13135563.636363637</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Bia"/>
      <sheetName val="Thong tin DA"/>
      <sheetName val="0. Thong so"/>
      <sheetName val="1. Tong hop chi tieu"/>
      <sheetName val="2.TMDT"/>
      <sheetName val="2.1.Chi tiet TMDT DA"/>
      <sheetName val="2.2. XD HTKT"/>
      <sheetName val="2.3.XDBiet thu, lien ke"/>
      <sheetName val="2.4 XD nha cao tang"/>
      <sheetName val="2.5. GPMB, SDD"/>
      <sheetName val="Noi suy QD957"/>
      <sheetName val="3.Tien do"/>
      <sheetName val="4.KH Von (VAT)"/>
      <sheetName val="5.Phan bo gia thanh"/>
      <sheetName val="6.1. KH ban hang"/>
      <sheetName val="6. DOANH THU"/>
      <sheetName val="7.1. GTTS KH"/>
      <sheetName val="7.2. KHTS"/>
      <sheetName val="8.1. CP luong"/>
      <sheetName val="8.2. CP SC, BD"/>
      <sheetName val="Nhu cầu điện, nước"/>
      <sheetName val="8.3. CP dien, nuoc"/>
      <sheetName val="8. CPVH"/>
      <sheetName val="9.1. KH tra no ĐTXD"/>
      <sheetName val="9.2. VLĐ"/>
      <sheetName val="10.CP SXKD"/>
      <sheetName val="11. Lai - Lo"/>
      <sheetName val="12. NPV-IRR"/>
      <sheetName val="13. Thu hoi von nho LN+KH"/>
      <sheetName val="14. HS kha nang tra no"/>
      <sheetName val="15. Do nhay"/>
    </sheetNames>
    <sheetDataSet>
      <sheetData sheetId="0"/>
      <sheetData sheetId="1"/>
      <sheetData sheetId="2">
        <row r="23">
          <cell r="C23">
            <v>3</v>
          </cell>
        </row>
      </sheetData>
      <sheetData sheetId="3"/>
      <sheetData sheetId="4"/>
      <sheetData sheetId="5">
        <row r="11">
          <cell r="D11">
            <v>8169420000</v>
          </cell>
        </row>
      </sheetData>
      <sheetData sheetId="6">
        <row r="6">
          <cell r="D6">
            <v>8169420000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4">
          <cell r="K4" t="str">
            <v>…</v>
          </cell>
        </row>
      </sheetData>
      <sheetData sheetId="23"/>
      <sheetData sheetId="24"/>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tabColor rgb="FF002060"/>
  </sheetPr>
  <dimension ref="A1:E15"/>
  <sheetViews>
    <sheetView view="pageBreakPreview" zoomScaleSheetLayoutView="100" workbookViewId="0">
      <selection activeCell="C19" sqref="C19"/>
    </sheetView>
  </sheetViews>
  <sheetFormatPr defaultRowHeight="16.5"/>
  <cols>
    <col min="1" max="1" width="5.5546875" style="3" customWidth="1"/>
    <col min="2" max="2" width="22.109375" style="3" customWidth="1"/>
    <col min="3" max="3" width="15.33203125" style="3" customWidth="1"/>
    <col min="4" max="4" width="10.6640625" style="3" customWidth="1"/>
    <col min="5" max="5" width="20.44140625" style="3" customWidth="1"/>
    <col min="6" max="16384" width="8.88671875" style="3"/>
  </cols>
  <sheetData>
    <row r="1" spans="1:5" ht="28.5" customHeight="1">
      <c r="A1" s="345" t="s">
        <v>242</v>
      </c>
      <c r="B1" s="345"/>
      <c r="C1" s="345"/>
      <c r="D1" s="345"/>
      <c r="E1" s="345"/>
    </row>
    <row r="2" spans="1:5" ht="42.75" customHeight="1" thickBot="1">
      <c r="A2" s="239" t="s">
        <v>248</v>
      </c>
      <c r="B2" s="239"/>
      <c r="C2" s="239"/>
      <c r="D2" s="239"/>
      <c r="E2" s="239"/>
    </row>
    <row r="3" spans="1:5" ht="17.25" thickBot="1">
      <c r="A3" s="346" t="s">
        <v>0</v>
      </c>
      <c r="B3" s="347" t="s">
        <v>230</v>
      </c>
      <c r="C3" s="346" t="s">
        <v>231</v>
      </c>
      <c r="D3" s="346" t="s">
        <v>132</v>
      </c>
      <c r="E3" s="346" t="s">
        <v>232</v>
      </c>
    </row>
    <row r="4" spans="1:5" ht="18" thickBot="1">
      <c r="A4" s="381" t="s">
        <v>33</v>
      </c>
      <c r="B4" s="388" t="s">
        <v>233</v>
      </c>
      <c r="C4" s="389"/>
      <c r="D4" s="389"/>
      <c r="E4" s="390"/>
    </row>
    <row r="5" spans="1:5" ht="47.25" customHeight="1">
      <c r="A5" s="385">
        <v>1</v>
      </c>
      <c r="B5" s="377" t="s">
        <v>234</v>
      </c>
      <c r="C5" s="378">
        <f>'2. TMDT'!E12-'2. TMDT'!E10</f>
        <v>137725205.93958107</v>
      </c>
      <c r="D5" s="386" t="s">
        <v>235</v>
      </c>
      <c r="E5" s="387"/>
    </row>
    <row r="6" spans="1:5" ht="38.25" customHeight="1">
      <c r="A6" s="366">
        <v>2</v>
      </c>
      <c r="B6" s="372" t="s">
        <v>236</v>
      </c>
      <c r="C6" s="351">
        <f>'2. TMDT'!E12</f>
        <v>144600982.44357449</v>
      </c>
      <c r="D6" s="352" t="s">
        <v>235</v>
      </c>
      <c r="E6" s="350"/>
    </row>
    <row r="7" spans="1:5" ht="90.75" customHeight="1" thickBot="1">
      <c r="A7" s="366">
        <v>3</v>
      </c>
      <c r="B7" s="373" t="s">
        <v>243</v>
      </c>
      <c r="C7" s="353">
        <f>'2.2. CP THUE DAT'!H5</f>
        <v>3854125</v>
      </c>
      <c r="D7" s="354" t="s">
        <v>235</v>
      </c>
      <c r="E7" s="391" t="s">
        <v>256</v>
      </c>
    </row>
    <row r="8" spans="1:5" ht="18" thickBot="1">
      <c r="A8" s="381" t="s">
        <v>34</v>
      </c>
      <c r="B8" s="382" t="s">
        <v>237</v>
      </c>
      <c r="C8" s="383"/>
      <c r="D8" s="383"/>
      <c r="E8" s="384"/>
    </row>
    <row r="9" spans="1:5">
      <c r="A9" s="376">
        <v>1</v>
      </c>
      <c r="B9" s="377" t="s">
        <v>238</v>
      </c>
      <c r="C9" s="378">
        <f>'4. KH HUY DONG VON (VAT)'!C29</f>
        <v>40135327.281874329</v>
      </c>
      <c r="D9" s="379" t="str">
        <f>D5</f>
        <v>1000 đồng</v>
      </c>
      <c r="E9" s="380" t="s">
        <v>245</v>
      </c>
    </row>
    <row r="10" spans="1:5">
      <c r="A10" s="367">
        <v>3</v>
      </c>
      <c r="B10" s="371" t="s">
        <v>244</v>
      </c>
      <c r="C10" s="348">
        <f>'4. KH HUY DONG VON (VAT)'!C30</f>
        <v>93649096.991040081</v>
      </c>
      <c r="D10" s="355" t="str">
        <f>D9</f>
        <v>1000 đồng</v>
      </c>
      <c r="E10" s="356" t="s">
        <v>245</v>
      </c>
    </row>
    <row r="11" spans="1:5" ht="18" customHeight="1">
      <c r="A11" s="368">
        <v>4</v>
      </c>
      <c r="B11" s="374" t="s">
        <v>246</v>
      </c>
      <c r="C11" s="357">
        <f>'4. KH HUY DONG VON (VAT)'!C36</f>
        <v>0.12</v>
      </c>
      <c r="D11" s="355" t="s">
        <v>239</v>
      </c>
      <c r="E11" s="350"/>
    </row>
    <row r="12" spans="1:5">
      <c r="A12" s="369"/>
      <c r="B12" s="375"/>
      <c r="C12" s="358">
        <f>'4. KH HUY DONG VON (VAT)'!C37</f>
        <v>2.8737344722080227E-2</v>
      </c>
      <c r="D12" s="359" t="s">
        <v>247</v>
      </c>
      <c r="E12" s="350"/>
    </row>
    <row r="13" spans="1:5" ht="36.75" customHeight="1">
      <c r="A13" s="367">
        <v>5</v>
      </c>
      <c r="B13" s="371" t="s">
        <v>240</v>
      </c>
      <c r="C13" s="360">
        <f>'2. TMDT'!E10</f>
        <v>6875776.5039934106</v>
      </c>
      <c r="D13" s="349" t="s">
        <v>235</v>
      </c>
      <c r="E13" s="350"/>
    </row>
    <row r="14" spans="1:5" ht="33.75" customHeight="1">
      <c r="A14" s="367">
        <v>6</v>
      </c>
      <c r="B14" s="371" t="s">
        <v>241</v>
      </c>
      <c r="C14" s="361">
        <f>'4. KH HUY DONG VON (VAT)'!B29</f>
        <v>0.3</v>
      </c>
      <c r="D14" s="362"/>
      <c r="E14" s="356" t="s">
        <v>257</v>
      </c>
    </row>
    <row r="15" spans="1:5" ht="60.75" customHeight="1" thickBot="1">
      <c r="A15" s="370">
        <v>7</v>
      </c>
      <c r="B15" s="373" t="s">
        <v>258</v>
      </c>
      <c r="C15" s="365">
        <f>'4. KH HUY DONG VON (VAT)'!B30</f>
        <v>0.69999999999999984</v>
      </c>
      <c r="D15" s="363"/>
      <c r="E15" s="364" t="s">
        <v>257</v>
      </c>
    </row>
  </sheetData>
  <mergeCells count="6">
    <mergeCell ref="A1:E1"/>
    <mergeCell ref="B4:E4"/>
    <mergeCell ref="B8:E8"/>
    <mergeCell ref="B11:B12"/>
    <mergeCell ref="A2:E2"/>
    <mergeCell ref="A11:A12"/>
  </mergeCells>
  <printOptions horizontalCentered="1"/>
  <pageMargins left="0.98425196850393704" right="0.51181102362204722" top="0.74803149606299213" bottom="0.74803149606299213" header="0.31496062992125984" footer="0.31496062992125984"/>
  <pageSetup paperSize="9" orientation="portrait" horizontalDpi="300" verticalDpi="0" r:id="rId1"/>
</worksheet>
</file>

<file path=xl/worksheets/sheet2.xml><?xml version="1.0" encoding="utf-8"?>
<worksheet xmlns="http://schemas.openxmlformats.org/spreadsheetml/2006/main" xmlns:r="http://schemas.openxmlformats.org/officeDocument/2006/relationships">
  <sheetPr>
    <tabColor rgb="FFFF0000"/>
  </sheetPr>
  <dimension ref="A1:H12"/>
  <sheetViews>
    <sheetView view="pageBreakPreview" zoomScaleSheetLayoutView="100" workbookViewId="0">
      <selection activeCell="A2" sqref="A2:E2"/>
    </sheetView>
  </sheetViews>
  <sheetFormatPr defaultRowHeight="16.5"/>
  <cols>
    <col min="1" max="1" width="4.6640625" customWidth="1"/>
    <col min="2" max="2" width="23.44140625" customWidth="1"/>
    <col min="3" max="3" width="14.88671875" customWidth="1"/>
    <col min="4" max="4" width="12.33203125" customWidth="1"/>
    <col min="5" max="5" width="15.109375" customWidth="1"/>
  </cols>
  <sheetData>
    <row r="1" spans="1:8" ht="18.75">
      <c r="A1" s="238" t="s">
        <v>249</v>
      </c>
      <c r="B1" s="238"/>
      <c r="C1" s="238"/>
      <c r="D1" s="238"/>
      <c r="E1" s="238"/>
    </row>
    <row r="2" spans="1:8" ht="56.25" customHeight="1">
      <c r="A2" s="239" t="s">
        <v>215</v>
      </c>
      <c r="B2" s="239"/>
      <c r="C2" s="239"/>
      <c r="D2" s="239"/>
      <c r="E2" s="239"/>
    </row>
    <row r="3" spans="1:8" ht="18" thickBot="1">
      <c r="A3" s="240" t="s">
        <v>37</v>
      </c>
      <c r="B3" s="240"/>
      <c r="C3" s="240"/>
      <c r="D3" s="240"/>
      <c r="E3" s="240"/>
    </row>
    <row r="4" spans="1:8" ht="33">
      <c r="A4" s="119" t="s">
        <v>0</v>
      </c>
      <c r="B4" s="120" t="s">
        <v>1</v>
      </c>
      <c r="C4" s="131" t="s">
        <v>39</v>
      </c>
      <c r="D4" s="119" t="s">
        <v>6</v>
      </c>
      <c r="E4" s="131" t="s">
        <v>7</v>
      </c>
    </row>
    <row r="5" spans="1:8">
      <c r="A5" s="121">
        <v>1</v>
      </c>
      <c r="B5" s="122" t="s">
        <v>107</v>
      </c>
      <c r="C5" s="123">
        <f>'2.1. CP XAY DUNG'!F24</f>
        <v>95313354.545454532</v>
      </c>
      <c r="D5" s="123">
        <f>'2.1. CP XAY DUNG'!G24</f>
        <v>9531335.4545454532</v>
      </c>
      <c r="E5" s="123">
        <f>'2.1. CP XAY DUNG'!H24</f>
        <v>104844689.99999999</v>
      </c>
      <c r="G5" s="213">
        <f>C5/$C$12</f>
        <v>0.71894340379523458</v>
      </c>
    </row>
    <row r="6" spans="1:8" ht="25.5" customHeight="1">
      <c r="A6" s="121">
        <v>2</v>
      </c>
      <c r="B6" s="126" t="s">
        <v>226</v>
      </c>
      <c r="C6" s="125">
        <f>'2.2. CP THUE DAT'!F5</f>
        <v>3854125</v>
      </c>
      <c r="D6" s="125">
        <f>'2.2. CP THUE DAT'!G5</f>
        <v>0</v>
      </c>
      <c r="E6" s="125">
        <f>'2.2. CP THUE DAT'!H5</f>
        <v>3854125</v>
      </c>
      <c r="G6" s="214">
        <f t="shared" ref="G6:G12" si="0">C6/$C$12</f>
        <v>2.9071453411398704E-2</v>
      </c>
    </row>
    <row r="7" spans="1:8" ht="30.75" customHeight="1">
      <c r="A7" s="121">
        <v>3</v>
      </c>
      <c r="B7" s="126" t="s">
        <v>178</v>
      </c>
      <c r="C7" s="125">
        <f>'2.3. CPQLDA, TV, K'!E5</f>
        <v>1576595.5750671641</v>
      </c>
      <c r="D7" s="125">
        <f>'2.3. CPQLDA, TV, K'!F5</f>
        <v>0</v>
      </c>
      <c r="E7" s="125">
        <f>'2.3. CPQLDA, TV, K'!G5</f>
        <v>1576595.5750671641</v>
      </c>
      <c r="G7" s="214">
        <f t="shared" si="0"/>
        <v>1.1892173919938355E-2</v>
      </c>
      <c r="H7" s="213">
        <f>SUM(G7:G10)</f>
        <v>0.11636375356431816</v>
      </c>
    </row>
    <row r="8" spans="1:8" ht="39" customHeight="1">
      <c r="A8" s="121">
        <v>4</v>
      </c>
      <c r="B8" s="126" t="s">
        <v>179</v>
      </c>
      <c r="C8" s="125">
        <f>'2.3. CPQLDA, TV, K'!E6</f>
        <v>5743008.2663095891</v>
      </c>
      <c r="D8" s="125">
        <f>'2.3. CPQLDA, TV, K'!F6</f>
        <v>574300.82663095894</v>
      </c>
      <c r="E8" s="125">
        <f>'2.3. CPQLDA, TV, K'!G6</f>
        <v>6317309.0929405475</v>
      </c>
      <c r="G8" s="214">
        <f t="shared" si="0"/>
        <v>4.3319196252144615E-2</v>
      </c>
    </row>
    <row r="9" spans="1:8">
      <c r="A9" s="121">
        <v>5</v>
      </c>
      <c r="B9" s="124" t="s">
        <v>60</v>
      </c>
      <c r="C9" s="123">
        <f>'2.3. CPQLDA, TV, K'!E19</f>
        <v>1231452.4778636363</v>
      </c>
      <c r="D9" s="123">
        <f>'2.3. CPQLDA, TV, K'!F19</f>
        <v>123145.24778636364</v>
      </c>
      <c r="E9" s="123">
        <f>'2.3. CPQLDA, TV, K'!G19</f>
        <v>1354597.7256499999</v>
      </c>
      <c r="G9" s="213">
        <f t="shared" si="0"/>
        <v>9.2887784746380035E-3</v>
      </c>
    </row>
    <row r="10" spans="1:8">
      <c r="A10" s="121">
        <v>6</v>
      </c>
      <c r="B10" s="124" t="s">
        <v>180</v>
      </c>
      <c r="C10" s="123">
        <f>'4. KH HUY DONG VON (VAT)'!I34</f>
        <v>6875776.5039934106</v>
      </c>
      <c r="D10" s="127"/>
      <c r="E10" s="123">
        <f>C10</f>
        <v>6875776.5039934106</v>
      </c>
      <c r="G10" s="213">
        <f t="shared" si="0"/>
        <v>5.1863604917597193E-2</v>
      </c>
    </row>
    <row r="11" spans="1:8" ht="17.25" thickBot="1">
      <c r="A11" s="121">
        <v>7</v>
      </c>
      <c r="B11" s="128" t="s">
        <v>181</v>
      </c>
      <c r="C11" s="129">
        <f>E11/1.1</f>
        <v>17979898.67811216</v>
      </c>
      <c r="D11" s="129">
        <f>E11-C11</f>
        <v>1797989.8678112179</v>
      </c>
      <c r="E11" s="129">
        <f>SUM('2.4.CPDP'!C21:H21)</f>
        <v>19777888.545923378</v>
      </c>
      <c r="G11" s="213">
        <f>C11/(C12-C10)</f>
        <v>0.14303995704886074</v>
      </c>
    </row>
    <row r="12" spans="1:8" ht="17.25" thickBot="1">
      <c r="A12" s="241" t="s">
        <v>44</v>
      </c>
      <c r="B12" s="242"/>
      <c r="C12" s="130">
        <f>SUM(C5:C11)</f>
        <v>132574211.04680049</v>
      </c>
      <c r="D12" s="130">
        <f>SUM(D5:D11)</f>
        <v>12026771.396773994</v>
      </c>
      <c r="E12" s="130">
        <f>SUM(E5:E11)</f>
        <v>144600982.44357449</v>
      </c>
      <c r="G12" s="213">
        <f t="shared" si="0"/>
        <v>1</v>
      </c>
    </row>
  </sheetData>
  <mergeCells count="4">
    <mergeCell ref="A1:E1"/>
    <mergeCell ref="A2:E2"/>
    <mergeCell ref="A3:E3"/>
    <mergeCell ref="A12:B12"/>
  </mergeCells>
  <printOptions horizontalCentered="1"/>
  <pageMargins left="1.1811023622047245" right="0.70866141732283472" top="0.74803149606299213" bottom="0.74803149606299213" header="0.31496062992125984" footer="0.31496062992125984"/>
  <pageSetup paperSize="9" orientation="portrait" horizontalDpi="300" verticalDpi="0" r:id="rId1"/>
</worksheet>
</file>

<file path=xl/worksheets/sheet3.xml><?xml version="1.0" encoding="utf-8"?>
<worksheet xmlns="http://schemas.openxmlformats.org/spreadsheetml/2006/main" xmlns:r="http://schemas.openxmlformats.org/officeDocument/2006/relationships">
  <sheetPr>
    <tabColor rgb="FFFF0000"/>
  </sheetPr>
  <dimension ref="A1:H88"/>
  <sheetViews>
    <sheetView view="pageBreakPreview" zoomScaleSheetLayoutView="100" workbookViewId="0">
      <selection activeCell="A2" sqref="A2:H2"/>
    </sheetView>
  </sheetViews>
  <sheetFormatPr defaultRowHeight="16.5"/>
  <cols>
    <col min="1" max="1" width="3.77734375" customWidth="1"/>
    <col min="2" max="2" width="14.88671875" customWidth="1"/>
    <col min="3" max="3" width="6.5546875" customWidth="1"/>
    <col min="4" max="4" width="9.6640625" customWidth="1"/>
    <col min="5" max="5" width="7.6640625" customWidth="1"/>
    <col min="6" max="6" width="10.109375" customWidth="1"/>
    <col min="7" max="7" width="11" customWidth="1"/>
    <col min="8" max="8" width="11.33203125" customWidth="1"/>
  </cols>
  <sheetData>
    <row r="1" spans="1:8" ht="18.75">
      <c r="A1" s="238" t="s">
        <v>250</v>
      </c>
      <c r="B1" s="238"/>
      <c r="C1" s="238"/>
      <c r="D1" s="238"/>
      <c r="E1" s="238"/>
      <c r="F1" s="238"/>
      <c r="G1" s="238"/>
      <c r="H1" s="238"/>
    </row>
    <row r="2" spans="1:8" ht="18.75">
      <c r="A2" s="247" t="s">
        <v>37</v>
      </c>
      <c r="B2" s="247"/>
      <c r="C2" s="247"/>
      <c r="D2" s="247"/>
      <c r="E2" s="247"/>
      <c r="F2" s="247"/>
      <c r="G2" s="247"/>
      <c r="H2" s="247"/>
    </row>
    <row r="3" spans="1:8" ht="33">
      <c r="A3" s="4" t="s">
        <v>0</v>
      </c>
      <c r="B3" s="4" t="s">
        <v>1</v>
      </c>
      <c r="C3" s="4" t="s">
        <v>2</v>
      </c>
      <c r="D3" s="4" t="s">
        <v>3</v>
      </c>
      <c r="E3" s="4" t="s">
        <v>4</v>
      </c>
      <c r="F3" s="5" t="s">
        <v>5</v>
      </c>
      <c r="G3" s="4" t="s">
        <v>6</v>
      </c>
      <c r="H3" s="5" t="s">
        <v>7</v>
      </c>
    </row>
    <row r="4" spans="1:8" ht="21" customHeight="1">
      <c r="A4" s="6" t="s">
        <v>8</v>
      </c>
      <c r="B4" s="6" t="s">
        <v>9</v>
      </c>
      <c r="C4" s="6" t="s">
        <v>10</v>
      </c>
      <c r="D4" s="6" t="s">
        <v>11</v>
      </c>
      <c r="E4" s="6" t="s">
        <v>12</v>
      </c>
      <c r="F4" s="6" t="s">
        <v>13</v>
      </c>
      <c r="G4" s="6" t="s">
        <v>14</v>
      </c>
      <c r="H4" s="6" t="s">
        <v>15</v>
      </c>
    </row>
    <row r="5" spans="1:8">
      <c r="A5" s="6" t="s">
        <v>33</v>
      </c>
      <c r="B5" s="7" t="s">
        <v>26</v>
      </c>
      <c r="C5" s="8"/>
      <c r="D5" s="8"/>
      <c r="E5" s="8"/>
      <c r="F5" s="9">
        <f>SUM(F6:F12)</f>
        <v>27272727.272727266</v>
      </c>
      <c r="G5" s="9">
        <f t="shared" ref="G5:H5" si="0">SUM(G6:G12)</f>
        <v>2727272.7272727299</v>
      </c>
      <c r="H5" s="9">
        <f t="shared" si="0"/>
        <v>30000000</v>
      </c>
    </row>
    <row r="6" spans="1:8">
      <c r="A6" s="10">
        <v>1</v>
      </c>
      <c r="B6" s="11" t="s">
        <v>27</v>
      </c>
      <c r="C6" s="8"/>
      <c r="D6" s="12"/>
      <c r="E6" s="13"/>
      <c r="F6" s="12">
        <f>H6/1.1</f>
        <v>4090909.0909090904</v>
      </c>
      <c r="G6" s="12">
        <f>H6-F6</f>
        <v>409090.90909090964</v>
      </c>
      <c r="H6" s="12">
        <v>4500000</v>
      </c>
    </row>
    <row r="7" spans="1:8" ht="68.25" customHeight="1">
      <c r="A7" s="10">
        <v>2</v>
      </c>
      <c r="B7" s="215" t="s">
        <v>216</v>
      </c>
      <c r="C7" s="14" t="s">
        <v>22</v>
      </c>
      <c r="D7" s="10">
        <v>5358</v>
      </c>
      <c r="E7" s="10">
        <f>F7/D7</f>
        <v>1628.83029624351</v>
      </c>
      <c r="F7" s="10">
        <f t="shared" ref="F7:F12" si="1">H7/1.1</f>
        <v>8727272.7272727266</v>
      </c>
      <c r="G7" s="10">
        <f t="shared" ref="G7:G12" si="2">H7-F7</f>
        <v>872727.2727272734</v>
      </c>
      <c r="H7" s="13">
        <v>9600000</v>
      </c>
    </row>
    <row r="8" spans="1:8">
      <c r="A8" s="10">
        <v>3</v>
      </c>
      <c r="B8" s="11" t="s">
        <v>28</v>
      </c>
      <c r="C8" s="8"/>
      <c r="D8" s="12"/>
      <c r="E8" s="12"/>
      <c r="F8" s="12">
        <f t="shared" si="1"/>
        <v>4090909.0909090904</v>
      </c>
      <c r="G8" s="12">
        <f t="shared" si="2"/>
        <v>409090.90909090964</v>
      </c>
      <c r="H8" s="12">
        <v>4500000</v>
      </c>
    </row>
    <row r="9" spans="1:8">
      <c r="A9" s="10">
        <v>4</v>
      </c>
      <c r="B9" s="11" t="s">
        <v>29</v>
      </c>
      <c r="C9" s="8"/>
      <c r="D9" s="12"/>
      <c r="E9" s="12"/>
      <c r="F9" s="12">
        <f t="shared" si="1"/>
        <v>2727272.7272727271</v>
      </c>
      <c r="G9" s="12">
        <f t="shared" si="2"/>
        <v>272727.27272727294</v>
      </c>
      <c r="H9" s="12">
        <v>3000000</v>
      </c>
    </row>
    <row r="10" spans="1:8">
      <c r="A10" s="10">
        <v>5</v>
      </c>
      <c r="B10" s="11" t="s">
        <v>30</v>
      </c>
      <c r="C10" s="8"/>
      <c r="D10" s="12"/>
      <c r="E10" s="12"/>
      <c r="F10" s="12">
        <f t="shared" si="1"/>
        <v>2181818.1818181816</v>
      </c>
      <c r="G10" s="12">
        <f t="shared" si="2"/>
        <v>218181.81818181835</v>
      </c>
      <c r="H10" s="12">
        <v>2400000</v>
      </c>
    </row>
    <row r="11" spans="1:8">
      <c r="A11" s="10">
        <v>6</v>
      </c>
      <c r="B11" s="11" t="s">
        <v>31</v>
      </c>
      <c r="C11" s="8"/>
      <c r="D11" s="12"/>
      <c r="E11" s="12"/>
      <c r="F11" s="12">
        <f t="shared" si="1"/>
        <v>4363636.3636363633</v>
      </c>
      <c r="G11" s="12">
        <f t="shared" si="2"/>
        <v>436363.6363636367</v>
      </c>
      <c r="H11" s="12">
        <v>4800000</v>
      </c>
    </row>
    <row r="12" spans="1:8">
      <c r="A12" s="10">
        <v>7</v>
      </c>
      <c r="B12" s="11" t="s">
        <v>32</v>
      </c>
      <c r="C12" s="8"/>
      <c r="D12" s="12"/>
      <c r="E12" s="12"/>
      <c r="F12" s="12">
        <f t="shared" si="1"/>
        <v>1090909.0909090908</v>
      </c>
      <c r="G12" s="12">
        <f t="shared" si="2"/>
        <v>109090.90909090918</v>
      </c>
      <c r="H12" s="12">
        <v>1200000</v>
      </c>
    </row>
    <row r="13" spans="1:8">
      <c r="A13" s="15" t="s">
        <v>34</v>
      </c>
      <c r="B13" s="16" t="s">
        <v>16</v>
      </c>
      <c r="C13" s="17"/>
      <c r="D13" s="13"/>
      <c r="E13" s="17"/>
      <c r="F13" s="15">
        <f>SUM(F14:F19)</f>
        <v>21495172.727272727</v>
      </c>
      <c r="G13" s="15">
        <f>SUM(G14:G19)</f>
        <v>2149517.2727272725</v>
      </c>
      <c r="H13" s="15">
        <f>SUM(H14:H19)</f>
        <v>23644690</v>
      </c>
    </row>
    <row r="14" spans="1:8">
      <c r="A14" s="13">
        <v>1</v>
      </c>
      <c r="B14" s="18" t="s">
        <v>17</v>
      </c>
      <c r="C14" s="17" t="s">
        <v>22</v>
      </c>
      <c r="D14" s="13">
        <v>500</v>
      </c>
      <c r="E14" s="13">
        <f>6010*85%/1.1</f>
        <v>4644.090909090909</v>
      </c>
      <c r="F14" s="13">
        <f>PRODUCT(D14:E14)</f>
        <v>2322045.4545454546</v>
      </c>
      <c r="G14" s="13">
        <f>10%*F14</f>
        <v>232204.54545454547</v>
      </c>
      <c r="H14" s="13">
        <f>F14+G14</f>
        <v>2554250</v>
      </c>
    </row>
    <row r="15" spans="1:8" ht="33">
      <c r="A15" s="13">
        <v>2</v>
      </c>
      <c r="B15" s="19" t="s">
        <v>217</v>
      </c>
      <c r="C15" s="17" t="s">
        <v>22</v>
      </c>
      <c r="D15" s="13">
        <f>800*2</f>
        <v>1600</v>
      </c>
      <c r="E15" s="13">
        <f>6010*85%/1.1</f>
        <v>4644.090909090909</v>
      </c>
      <c r="F15" s="13">
        <f t="shared" ref="F15:F23" si="3">PRODUCT(D15:E15)</f>
        <v>7430545.4545454541</v>
      </c>
      <c r="G15" s="13">
        <f t="shared" ref="G15:G24" si="4">10%*F15</f>
        <v>743054.54545454541</v>
      </c>
      <c r="H15" s="13">
        <f t="shared" ref="H15:H24" si="5">F15+G15</f>
        <v>8173600</v>
      </c>
    </row>
    <row r="16" spans="1:8">
      <c r="A16" s="13">
        <v>3</v>
      </c>
      <c r="B16" s="18" t="s">
        <v>20</v>
      </c>
      <c r="C16" s="17" t="s">
        <v>22</v>
      </c>
      <c r="D16" s="13">
        <f>600*3</f>
        <v>1800</v>
      </c>
      <c r="E16" s="13">
        <f>6660/1.1</f>
        <v>6054.545454545454</v>
      </c>
      <c r="F16" s="13">
        <f t="shared" si="3"/>
        <v>10898181.818181816</v>
      </c>
      <c r="G16" s="13">
        <f t="shared" si="4"/>
        <v>1089818.1818181816</v>
      </c>
      <c r="H16" s="13">
        <f t="shared" si="5"/>
        <v>11987999.999999998</v>
      </c>
    </row>
    <row r="17" spans="1:8">
      <c r="A17" s="13">
        <v>4</v>
      </c>
      <c r="B17" s="18" t="s">
        <v>19</v>
      </c>
      <c r="C17" s="17" t="s">
        <v>22</v>
      </c>
      <c r="D17" s="13">
        <v>20</v>
      </c>
      <c r="E17" s="13">
        <f>4340*80%/1.1</f>
        <v>3156.363636363636</v>
      </c>
      <c r="F17" s="13">
        <f t="shared" si="3"/>
        <v>63127.272727272721</v>
      </c>
      <c r="G17" s="13">
        <f t="shared" si="4"/>
        <v>6312.7272727272721</v>
      </c>
      <c r="H17" s="13">
        <f t="shared" si="5"/>
        <v>69440</v>
      </c>
    </row>
    <row r="18" spans="1:8">
      <c r="A18" s="13">
        <v>5</v>
      </c>
      <c r="B18" s="18" t="s">
        <v>21</v>
      </c>
      <c r="C18" s="17" t="s">
        <v>22</v>
      </c>
      <c r="D18" s="13">
        <f>100*2</f>
        <v>200</v>
      </c>
      <c r="E18" s="13">
        <f>E17</f>
        <v>3156.363636363636</v>
      </c>
      <c r="F18" s="13">
        <f t="shared" si="3"/>
        <v>631272.72727272718</v>
      </c>
      <c r="G18" s="13">
        <f t="shared" si="4"/>
        <v>63127.272727272721</v>
      </c>
      <c r="H18" s="13">
        <f t="shared" si="5"/>
        <v>694399.99999999988</v>
      </c>
    </row>
    <row r="19" spans="1:8">
      <c r="A19" s="13">
        <v>6</v>
      </c>
      <c r="B19" s="18" t="s">
        <v>18</v>
      </c>
      <c r="C19" s="17" t="s">
        <v>22</v>
      </c>
      <c r="D19" s="13">
        <v>100</v>
      </c>
      <c r="E19" s="13">
        <f>1650/1.1</f>
        <v>1499.9999999999998</v>
      </c>
      <c r="F19" s="13">
        <f t="shared" si="3"/>
        <v>149999.99999999997</v>
      </c>
      <c r="G19" s="13">
        <f t="shared" si="4"/>
        <v>14999.999999999998</v>
      </c>
      <c r="H19" s="13">
        <f t="shared" si="5"/>
        <v>164999.99999999997</v>
      </c>
    </row>
    <row r="20" spans="1:8">
      <c r="A20" s="15" t="s">
        <v>35</v>
      </c>
      <c r="B20" s="16" t="s">
        <v>23</v>
      </c>
      <c r="C20" s="17"/>
      <c r="D20" s="17"/>
      <c r="E20" s="13"/>
      <c r="F20" s="15">
        <f>SUM(F21:F23)</f>
        <v>46545454.545454547</v>
      </c>
      <c r="G20" s="15">
        <f t="shared" ref="G20:H20" si="6">SUM(G21:G23)</f>
        <v>4654545.4545454541</v>
      </c>
      <c r="H20" s="15">
        <f t="shared" si="6"/>
        <v>51200000</v>
      </c>
    </row>
    <row r="21" spans="1:8" ht="33">
      <c r="A21" s="13">
        <v>1</v>
      </c>
      <c r="B21" s="19" t="s">
        <v>24</v>
      </c>
      <c r="C21" s="17" t="s">
        <v>22</v>
      </c>
      <c r="D21" s="13">
        <f>5000*2</f>
        <v>10000</v>
      </c>
      <c r="E21" s="13">
        <f>3500/1.1</f>
        <v>3181.8181818181815</v>
      </c>
      <c r="F21" s="13">
        <f t="shared" si="3"/>
        <v>31818181.818181816</v>
      </c>
      <c r="G21" s="13">
        <f t="shared" si="4"/>
        <v>3181818.1818181816</v>
      </c>
      <c r="H21" s="13">
        <f t="shared" si="5"/>
        <v>35000000</v>
      </c>
    </row>
    <row r="22" spans="1:8">
      <c r="A22" s="13">
        <v>2</v>
      </c>
      <c r="B22" s="18" t="s">
        <v>25</v>
      </c>
      <c r="C22" s="17" t="s">
        <v>22</v>
      </c>
      <c r="D22" s="13">
        <v>5000</v>
      </c>
      <c r="E22" s="13">
        <f>3000/1.1</f>
        <v>2727.272727272727</v>
      </c>
      <c r="F22" s="13">
        <f t="shared" si="3"/>
        <v>13636363.636363635</v>
      </c>
      <c r="G22" s="13">
        <f t="shared" si="4"/>
        <v>1363636.3636363635</v>
      </c>
      <c r="H22" s="13">
        <f t="shared" si="5"/>
        <v>14999999.999999998</v>
      </c>
    </row>
    <row r="23" spans="1:8" ht="33">
      <c r="A23" s="13">
        <v>3</v>
      </c>
      <c r="B23" s="19" t="s">
        <v>218</v>
      </c>
      <c r="C23" s="17" t="s">
        <v>22</v>
      </c>
      <c r="D23" s="17">
        <v>400</v>
      </c>
      <c r="E23" s="13">
        <f>3000/1.1</f>
        <v>2727.272727272727</v>
      </c>
      <c r="F23" s="13">
        <f t="shared" si="3"/>
        <v>1090909.0909090908</v>
      </c>
      <c r="G23" s="13">
        <f t="shared" si="4"/>
        <v>109090.90909090909</v>
      </c>
      <c r="H23" s="13">
        <f t="shared" si="5"/>
        <v>1200000</v>
      </c>
    </row>
    <row r="24" spans="1:8">
      <c r="A24" s="243" t="s">
        <v>36</v>
      </c>
      <c r="B24" s="243"/>
      <c r="C24" s="244"/>
      <c r="D24" s="245"/>
      <c r="E24" s="246"/>
      <c r="F24" s="15">
        <f>F5+F13+F20</f>
        <v>95313354.545454532</v>
      </c>
      <c r="G24" s="15">
        <f t="shared" si="4"/>
        <v>9531335.4545454532</v>
      </c>
      <c r="H24" s="15">
        <f t="shared" si="5"/>
        <v>104844689.99999999</v>
      </c>
    </row>
    <row r="25" spans="1:8">
      <c r="C25" s="1"/>
      <c r="D25" s="1"/>
      <c r="E25" s="2"/>
      <c r="F25" s="2"/>
      <c r="G25" s="2"/>
      <c r="H25" s="2"/>
    </row>
    <row r="26" spans="1:8">
      <c r="C26" s="1"/>
      <c r="D26" s="1"/>
      <c r="E26" s="2"/>
      <c r="F26" s="2"/>
      <c r="G26" s="2"/>
      <c r="H26" s="2"/>
    </row>
    <row r="27" spans="1:8">
      <c r="C27" s="1"/>
      <c r="D27" s="1"/>
      <c r="E27" s="2"/>
      <c r="F27" s="2"/>
      <c r="G27" s="2"/>
      <c r="H27" s="2"/>
    </row>
    <row r="28" spans="1:8">
      <c r="C28" s="1"/>
      <c r="D28" s="1"/>
      <c r="E28" s="2"/>
      <c r="F28" s="2"/>
      <c r="G28" s="2"/>
      <c r="H28" s="2"/>
    </row>
    <row r="29" spans="1:8">
      <c r="C29" s="1"/>
      <c r="D29" s="1"/>
      <c r="E29" s="2"/>
      <c r="F29" s="2"/>
      <c r="G29" s="2"/>
      <c r="H29" s="2"/>
    </row>
    <row r="30" spans="1:8">
      <c r="C30" s="1"/>
      <c r="D30" s="1"/>
      <c r="E30" s="2"/>
      <c r="F30" s="2"/>
      <c r="G30" s="2"/>
      <c r="H30" s="2"/>
    </row>
    <row r="31" spans="1:8">
      <c r="C31" s="1"/>
      <c r="D31" s="1"/>
      <c r="E31" s="2"/>
      <c r="F31" s="2"/>
      <c r="G31" s="2"/>
      <c r="H31" s="2"/>
    </row>
    <row r="32" spans="1:8">
      <c r="C32" s="1"/>
      <c r="D32" s="1"/>
      <c r="E32" s="2"/>
      <c r="F32" s="2"/>
      <c r="G32" s="2"/>
      <c r="H32" s="2"/>
    </row>
    <row r="33" spans="3:8">
      <c r="C33" s="1"/>
      <c r="D33" s="1"/>
      <c r="E33" s="2"/>
      <c r="F33" s="2"/>
      <c r="G33" s="2"/>
      <c r="H33" s="2"/>
    </row>
    <row r="34" spans="3:8">
      <c r="C34" s="1"/>
      <c r="D34" s="1"/>
      <c r="E34" s="2"/>
      <c r="F34" s="2"/>
      <c r="G34" s="2"/>
      <c r="H34" s="2"/>
    </row>
    <row r="35" spans="3:8">
      <c r="C35" s="1"/>
      <c r="D35" s="1"/>
      <c r="E35" s="2"/>
      <c r="F35" s="2"/>
      <c r="G35" s="2"/>
      <c r="H35" s="2"/>
    </row>
    <row r="36" spans="3:8">
      <c r="C36" s="1"/>
      <c r="D36" s="1"/>
      <c r="E36" s="2"/>
      <c r="F36" s="2"/>
      <c r="G36" s="2"/>
      <c r="H36" s="2"/>
    </row>
    <row r="37" spans="3:8">
      <c r="C37" s="1"/>
      <c r="D37" s="1"/>
      <c r="E37" s="2"/>
      <c r="F37" s="2"/>
      <c r="G37" s="2"/>
      <c r="H37" s="2"/>
    </row>
    <row r="38" spans="3:8">
      <c r="C38" s="1"/>
      <c r="D38" s="1"/>
      <c r="E38" s="2"/>
      <c r="F38" s="2"/>
      <c r="G38" s="2"/>
      <c r="H38" s="2"/>
    </row>
    <row r="39" spans="3:8">
      <c r="C39" s="1"/>
      <c r="D39" s="1"/>
      <c r="E39" s="2"/>
      <c r="F39" s="2"/>
      <c r="G39" s="2"/>
      <c r="H39" s="2"/>
    </row>
    <row r="40" spans="3:8">
      <c r="C40" s="1"/>
      <c r="D40" s="1"/>
      <c r="E40" s="2"/>
      <c r="F40" s="2"/>
      <c r="G40" s="2"/>
      <c r="H40" s="2"/>
    </row>
    <row r="41" spans="3:8">
      <c r="C41" s="1"/>
      <c r="D41" s="1"/>
      <c r="E41" s="2"/>
      <c r="F41" s="2"/>
      <c r="G41" s="2"/>
      <c r="H41" s="2"/>
    </row>
    <row r="42" spans="3:8">
      <c r="C42" s="1"/>
      <c r="D42" s="1"/>
      <c r="E42" s="2"/>
      <c r="F42" s="2"/>
      <c r="G42" s="2"/>
      <c r="H42" s="2"/>
    </row>
    <row r="43" spans="3:8">
      <c r="C43" s="1"/>
      <c r="D43" s="1"/>
      <c r="E43" s="2"/>
      <c r="F43" s="2"/>
      <c r="G43" s="2"/>
      <c r="H43" s="2"/>
    </row>
    <row r="44" spans="3:8">
      <c r="C44" s="1"/>
      <c r="D44" s="1"/>
      <c r="E44" s="2"/>
      <c r="F44" s="2"/>
      <c r="G44" s="2"/>
      <c r="H44" s="2"/>
    </row>
    <row r="45" spans="3:8">
      <c r="C45" s="1"/>
      <c r="D45" s="1"/>
      <c r="E45" s="2"/>
      <c r="F45" s="2"/>
      <c r="G45" s="2"/>
      <c r="H45" s="2"/>
    </row>
    <row r="46" spans="3:8">
      <c r="C46" s="1"/>
      <c r="D46" s="1"/>
      <c r="E46" s="2"/>
      <c r="F46" s="2"/>
      <c r="G46" s="2"/>
      <c r="H46" s="2"/>
    </row>
    <row r="47" spans="3:8">
      <c r="C47" s="1"/>
      <c r="D47" s="1"/>
      <c r="E47" s="2"/>
      <c r="F47" s="2"/>
      <c r="G47" s="2"/>
      <c r="H47" s="2"/>
    </row>
    <row r="48" spans="3:8">
      <c r="C48" s="1"/>
      <c r="D48" s="1"/>
      <c r="E48" s="2"/>
      <c r="F48" s="2"/>
      <c r="G48" s="2"/>
      <c r="H48" s="2"/>
    </row>
    <row r="49" spans="3:8">
      <c r="C49" s="1"/>
      <c r="D49" s="1"/>
      <c r="E49" s="2"/>
      <c r="F49" s="2"/>
      <c r="G49" s="2"/>
      <c r="H49" s="2"/>
    </row>
    <row r="50" spans="3:8">
      <c r="C50" s="1"/>
      <c r="D50" s="1"/>
      <c r="E50" s="2"/>
      <c r="F50" s="2"/>
      <c r="G50" s="2"/>
      <c r="H50" s="2"/>
    </row>
    <row r="51" spans="3:8">
      <c r="C51" s="1"/>
      <c r="D51" s="1"/>
      <c r="E51" s="2"/>
      <c r="F51" s="2"/>
      <c r="G51" s="2"/>
      <c r="H51" s="2"/>
    </row>
    <row r="52" spans="3:8">
      <c r="C52" s="1"/>
      <c r="D52" s="1"/>
      <c r="E52" s="2"/>
      <c r="F52" s="2"/>
      <c r="G52" s="2"/>
      <c r="H52" s="2"/>
    </row>
    <row r="53" spans="3:8">
      <c r="C53" s="1"/>
      <c r="D53" s="1"/>
      <c r="E53" s="1"/>
      <c r="F53" s="1"/>
      <c r="G53" s="1"/>
      <c r="H53" s="1"/>
    </row>
    <row r="54" spans="3:8">
      <c r="C54" s="1"/>
      <c r="D54" s="1"/>
      <c r="E54" s="1"/>
      <c r="F54" s="1"/>
      <c r="G54" s="1"/>
      <c r="H54" s="1"/>
    </row>
    <row r="55" spans="3:8">
      <c r="C55" s="1"/>
      <c r="D55" s="1"/>
      <c r="E55" s="1"/>
      <c r="F55" s="1"/>
      <c r="G55" s="1"/>
      <c r="H55" s="1"/>
    </row>
    <row r="56" spans="3:8">
      <c r="C56" s="1"/>
      <c r="D56" s="1"/>
      <c r="E56" s="1"/>
      <c r="F56" s="1"/>
      <c r="G56" s="1"/>
      <c r="H56" s="1"/>
    </row>
    <row r="57" spans="3:8">
      <c r="C57" s="1"/>
      <c r="D57" s="1"/>
      <c r="E57" s="1"/>
      <c r="F57" s="1"/>
      <c r="G57" s="1"/>
      <c r="H57" s="1"/>
    </row>
    <row r="58" spans="3:8">
      <c r="C58" s="1"/>
      <c r="D58" s="1"/>
      <c r="E58" s="1"/>
      <c r="F58" s="1"/>
      <c r="G58" s="1"/>
      <c r="H58" s="1"/>
    </row>
    <row r="59" spans="3:8">
      <c r="C59" s="1"/>
      <c r="D59" s="1"/>
      <c r="E59" s="1"/>
      <c r="F59" s="1"/>
      <c r="G59" s="1"/>
      <c r="H59" s="1"/>
    </row>
    <row r="60" spans="3:8">
      <c r="C60" s="1"/>
      <c r="D60" s="1"/>
      <c r="E60" s="1"/>
      <c r="F60" s="1"/>
      <c r="G60" s="1"/>
      <c r="H60" s="1"/>
    </row>
    <row r="61" spans="3:8">
      <c r="C61" s="1"/>
      <c r="D61" s="1"/>
      <c r="E61" s="1"/>
      <c r="F61" s="1"/>
      <c r="G61" s="1"/>
      <c r="H61" s="1"/>
    </row>
    <row r="62" spans="3:8">
      <c r="C62" s="1"/>
      <c r="D62" s="1"/>
      <c r="E62" s="1"/>
      <c r="F62" s="1"/>
      <c r="G62" s="1"/>
      <c r="H62" s="1"/>
    </row>
    <row r="63" spans="3:8">
      <c r="C63" s="1"/>
      <c r="D63" s="1"/>
      <c r="E63" s="1"/>
      <c r="F63" s="1"/>
      <c r="G63" s="1"/>
      <c r="H63" s="1"/>
    </row>
    <row r="64" spans="3:8">
      <c r="C64" s="1"/>
      <c r="D64" s="1"/>
      <c r="E64" s="1"/>
      <c r="F64" s="1"/>
      <c r="G64" s="1"/>
      <c r="H64" s="1"/>
    </row>
    <row r="65" spans="3:8">
      <c r="C65" s="1"/>
      <c r="D65" s="1"/>
      <c r="E65" s="1"/>
      <c r="F65" s="1"/>
      <c r="G65" s="1"/>
      <c r="H65" s="1"/>
    </row>
    <row r="66" spans="3:8">
      <c r="C66" s="1"/>
      <c r="D66" s="1"/>
      <c r="E66" s="1"/>
      <c r="F66" s="1"/>
      <c r="G66" s="1"/>
      <c r="H66" s="1"/>
    </row>
    <row r="67" spans="3:8">
      <c r="C67" s="1"/>
      <c r="D67" s="1"/>
      <c r="E67" s="1"/>
      <c r="F67" s="1"/>
      <c r="G67" s="1"/>
      <c r="H67" s="1"/>
    </row>
    <row r="68" spans="3:8">
      <c r="C68" s="1"/>
      <c r="D68" s="1"/>
      <c r="E68" s="1"/>
      <c r="F68" s="1"/>
      <c r="G68" s="1"/>
      <c r="H68" s="1"/>
    </row>
    <row r="69" spans="3:8">
      <c r="C69" s="1"/>
      <c r="D69" s="1"/>
      <c r="E69" s="1"/>
      <c r="F69" s="1"/>
      <c r="G69" s="1"/>
      <c r="H69" s="1"/>
    </row>
    <row r="70" spans="3:8">
      <c r="C70" s="1"/>
      <c r="D70" s="1"/>
      <c r="E70" s="1"/>
      <c r="F70" s="1"/>
      <c r="G70" s="1"/>
      <c r="H70" s="1"/>
    </row>
    <row r="71" spans="3:8">
      <c r="C71" s="1"/>
      <c r="D71" s="1"/>
      <c r="E71" s="1"/>
      <c r="F71" s="1"/>
      <c r="G71" s="1"/>
      <c r="H71" s="1"/>
    </row>
    <row r="72" spans="3:8">
      <c r="C72" s="1"/>
      <c r="D72" s="1"/>
      <c r="E72" s="1"/>
      <c r="F72" s="1"/>
      <c r="G72" s="1"/>
      <c r="H72" s="1"/>
    </row>
    <row r="73" spans="3:8">
      <c r="C73" s="1"/>
      <c r="D73" s="1"/>
      <c r="E73" s="1"/>
      <c r="F73" s="1"/>
      <c r="G73" s="1"/>
      <c r="H73" s="1"/>
    </row>
    <row r="74" spans="3:8">
      <c r="C74" s="1"/>
      <c r="D74" s="1"/>
      <c r="E74" s="1"/>
      <c r="F74" s="1"/>
      <c r="G74" s="1"/>
      <c r="H74" s="1"/>
    </row>
    <row r="75" spans="3:8">
      <c r="C75" s="1"/>
      <c r="D75" s="1"/>
      <c r="E75" s="1"/>
      <c r="F75" s="1"/>
      <c r="G75" s="1"/>
      <c r="H75" s="1"/>
    </row>
    <row r="76" spans="3:8">
      <c r="C76" s="1"/>
      <c r="D76" s="1"/>
      <c r="E76" s="1"/>
      <c r="F76" s="1"/>
      <c r="G76" s="1"/>
      <c r="H76" s="1"/>
    </row>
    <row r="77" spans="3:8">
      <c r="C77" s="1"/>
      <c r="D77" s="1"/>
      <c r="E77" s="1"/>
      <c r="F77" s="1"/>
      <c r="G77" s="1"/>
      <c r="H77" s="1"/>
    </row>
    <row r="78" spans="3:8">
      <c r="C78" s="1"/>
      <c r="D78" s="1"/>
      <c r="E78" s="1"/>
      <c r="F78" s="1"/>
      <c r="G78" s="1"/>
      <c r="H78" s="1"/>
    </row>
    <row r="79" spans="3:8">
      <c r="C79" s="1"/>
      <c r="D79" s="1"/>
      <c r="E79" s="1"/>
      <c r="F79" s="1"/>
      <c r="G79" s="1"/>
      <c r="H79" s="1"/>
    </row>
    <row r="80" spans="3:8">
      <c r="C80" s="1"/>
      <c r="D80" s="1"/>
      <c r="E80" s="1"/>
      <c r="F80" s="1"/>
      <c r="G80" s="1"/>
      <c r="H80" s="1"/>
    </row>
    <row r="81" spans="3:8">
      <c r="C81" s="1"/>
      <c r="D81" s="1"/>
      <c r="E81" s="1"/>
      <c r="F81" s="1"/>
      <c r="G81" s="1"/>
      <c r="H81" s="1"/>
    </row>
    <row r="82" spans="3:8">
      <c r="C82" s="1"/>
      <c r="D82" s="1"/>
      <c r="E82" s="1"/>
      <c r="F82" s="1"/>
      <c r="G82" s="1"/>
      <c r="H82" s="1"/>
    </row>
    <row r="83" spans="3:8">
      <c r="C83" s="1"/>
      <c r="D83" s="1"/>
      <c r="E83" s="1"/>
      <c r="F83" s="1"/>
      <c r="G83" s="1"/>
      <c r="H83" s="1"/>
    </row>
    <row r="84" spans="3:8">
      <c r="C84" s="1"/>
      <c r="D84" s="1"/>
      <c r="E84" s="1"/>
      <c r="F84" s="1"/>
      <c r="G84" s="1"/>
      <c r="H84" s="1"/>
    </row>
    <row r="85" spans="3:8">
      <c r="C85" s="1"/>
      <c r="D85" s="1"/>
      <c r="E85" s="1"/>
      <c r="F85" s="1"/>
      <c r="G85" s="1"/>
      <c r="H85" s="1"/>
    </row>
    <row r="86" spans="3:8">
      <c r="C86" s="1"/>
      <c r="D86" s="1"/>
      <c r="E86" s="1"/>
      <c r="F86" s="1"/>
      <c r="G86" s="1"/>
      <c r="H86" s="1"/>
    </row>
    <row r="87" spans="3:8">
      <c r="C87" s="1"/>
      <c r="D87" s="1"/>
      <c r="E87" s="1"/>
      <c r="F87" s="1"/>
      <c r="G87" s="1"/>
      <c r="H87" s="1"/>
    </row>
    <row r="88" spans="3:8">
      <c r="C88" s="1"/>
      <c r="D88" s="1"/>
      <c r="E88" s="1"/>
      <c r="F88" s="1"/>
      <c r="G88" s="1"/>
      <c r="H88" s="1"/>
    </row>
  </sheetData>
  <mergeCells count="4">
    <mergeCell ref="A24:B24"/>
    <mergeCell ref="C24:E24"/>
    <mergeCell ref="A1:H1"/>
    <mergeCell ref="A2:H2"/>
  </mergeCells>
  <printOptions horizontalCentered="1"/>
  <pageMargins left="0.98425196850393704" right="0.43307086614173229" top="0.74803149606299213" bottom="0.74803149606299213" header="0.31496062992125984" footer="0.31496062992125984"/>
  <pageSetup paperSize="9" orientation="portrait" horizontalDpi="300" verticalDpi="0" r:id="rId1"/>
  <legacyDrawing r:id="rId2"/>
</worksheet>
</file>

<file path=xl/worksheets/sheet4.xml><?xml version="1.0" encoding="utf-8"?>
<worksheet xmlns="http://schemas.openxmlformats.org/spreadsheetml/2006/main" xmlns:r="http://schemas.openxmlformats.org/officeDocument/2006/relationships">
  <sheetPr>
    <tabColor rgb="FFFF0000"/>
  </sheetPr>
  <dimension ref="A1:I6"/>
  <sheetViews>
    <sheetView view="pageBreakPreview" zoomScaleSheetLayoutView="100" workbookViewId="0">
      <selection activeCell="A8" sqref="A8"/>
    </sheetView>
  </sheetViews>
  <sheetFormatPr defaultRowHeight="16.5"/>
  <cols>
    <col min="1" max="1" width="5.88671875" customWidth="1"/>
    <col min="2" max="2" width="12.44140625" customWidth="1"/>
    <col min="3" max="3" width="10.21875" customWidth="1"/>
    <col min="4" max="4" width="10.109375" customWidth="1"/>
    <col min="5" max="5" width="14.44140625" customWidth="1"/>
    <col min="6" max="6" width="9.88671875" customWidth="1"/>
    <col min="7" max="7" width="10" customWidth="1"/>
    <col min="8" max="8" width="14.5546875" customWidth="1"/>
    <col min="9" max="9" width="21.109375" customWidth="1"/>
  </cols>
  <sheetData>
    <row r="1" spans="1:9">
      <c r="A1" s="248" t="s">
        <v>260</v>
      </c>
      <c r="B1" s="248"/>
      <c r="C1" s="248"/>
      <c r="D1" s="248"/>
      <c r="E1" s="248"/>
      <c r="F1" s="248"/>
      <c r="G1" s="248"/>
      <c r="H1" s="248"/>
      <c r="I1" s="248"/>
    </row>
    <row r="2" spans="1:9" ht="17.25" thickBot="1">
      <c r="A2" s="249" t="s">
        <v>37</v>
      </c>
      <c r="B2" s="249"/>
      <c r="C2" s="249"/>
      <c r="D2" s="249"/>
      <c r="E2" s="249"/>
      <c r="F2" s="249"/>
      <c r="G2" s="249"/>
      <c r="H2" s="249"/>
      <c r="I2" s="249"/>
    </row>
    <row r="3" spans="1:9" ht="33">
      <c r="A3" s="20" t="s">
        <v>38</v>
      </c>
      <c r="B3" s="21" t="s">
        <v>1</v>
      </c>
      <c r="C3" s="21" t="s">
        <v>2</v>
      </c>
      <c r="D3" s="21" t="s">
        <v>3</v>
      </c>
      <c r="E3" s="21" t="s">
        <v>4</v>
      </c>
      <c r="F3" s="22" t="s">
        <v>39</v>
      </c>
      <c r="G3" s="22" t="s">
        <v>6</v>
      </c>
      <c r="H3" s="22" t="s">
        <v>40</v>
      </c>
      <c r="I3" s="23" t="s">
        <v>41</v>
      </c>
    </row>
    <row r="4" spans="1:9" ht="107.25" customHeight="1">
      <c r="A4" s="24">
        <v>1</v>
      </c>
      <c r="B4" s="216" t="s">
        <v>222</v>
      </c>
      <c r="C4" s="17" t="s">
        <v>22</v>
      </c>
      <c r="D4" s="13">
        <v>30833</v>
      </c>
      <c r="E4" s="392">
        <v>2.5</v>
      </c>
      <c r="F4" s="26">
        <f>D4*E4*50</f>
        <v>3854125</v>
      </c>
      <c r="G4" s="26"/>
      <c r="H4" s="26">
        <f>F4</f>
        <v>3854125</v>
      </c>
      <c r="I4" s="27" t="s">
        <v>223</v>
      </c>
    </row>
    <row r="5" spans="1:9" ht="17.25" thickBot="1">
      <c r="A5" s="250" t="s">
        <v>44</v>
      </c>
      <c r="B5" s="251"/>
      <c r="C5" s="28"/>
      <c r="D5" s="28"/>
      <c r="E5" s="28"/>
      <c r="F5" s="29">
        <f>SUM(F4:F4)</f>
        <v>3854125</v>
      </c>
      <c r="G5" s="29"/>
      <c r="H5" s="29">
        <f>SUM(H4:H4)</f>
        <v>3854125</v>
      </c>
      <c r="I5" s="30"/>
    </row>
    <row r="6" spans="1:9" ht="31.5" customHeight="1">
      <c r="B6" s="343" t="s">
        <v>259</v>
      </c>
    </row>
  </sheetData>
  <mergeCells count="3">
    <mergeCell ref="A1:I1"/>
    <mergeCell ref="A2:I2"/>
    <mergeCell ref="A5:B5"/>
  </mergeCells>
  <printOptions horizontalCentered="1"/>
  <pageMargins left="0.78740157480314965" right="0.78740157480314965" top="1.1811023622047245" bottom="0.74803149606299213" header="0.31496062992125984" footer="0.31496062992125984"/>
  <pageSetup paperSize="9" orientation="landscape" horizontalDpi="300" verticalDpi="0" r:id="rId1"/>
</worksheet>
</file>

<file path=xl/worksheets/sheet5.xml><?xml version="1.0" encoding="utf-8"?>
<worksheet xmlns="http://schemas.openxmlformats.org/spreadsheetml/2006/main" xmlns:r="http://schemas.openxmlformats.org/officeDocument/2006/relationships">
  <sheetPr>
    <tabColor rgb="FFFF0000"/>
  </sheetPr>
  <dimension ref="A1:G24"/>
  <sheetViews>
    <sheetView view="pageBreakPreview" zoomScaleSheetLayoutView="100" workbookViewId="0">
      <selection activeCell="A2" sqref="A2:G2"/>
    </sheetView>
  </sheetViews>
  <sheetFormatPr defaultRowHeight="16.5"/>
  <cols>
    <col min="1" max="1" width="3.5546875" customWidth="1"/>
    <col min="2" max="2" width="15.88671875" customWidth="1"/>
    <col min="3" max="3" width="8.109375" customWidth="1"/>
    <col min="4" max="4" width="13.109375" customWidth="1"/>
    <col min="5" max="5" width="11.77734375" bestFit="1" customWidth="1"/>
    <col min="6" max="6" width="9.77734375" bestFit="1" customWidth="1"/>
    <col min="7" max="7" width="12.109375" bestFit="1" customWidth="1"/>
  </cols>
  <sheetData>
    <row r="1" spans="1:7">
      <c r="A1" s="248" t="s">
        <v>251</v>
      </c>
      <c r="B1" s="248"/>
      <c r="C1" s="248"/>
      <c r="D1" s="248"/>
      <c r="E1" s="248"/>
      <c r="F1" s="248"/>
      <c r="G1" s="248"/>
    </row>
    <row r="2" spans="1:7" ht="17.25" thickBot="1">
      <c r="A2" s="249" t="s">
        <v>37</v>
      </c>
      <c r="B2" s="249"/>
      <c r="C2" s="249"/>
      <c r="D2" s="249"/>
      <c r="E2" s="249"/>
      <c r="F2" s="249"/>
      <c r="G2" s="249"/>
    </row>
    <row r="3" spans="1:7" ht="49.5">
      <c r="A3" s="31" t="s">
        <v>38</v>
      </c>
      <c r="B3" s="32" t="s">
        <v>45</v>
      </c>
      <c r="C3" s="33" t="s">
        <v>46</v>
      </c>
      <c r="D3" s="33" t="s">
        <v>47</v>
      </c>
      <c r="E3" s="33" t="s">
        <v>39</v>
      </c>
      <c r="F3" s="33" t="s">
        <v>48</v>
      </c>
      <c r="G3" s="34" t="s">
        <v>7</v>
      </c>
    </row>
    <row r="4" spans="1:7">
      <c r="A4" s="35" t="s">
        <v>8</v>
      </c>
      <c r="B4" s="36" t="s">
        <v>9</v>
      </c>
      <c r="C4" s="36" t="s">
        <v>10</v>
      </c>
      <c r="D4" s="36" t="s">
        <v>11</v>
      </c>
      <c r="E4" s="36" t="s">
        <v>12</v>
      </c>
      <c r="F4" s="36" t="s">
        <v>49</v>
      </c>
      <c r="G4" s="37" t="s">
        <v>50</v>
      </c>
    </row>
    <row r="5" spans="1:7" ht="19.5">
      <c r="A5" s="35" t="s">
        <v>33</v>
      </c>
      <c r="B5" s="36" t="s">
        <v>64</v>
      </c>
      <c r="C5" s="114">
        <f>'NOI SUY 957'!F16</f>
        <v>1.654118232E-2</v>
      </c>
      <c r="D5" s="40" t="s">
        <v>55</v>
      </c>
      <c r="E5" s="115">
        <f>C5*'2.1. CP XAY DUNG'!$F$24</f>
        <v>1576595.5750671641</v>
      </c>
      <c r="F5" s="115"/>
      <c r="G5" s="116">
        <f>E5+F5</f>
        <v>1576595.5750671641</v>
      </c>
    </row>
    <row r="6" spans="1:7" ht="17.25">
      <c r="A6" s="38" t="s">
        <v>33</v>
      </c>
      <c r="B6" s="39" t="s">
        <v>51</v>
      </c>
      <c r="C6" s="40"/>
      <c r="D6" s="40"/>
      <c r="E6" s="15">
        <f>SUM(E7:E18)</f>
        <v>5743008.2663095891</v>
      </c>
      <c r="F6" s="15">
        <f>SUM(F7:F18)</f>
        <v>574300.82663095894</v>
      </c>
      <c r="G6" s="41">
        <f>SUM(G7:G18)</f>
        <v>6317309.0929405475</v>
      </c>
    </row>
    <row r="7" spans="1:7" ht="57" customHeight="1">
      <c r="A7" s="42">
        <v>1</v>
      </c>
      <c r="B7" s="43" t="s">
        <v>52</v>
      </c>
      <c r="C7" s="256" t="s">
        <v>43</v>
      </c>
      <c r="D7" s="256"/>
      <c r="E7" s="44">
        <v>85000</v>
      </c>
      <c r="F7" s="44">
        <f>10%*E7</f>
        <v>8500</v>
      </c>
      <c r="G7" s="45">
        <f t="shared" ref="G7:G18" si="0">E7+F7</f>
        <v>93500</v>
      </c>
    </row>
    <row r="8" spans="1:7" ht="57.75" customHeight="1">
      <c r="A8" s="42">
        <v>2</v>
      </c>
      <c r="B8" s="43" t="s">
        <v>53</v>
      </c>
      <c r="C8" s="252" t="s">
        <v>43</v>
      </c>
      <c r="D8" s="253"/>
      <c r="E8" s="44">
        <v>40000</v>
      </c>
      <c r="F8" s="44">
        <f t="shared" ref="F8:F23" si="1">10%*E8</f>
        <v>4000</v>
      </c>
      <c r="G8" s="45">
        <f t="shared" si="0"/>
        <v>44000</v>
      </c>
    </row>
    <row r="9" spans="1:7" ht="72" customHeight="1">
      <c r="A9" s="42">
        <v>3</v>
      </c>
      <c r="B9" s="43" t="s">
        <v>54</v>
      </c>
      <c r="C9" s="46">
        <f>'NOI SUY 957'!F54</f>
        <v>4.822784641818182E-3</v>
      </c>
      <c r="D9" s="40" t="s">
        <v>57</v>
      </c>
      <c r="E9" s="10">
        <f>C9*'2.1. CP XAY DUNG'!$F$24</f>
        <v>459675.78246198932</v>
      </c>
      <c r="F9" s="44">
        <f t="shared" si="1"/>
        <v>45967.578246198937</v>
      </c>
      <c r="G9" s="45">
        <f t="shared" si="0"/>
        <v>505643.36070818827</v>
      </c>
    </row>
    <row r="10" spans="1:7" ht="55.5" customHeight="1">
      <c r="A10" s="42">
        <v>4</v>
      </c>
      <c r="B10" s="43" t="s">
        <v>56</v>
      </c>
      <c r="C10" s="46">
        <f>'NOI SUY 957'!F159</f>
        <v>7.2343322727272733E-4</v>
      </c>
      <c r="D10" s="40" t="s">
        <v>143</v>
      </c>
      <c r="E10" s="10">
        <f>C10*'2.1. CP XAY DUNG'!$F$24</f>
        <v>68952.847681007843</v>
      </c>
      <c r="F10" s="44">
        <f t="shared" si="1"/>
        <v>6895.2847681007843</v>
      </c>
      <c r="G10" s="45">
        <f t="shared" si="0"/>
        <v>75848.132449108627</v>
      </c>
    </row>
    <row r="11" spans="1:7" ht="54.75" customHeight="1">
      <c r="A11" s="42">
        <v>5</v>
      </c>
      <c r="B11" s="43" t="s">
        <v>58</v>
      </c>
      <c r="C11" s="256" t="s">
        <v>43</v>
      </c>
      <c r="D11" s="256"/>
      <c r="E11" s="44">
        <v>85000</v>
      </c>
      <c r="F11" s="44">
        <f t="shared" si="1"/>
        <v>8500</v>
      </c>
      <c r="G11" s="45">
        <f t="shared" si="0"/>
        <v>93500</v>
      </c>
    </row>
    <row r="12" spans="1:7" ht="84" customHeight="1">
      <c r="A12" s="42">
        <v>6</v>
      </c>
      <c r="B12" s="43" t="s">
        <v>219</v>
      </c>
      <c r="C12" s="117">
        <f>'NOI SUY 957'!F113</f>
        <v>2.3134332272727272E-2</v>
      </c>
      <c r="D12" s="40" t="s">
        <v>147</v>
      </c>
      <c r="E12" s="10">
        <f>C12*'2.1. CP XAY DUNG'!$F$24</f>
        <v>2205010.8140828055</v>
      </c>
      <c r="F12" s="44">
        <f t="shared" ref="F12:F17" si="2">10%*E12</f>
        <v>220501.08140828056</v>
      </c>
      <c r="G12" s="45">
        <f t="shared" ref="G12:G17" si="3">E12+F12</f>
        <v>2425511.8954910859</v>
      </c>
    </row>
    <row r="13" spans="1:7" ht="56.25" customHeight="1">
      <c r="A13" s="42">
        <v>7</v>
      </c>
      <c r="B13" s="25" t="s">
        <v>67</v>
      </c>
      <c r="C13" s="117">
        <f>'NOI SUY 957'!F178</f>
        <v>1.2446811763636365E-3</v>
      </c>
      <c r="D13" s="40" t="s">
        <v>149</v>
      </c>
      <c r="E13" s="10">
        <f>C13*'2.1. CP XAY DUNG'!$F$24</f>
        <v>118634.7382588007</v>
      </c>
      <c r="F13" s="44">
        <f t="shared" si="2"/>
        <v>11863.473825880072</v>
      </c>
      <c r="G13" s="45">
        <f t="shared" si="3"/>
        <v>130498.21208468077</v>
      </c>
    </row>
    <row r="14" spans="1:7" ht="37.5" customHeight="1">
      <c r="A14" s="42">
        <v>8</v>
      </c>
      <c r="B14" s="25" t="s">
        <v>220</v>
      </c>
      <c r="C14" s="117">
        <f>'NOI SUY 957'!F216</f>
        <v>1.2109318600000002E-3</v>
      </c>
      <c r="D14" s="40" t="s">
        <v>148</v>
      </c>
      <c r="E14" s="10">
        <f>C14*'2.1. CP XAY DUNG'!$F$24</f>
        <v>115417.97770256673</v>
      </c>
      <c r="F14" s="44">
        <f t="shared" si="2"/>
        <v>11541.797770256673</v>
      </c>
      <c r="G14" s="45">
        <f t="shared" si="3"/>
        <v>126959.7754728234</v>
      </c>
    </row>
    <row r="15" spans="1:7" ht="77.25" customHeight="1">
      <c r="A15" s="42">
        <v>9</v>
      </c>
      <c r="B15" s="25" t="s">
        <v>65</v>
      </c>
      <c r="C15" s="117">
        <f>'NOI SUY 957'!F256</f>
        <v>1.200615770909091E-3</v>
      </c>
      <c r="D15" s="40" t="s">
        <v>150</v>
      </c>
      <c r="E15" s="10">
        <f>C15*'2.1. CP XAY DUNG'!$F$24</f>
        <v>114434.71664552241</v>
      </c>
      <c r="F15" s="44">
        <f t="shared" si="2"/>
        <v>11443.471664552242</v>
      </c>
      <c r="G15" s="45">
        <f t="shared" si="3"/>
        <v>125878.18831007465</v>
      </c>
    </row>
    <row r="16" spans="1:7" ht="54.75" customHeight="1">
      <c r="A16" s="42">
        <v>10</v>
      </c>
      <c r="B16" s="25" t="s">
        <v>66</v>
      </c>
      <c r="C16" s="117">
        <f>'NOI SUY 957'!F314</f>
        <v>1.7325253194545455E-2</v>
      </c>
      <c r="D16" s="40" t="s">
        <v>151</v>
      </c>
      <c r="E16" s="10">
        <f>C16*'2.1. CP XAY DUNG'!$F$24</f>
        <v>1651328.0003214797</v>
      </c>
      <c r="F16" s="44">
        <f t="shared" si="2"/>
        <v>165132.80003214799</v>
      </c>
      <c r="G16" s="45">
        <f t="shared" si="3"/>
        <v>1816460.8003536277</v>
      </c>
    </row>
    <row r="17" spans="1:7" ht="72.75" customHeight="1">
      <c r="A17" s="42">
        <v>11</v>
      </c>
      <c r="B17" s="25" t="s">
        <v>68</v>
      </c>
      <c r="C17" s="103">
        <v>0.35</v>
      </c>
      <c r="D17" s="40" t="s">
        <v>152</v>
      </c>
      <c r="E17" s="10">
        <f>C17*E16</f>
        <v>577964.8001125179</v>
      </c>
      <c r="F17" s="44">
        <f t="shared" si="2"/>
        <v>57796.480011251791</v>
      </c>
      <c r="G17" s="45">
        <f t="shared" si="3"/>
        <v>635761.28012376965</v>
      </c>
    </row>
    <row r="18" spans="1:7">
      <c r="A18" s="42">
        <v>12</v>
      </c>
      <c r="B18" s="47" t="s">
        <v>59</v>
      </c>
      <c r="C18" s="252" t="s">
        <v>43</v>
      </c>
      <c r="D18" s="253"/>
      <c r="E18" s="44">
        <f>30%*SUM(E7:E11)</f>
        <v>221588.58904289914</v>
      </c>
      <c r="F18" s="44">
        <f t="shared" si="1"/>
        <v>22158.858904289915</v>
      </c>
      <c r="G18" s="45">
        <f t="shared" si="0"/>
        <v>243747.44794718907</v>
      </c>
    </row>
    <row r="19" spans="1:7" ht="17.25">
      <c r="A19" s="38" t="s">
        <v>34</v>
      </c>
      <c r="B19" s="39" t="s">
        <v>60</v>
      </c>
      <c r="C19" s="40"/>
      <c r="D19" s="40"/>
      <c r="E19" s="15">
        <f>SUM(E20:E23)</f>
        <v>1231452.4778636363</v>
      </c>
      <c r="F19" s="44">
        <f t="shared" si="1"/>
        <v>123145.24778636364</v>
      </c>
      <c r="G19" s="41">
        <f>SUM(G20:G23)</f>
        <v>1354597.7256499999</v>
      </c>
    </row>
    <row r="20" spans="1:7" ht="36.75" customHeight="1">
      <c r="A20" s="42">
        <v>1</v>
      </c>
      <c r="B20" s="43" t="s">
        <v>61</v>
      </c>
      <c r="C20" s="48">
        <v>5.0000000000000001E-3</v>
      </c>
      <c r="D20" s="40" t="s">
        <v>144</v>
      </c>
      <c r="E20" s="10">
        <f>C20*'2.1. CP XAY DUNG'!$F$24</f>
        <v>476566.77272727265</v>
      </c>
      <c r="F20" s="44">
        <f t="shared" si="1"/>
        <v>47656.677272727269</v>
      </c>
      <c r="G20" s="45">
        <f t="shared" ref="G20" si="4">E20+F20</f>
        <v>524223.4499999999</v>
      </c>
    </row>
    <row r="21" spans="1:7" ht="19.5">
      <c r="A21" s="42">
        <v>2</v>
      </c>
      <c r="B21" s="47" t="s">
        <v>62</v>
      </c>
      <c r="C21" s="46">
        <f>'NOI SUY 957'!N363/100</f>
        <v>2.2166666666666667E-3</v>
      </c>
      <c r="D21" s="40" t="s">
        <v>145</v>
      </c>
      <c r="E21" s="44">
        <f>150000000*C21</f>
        <v>332500</v>
      </c>
      <c r="F21" s="44">
        <f t="shared" si="1"/>
        <v>33250</v>
      </c>
      <c r="G21" s="45">
        <f>E21+F21</f>
        <v>365750</v>
      </c>
    </row>
    <row r="22" spans="1:7" ht="53.25" customHeight="1">
      <c r="A22" s="42">
        <v>3</v>
      </c>
      <c r="B22" s="43" t="s">
        <v>63</v>
      </c>
      <c r="C22" s="46">
        <f>'NOI SUY 957'!N362/100</f>
        <v>1.4499999999999999E-3</v>
      </c>
      <c r="D22" s="40" t="s">
        <v>146</v>
      </c>
      <c r="E22" s="10">
        <f>C22*'2.1. CP XAY DUNG'!$F$24</f>
        <v>138204.36409090908</v>
      </c>
      <c r="F22" s="44">
        <f t="shared" si="1"/>
        <v>13820.436409090908</v>
      </c>
      <c r="G22" s="45">
        <f t="shared" ref="G22" si="5">E22+F22</f>
        <v>152024.80049999998</v>
      </c>
    </row>
    <row r="23" spans="1:7" ht="82.5" customHeight="1">
      <c r="A23" s="42">
        <v>4</v>
      </c>
      <c r="B23" s="43" t="s">
        <v>224</v>
      </c>
      <c r="C23" s="252" t="s">
        <v>43</v>
      </c>
      <c r="D23" s="253"/>
      <c r="E23" s="44">
        <f>SUM(E20:E22)*30%</f>
        <v>284181.34104545449</v>
      </c>
      <c r="F23" s="44">
        <f t="shared" si="1"/>
        <v>28418.13410454545</v>
      </c>
      <c r="G23" s="45">
        <f>E23+F23</f>
        <v>312599.47514999995</v>
      </c>
    </row>
    <row r="24" spans="1:7" ht="17.25" thickBot="1">
      <c r="A24" s="254" t="s">
        <v>36</v>
      </c>
      <c r="B24" s="255"/>
      <c r="C24" s="255"/>
      <c r="D24" s="255"/>
      <c r="E24" s="49">
        <f>E6+E19+E5</f>
        <v>8551056.3192403894</v>
      </c>
      <c r="F24" s="49">
        <f t="shared" ref="F24:G24" si="6">F6+F19+F5</f>
        <v>697446.07441732264</v>
      </c>
      <c r="G24" s="49">
        <f t="shared" si="6"/>
        <v>9248502.3936577123</v>
      </c>
    </row>
  </sheetData>
  <mergeCells count="8">
    <mergeCell ref="C23:D23"/>
    <mergeCell ref="A24:D24"/>
    <mergeCell ref="A1:G1"/>
    <mergeCell ref="A2:G2"/>
    <mergeCell ref="C7:D7"/>
    <mergeCell ref="C8:D8"/>
    <mergeCell ref="C11:D11"/>
    <mergeCell ref="C18:D18"/>
  </mergeCells>
  <pageMargins left="0.98425196850393704" right="0.51181102362204722" top="0.74803149606299213" bottom="0.74803149606299213" header="0.31496062992125984" footer="0.31496062992125984"/>
  <pageSetup paperSize="9" orientation="portrait" horizontalDpi="300" verticalDpi="0" r:id="rId1"/>
  <legacyDrawing r:id="rId2"/>
</worksheet>
</file>

<file path=xl/worksheets/sheet6.xml><?xml version="1.0" encoding="utf-8"?>
<worksheet xmlns="http://schemas.openxmlformats.org/spreadsheetml/2006/main" xmlns:r="http://schemas.openxmlformats.org/officeDocument/2006/relationships">
  <sheetPr>
    <tabColor rgb="FFFF0000"/>
  </sheetPr>
  <dimension ref="A1:H21"/>
  <sheetViews>
    <sheetView view="pageBreakPreview" topLeftCell="A13" zoomScaleSheetLayoutView="100" workbookViewId="0">
      <selection activeCell="A15" sqref="A15:H15"/>
    </sheetView>
  </sheetViews>
  <sheetFormatPr defaultRowHeight="16.5"/>
  <cols>
    <col min="1" max="1" width="2.88671875" style="3" customWidth="1"/>
    <col min="2" max="2" width="16" style="3" customWidth="1"/>
    <col min="3" max="3" width="7.21875" style="3" customWidth="1"/>
    <col min="4" max="4" width="10" style="3" customWidth="1"/>
    <col min="5" max="5" width="9.88671875" style="3" customWidth="1"/>
    <col min="6" max="6" width="10.109375" style="3" customWidth="1"/>
    <col min="7" max="7" width="10.77734375" style="3" customWidth="1"/>
    <col min="8" max="8" width="10.44140625" style="3" customWidth="1"/>
    <col min="9" max="16384" width="8.88671875" style="3"/>
  </cols>
  <sheetData>
    <row r="1" spans="1:8">
      <c r="A1" s="248" t="s">
        <v>252</v>
      </c>
      <c r="B1" s="248"/>
      <c r="C1" s="248"/>
      <c r="D1" s="248"/>
      <c r="E1" s="248"/>
      <c r="F1" s="248"/>
      <c r="G1" s="248"/>
      <c r="H1" s="248"/>
    </row>
    <row r="2" spans="1:8">
      <c r="A2" s="248" t="s">
        <v>204</v>
      </c>
      <c r="B2" s="248"/>
      <c r="C2" s="248"/>
      <c r="D2" s="248"/>
      <c r="E2" s="248"/>
      <c r="F2" s="248"/>
      <c r="G2" s="248"/>
      <c r="H2" s="248"/>
    </row>
    <row r="3" spans="1:8">
      <c r="A3" s="205"/>
      <c r="B3" s="205"/>
      <c r="C3" s="205">
        <v>1</v>
      </c>
      <c r="D3" s="205">
        <v>2</v>
      </c>
      <c r="E3" s="205">
        <v>3</v>
      </c>
      <c r="F3" s="205">
        <v>4</v>
      </c>
      <c r="G3" s="205">
        <v>5</v>
      </c>
      <c r="H3" s="205">
        <v>6</v>
      </c>
    </row>
    <row r="4" spans="1:8">
      <c r="A4" s="257" t="s">
        <v>38</v>
      </c>
      <c r="B4" s="257" t="s">
        <v>1</v>
      </c>
      <c r="C4" s="260" t="s">
        <v>205</v>
      </c>
      <c r="D4" s="260"/>
      <c r="E4" s="260"/>
      <c r="F4" s="260"/>
      <c r="G4" s="260"/>
      <c r="H4" s="260"/>
    </row>
    <row r="5" spans="1:8">
      <c r="A5" s="257"/>
      <c r="B5" s="257"/>
      <c r="C5" s="257" t="s">
        <v>153</v>
      </c>
      <c r="D5" s="257"/>
      <c r="E5" s="257"/>
      <c r="F5" s="257"/>
      <c r="G5" s="261" t="s">
        <v>154</v>
      </c>
      <c r="H5" s="262"/>
    </row>
    <row r="6" spans="1:8">
      <c r="A6" s="209"/>
      <c r="B6" s="209"/>
      <c r="C6" s="209" t="s">
        <v>155</v>
      </c>
      <c r="D6" s="209" t="s">
        <v>156</v>
      </c>
      <c r="E6" s="209" t="s">
        <v>157</v>
      </c>
      <c r="F6" s="209" t="s">
        <v>158</v>
      </c>
      <c r="G6" s="209" t="s">
        <v>155</v>
      </c>
      <c r="H6" s="209" t="s">
        <v>156</v>
      </c>
    </row>
    <row r="7" spans="1:8" ht="54" customHeight="1">
      <c r="A7" s="210">
        <v>1</v>
      </c>
      <c r="B7" s="211" t="s">
        <v>206</v>
      </c>
      <c r="C7" s="10">
        <f>SUM('4. KH HUY DONG VON (VAT)'!D6:D24)+'4. KH HUY DONG VON (VAT)'!D26</f>
        <v>826385.98681505211</v>
      </c>
      <c r="D7" s="10">
        <f>SUM('4. KH HUY DONG VON (VAT)'!E6:E24)+'4. KH HUY DONG VON (VAT)'!E26</f>
        <v>4501906.7742906725</v>
      </c>
      <c r="E7" s="10">
        <f>SUM('4. KH HUY DONG VON (VAT)'!F6:F24)+'4. KH HUY DONG VON (VAT)'!F26</f>
        <v>3550404.9462116398</v>
      </c>
      <c r="F7" s="10">
        <f>SUM('4. KH HUY DONG VON (VAT)'!G6:G24)+'4. KH HUY DONG VON (VAT)'!G26</f>
        <v>62752055.464936957</v>
      </c>
      <c r="G7" s="10">
        <f>SUM('4. KH HUY DONG VON (VAT)'!H6:H24)+'4. KH HUY DONG VON (VAT)'!H26</f>
        <v>38236662.388326846</v>
      </c>
      <c r="H7" s="10">
        <f>SUM('4. KH HUY DONG VON (VAT)'!I6:I24)+'4. KH HUY DONG VON (VAT)'!I26</f>
        <v>15539773.739108976</v>
      </c>
    </row>
    <row r="8" spans="1:8" ht="38.25" customHeight="1">
      <c r="A8" s="210">
        <v>2</v>
      </c>
      <c r="B8" s="217" t="s">
        <v>207</v>
      </c>
      <c r="C8" s="212">
        <f>(1+$G$12)^C3-1</f>
        <v>1.4673846168659299E-2</v>
      </c>
      <c r="D8" s="212">
        <f t="shared" ref="D8:H8" si="0">(1+$G$12)^D3-1</f>
        <v>2.9563014098699991E-2</v>
      </c>
      <c r="E8" s="212">
        <f t="shared" si="0"/>
        <v>4.4670663388525433E-2</v>
      </c>
      <c r="F8" s="212">
        <f t="shared" si="0"/>
        <v>5.9999999999999831E-2</v>
      </c>
      <c r="G8" s="212">
        <f t="shared" si="0"/>
        <v>7.5554276938778697E-2</v>
      </c>
      <c r="H8" s="212">
        <f t="shared" si="0"/>
        <v>9.1336794944621769E-2</v>
      </c>
    </row>
    <row r="9" spans="1:8" ht="26.25" customHeight="1">
      <c r="A9" s="210">
        <v>3</v>
      </c>
      <c r="B9" s="217" t="s">
        <v>208</v>
      </c>
      <c r="C9" s="10">
        <f>C7*C8</f>
        <v>12126.260846459787</v>
      </c>
      <c r="D9" s="10">
        <f t="shared" ref="D9:H9" si="1">D7*D8</f>
        <v>133089.93343938814</v>
      </c>
      <c r="E9" s="10">
        <f t="shared" si="1"/>
        <v>158598.9442451759</v>
      </c>
      <c r="F9" s="10">
        <f t="shared" si="1"/>
        <v>3765123.3278962066</v>
      </c>
      <c r="G9" s="10">
        <f t="shared" si="1"/>
        <v>2888943.3793022297</v>
      </c>
      <c r="H9" s="10">
        <f t="shared" si="1"/>
        <v>1419353.1274948148</v>
      </c>
    </row>
    <row r="10" spans="1:8" ht="44.25" customHeight="1">
      <c r="A10" s="210">
        <v>4</v>
      </c>
      <c r="B10" s="211" t="s">
        <v>213</v>
      </c>
      <c r="C10" s="10">
        <f>C9</f>
        <v>12126.260846459787</v>
      </c>
      <c r="D10" s="10">
        <f>C10+D9</f>
        <v>145216.19428584795</v>
      </c>
      <c r="E10" s="10">
        <f t="shared" ref="E10:H10" si="2">D10+E9</f>
        <v>303815.13853102387</v>
      </c>
      <c r="F10" s="10">
        <f t="shared" si="2"/>
        <v>4068938.4664272303</v>
      </c>
      <c r="G10" s="10">
        <f t="shared" si="2"/>
        <v>6957881.84572946</v>
      </c>
      <c r="H10" s="10">
        <f t="shared" si="2"/>
        <v>8377234.9732242748</v>
      </c>
    </row>
    <row r="11" spans="1:8" ht="135" customHeight="1">
      <c r="A11" s="263" t="s">
        <v>209</v>
      </c>
      <c r="B11" s="263"/>
      <c r="C11" s="263"/>
      <c r="D11" s="263"/>
      <c r="E11" s="263"/>
      <c r="F11" s="263"/>
      <c r="G11" s="263"/>
      <c r="H11" s="263"/>
    </row>
    <row r="12" spans="1:8">
      <c r="B12" s="265" t="s">
        <v>210</v>
      </c>
      <c r="C12" s="265"/>
      <c r="D12" s="265"/>
      <c r="E12" s="265"/>
      <c r="F12" s="206"/>
      <c r="G12" s="207">
        <f>(1+6%)^(1/4)-1</f>
        <v>1.4673846168659299E-2</v>
      </c>
      <c r="H12" s="208"/>
    </row>
    <row r="13" spans="1:8" ht="53.25" customHeight="1">
      <c r="A13" s="264" t="s">
        <v>211</v>
      </c>
      <c r="B13" s="264"/>
      <c r="C13" s="264"/>
      <c r="D13" s="264"/>
      <c r="E13" s="264"/>
      <c r="F13" s="264"/>
      <c r="G13" s="264"/>
      <c r="H13" s="264"/>
    </row>
    <row r="14" spans="1:8">
      <c r="A14" s="266" t="s">
        <v>253</v>
      </c>
      <c r="B14" s="266"/>
      <c r="C14" s="266"/>
      <c r="D14" s="266"/>
      <c r="E14" s="266"/>
      <c r="F14" s="266"/>
      <c r="G14" s="266"/>
      <c r="H14" s="266"/>
    </row>
    <row r="15" spans="1:8">
      <c r="A15" s="267" t="s">
        <v>204</v>
      </c>
      <c r="B15" s="267"/>
      <c r="C15" s="267"/>
      <c r="D15" s="267"/>
      <c r="E15" s="267"/>
      <c r="F15" s="267"/>
      <c r="G15" s="267"/>
      <c r="H15" s="267"/>
    </row>
    <row r="16" spans="1:8">
      <c r="A16" s="257" t="s">
        <v>38</v>
      </c>
      <c r="B16" s="257" t="s">
        <v>1</v>
      </c>
      <c r="C16" s="260" t="s">
        <v>205</v>
      </c>
      <c r="D16" s="260"/>
      <c r="E16" s="260"/>
      <c r="F16" s="260"/>
      <c r="G16" s="260"/>
      <c r="H16" s="260"/>
    </row>
    <row r="17" spans="1:8">
      <c r="A17" s="257"/>
      <c r="B17" s="257"/>
      <c r="C17" s="257" t="s">
        <v>153</v>
      </c>
      <c r="D17" s="257"/>
      <c r="E17" s="257"/>
      <c r="F17" s="257"/>
      <c r="G17" s="257" t="s">
        <v>154</v>
      </c>
      <c r="H17" s="257"/>
    </row>
    <row r="18" spans="1:8">
      <c r="A18" s="209"/>
      <c r="B18" s="209"/>
      <c r="C18" s="209" t="s">
        <v>155</v>
      </c>
      <c r="D18" s="209" t="s">
        <v>156</v>
      </c>
      <c r="E18" s="209" t="s">
        <v>157</v>
      </c>
      <c r="F18" s="209" t="s">
        <v>158</v>
      </c>
      <c r="G18" s="209" t="s">
        <v>155</v>
      </c>
      <c r="H18" s="209" t="s">
        <v>156</v>
      </c>
    </row>
    <row r="19" spans="1:8" ht="63" customHeight="1">
      <c r="A19" s="210">
        <v>1</v>
      </c>
      <c r="B19" s="211" t="s">
        <v>214</v>
      </c>
      <c r="C19" s="10">
        <f>'4. KH HUY DONG VON (VAT)'!D26</f>
        <v>75125.998801368376</v>
      </c>
      <c r="D19" s="10">
        <f>'4. KH HUY DONG VON (VAT)'!E26</f>
        <v>409264.25220824295</v>
      </c>
      <c r="E19" s="10">
        <f>'4. KH HUY DONG VON (VAT)'!F26</f>
        <v>322764.08601924003</v>
      </c>
      <c r="F19" s="10">
        <f>'4. KH HUY DONG VON (VAT)'!G26</f>
        <v>5704732.3149942691</v>
      </c>
      <c r="G19" s="10">
        <f>'4. KH HUY DONG VON (VAT)'!H26</f>
        <v>3476060.2171206223</v>
      </c>
      <c r="H19" s="10">
        <f>'4. KH HUY DONG VON (VAT)'!I26</f>
        <v>1412706.7035553614</v>
      </c>
    </row>
    <row r="20" spans="1:8" ht="60.75" customHeight="1">
      <c r="A20" s="210">
        <v>2</v>
      </c>
      <c r="B20" s="211" t="s">
        <v>221</v>
      </c>
      <c r="C20" s="10">
        <f>C9</f>
        <v>12126.260846459787</v>
      </c>
      <c r="D20" s="10">
        <f t="shared" ref="D20:H20" si="3">D9</f>
        <v>133089.93343938814</v>
      </c>
      <c r="E20" s="10">
        <f t="shared" si="3"/>
        <v>158598.9442451759</v>
      </c>
      <c r="F20" s="10">
        <f t="shared" si="3"/>
        <v>3765123.3278962066</v>
      </c>
      <c r="G20" s="10">
        <f t="shared" si="3"/>
        <v>2888943.3793022297</v>
      </c>
      <c r="H20" s="10">
        <f t="shared" si="3"/>
        <v>1419353.1274948148</v>
      </c>
    </row>
    <row r="21" spans="1:8">
      <c r="A21" s="258" t="s">
        <v>212</v>
      </c>
      <c r="B21" s="259"/>
      <c r="C21" s="15">
        <f>SUM(C19:C20)</f>
        <v>87252.259647828163</v>
      </c>
      <c r="D21" s="15">
        <f t="shared" ref="D21:H21" si="4">SUM(D19:D20)</f>
        <v>542354.18564763106</v>
      </c>
      <c r="E21" s="15">
        <f t="shared" si="4"/>
        <v>481363.03026441589</v>
      </c>
      <c r="F21" s="15">
        <f t="shared" si="4"/>
        <v>9469855.6428904757</v>
      </c>
      <c r="G21" s="15">
        <f t="shared" si="4"/>
        <v>6365003.596422852</v>
      </c>
      <c r="H21" s="15">
        <f t="shared" si="4"/>
        <v>2832059.8310501762</v>
      </c>
    </row>
  </sheetData>
  <mergeCells count="18">
    <mergeCell ref="A21:B21"/>
    <mergeCell ref="C4:H4"/>
    <mergeCell ref="G5:H5"/>
    <mergeCell ref="A11:H11"/>
    <mergeCell ref="A13:H13"/>
    <mergeCell ref="B12:E12"/>
    <mergeCell ref="A14:H14"/>
    <mergeCell ref="A15:H15"/>
    <mergeCell ref="A16:A17"/>
    <mergeCell ref="B16:B17"/>
    <mergeCell ref="C16:H16"/>
    <mergeCell ref="C17:F17"/>
    <mergeCell ref="G17:H17"/>
    <mergeCell ref="A1:H1"/>
    <mergeCell ref="A2:H2"/>
    <mergeCell ref="A4:A5"/>
    <mergeCell ref="B4:B5"/>
    <mergeCell ref="C5:F5"/>
  </mergeCells>
  <printOptions horizontalCentered="1"/>
  <pageMargins left="0.98425196850393704" right="0.51181102362204722" top="0.74803149606299213" bottom="0.74803149606299213" header="0.31496062992125984" footer="0.31496062992125984"/>
  <pageSetup paperSize="9" scale="90" orientation="portrait" horizontalDpi="300" verticalDpi="0" r:id="rId1"/>
</worksheet>
</file>

<file path=xl/worksheets/sheet7.xml><?xml version="1.0" encoding="utf-8"?>
<worksheet xmlns="http://schemas.openxmlformats.org/spreadsheetml/2006/main" xmlns:r="http://schemas.openxmlformats.org/officeDocument/2006/relationships">
  <dimension ref="A1:N364"/>
  <sheetViews>
    <sheetView topLeftCell="A163" workbookViewId="0">
      <selection activeCell="A320" sqref="A320:E337"/>
    </sheetView>
  </sheetViews>
  <sheetFormatPr defaultRowHeight="16.5"/>
  <cols>
    <col min="1" max="1" width="20.33203125" customWidth="1"/>
  </cols>
  <sheetData>
    <row r="1" spans="1:14" ht="18.75">
      <c r="A1" s="268" t="s">
        <v>69</v>
      </c>
      <c r="B1" s="268"/>
      <c r="C1" s="268"/>
      <c r="D1" s="268"/>
      <c r="E1" s="268"/>
      <c r="F1" s="268"/>
      <c r="G1" s="268"/>
      <c r="H1" s="268"/>
      <c r="I1" s="268"/>
      <c r="J1" s="268"/>
      <c r="K1" s="50"/>
      <c r="L1" s="50"/>
      <c r="M1" s="50"/>
      <c r="N1" s="50"/>
    </row>
    <row r="2" spans="1:14" ht="18.75">
      <c r="A2" s="51" t="s">
        <v>70</v>
      </c>
      <c r="B2" s="52"/>
      <c r="C2" s="52"/>
      <c r="D2" s="52"/>
      <c r="E2" s="52"/>
      <c r="F2" s="52"/>
      <c r="G2" s="52"/>
      <c r="H2" s="52"/>
      <c r="I2" s="52"/>
      <c r="J2" s="52"/>
      <c r="K2" s="50"/>
      <c r="L2" s="50"/>
      <c r="M2" s="50"/>
      <c r="N2" s="50"/>
    </row>
    <row r="3" spans="1:14" ht="18.75">
      <c r="A3" s="269" t="s">
        <v>71</v>
      </c>
      <c r="B3" s="271" t="s">
        <v>72</v>
      </c>
      <c r="C3" s="271"/>
      <c r="D3" s="271"/>
      <c r="E3" s="271"/>
      <c r="F3" s="271"/>
      <c r="G3" s="271"/>
      <c r="H3" s="271"/>
      <c r="I3" s="271"/>
      <c r="J3" s="52"/>
      <c r="K3" s="50"/>
      <c r="L3" s="50"/>
      <c r="M3" s="50"/>
      <c r="N3" s="50"/>
    </row>
    <row r="4" spans="1:14" ht="18.75">
      <c r="A4" s="270"/>
      <c r="B4" s="53" t="s">
        <v>73</v>
      </c>
      <c r="C4" s="53">
        <v>20</v>
      </c>
      <c r="D4" s="53">
        <v>50</v>
      </c>
      <c r="E4" s="53">
        <v>100</v>
      </c>
      <c r="F4" s="53">
        <v>200</v>
      </c>
      <c r="G4" s="53">
        <v>500</v>
      </c>
      <c r="H4" s="53">
        <v>1000</v>
      </c>
      <c r="I4" s="53">
        <v>2000</v>
      </c>
      <c r="J4" s="54"/>
      <c r="K4" s="50"/>
      <c r="L4" s="50"/>
      <c r="M4" s="50"/>
      <c r="N4" s="50"/>
    </row>
    <row r="5" spans="1:14" ht="18.75">
      <c r="A5" s="55" t="s">
        <v>74</v>
      </c>
      <c r="B5" s="56">
        <v>2.5239999999999999E-2</v>
      </c>
      <c r="C5" s="56">
        <v>2.1409999999999998E-2</v>
      </c>
      <c r="D5" s="56">
        <v>1.9120000000000002E-2</v>
      </c>
      <c r="E5" s="56">
        <v>1.537E-2</v>
      </c>
      <c r="F5" s="56">
        <v>1.436E-2</v>
      </c>
      <c r="G5" s="56">
        <v>1.2540000000000001E-2</v>
      </c>
      <c r="H5" s="56">
        <v>1.026E-2</v>
      </c>
      <c r="I5" s="56">
        <v>7.9299999999999995E-3</v>
      </c>
      <c r="J5" s="57"/>
      <c r="K5" s="50"/>
      <c r="L5" s="50"/>
      <c r="M5" s="50"/>
      <c r="N5" s="50"/>
    </row>
    <row r="6" spans="1:14" ht="18.75">
      <c r="A6" s="55" t="s">
        <v>75</v>
      </c>
      <c r="B6" s="56">
        <v>2.657E-2</v>
      </c>
      <c r="C6" s="56">
        <v>2.2540000000000001E-2</v>
      </c>
      <c r="D6" s="56">
        <v>2.0129999999999999E-2</v>
      </c>
      <c r="E6" s="56">
        <v>1.617E-2</v>
      </c>
      <c r="F6" s="56">
        <v>1.512E-2</v>
      </c>
      <c r="G6" s="56">
        <v>1.32E-2</v>
      </c>
      <c r="H6" s="56">
        <v>1.0800000000000001E-2</v>
      </c>
      <c r="I6" s="56">
        <v>9.3100000000000006E-3</v>
      </c>
      <c r="J6" s="57"/>
      <c r="K6" s="50"/>
      <c r="L6" s="50"/>
      <c r="M6" s="50"/>
      <c r="N6" s="50"/>
    </row>
    <row r="7" spans="1:14" ht="18.75">
      <c r="A7" s="55" t="s">
        <v>76</v>
      </c>
      <c r="B7" s="56">
        <v>2.2589999999999999E-2</v>
      </c>
      <c r="C7" s="56">
        <v>1.916E-2</v>
      </c>
      <c r="D7" s="56">
        <v>1.711E-2</v>
      </c>
      <c r="E7" s="56">
        <v>1.375E-2</v>
      </c>
      <c r="F7" s="56">
        <v>1.285E-2</v>
      </c>
      <c r="G7" s="56">
        <v>1.1220000000000001E-2</v>
      </c>
      <c r="H7" s="56">
        <v>9.1800000000000007E-3</v>
      </c>
      <c r="I7" s="56">
        <v>7.9100000000000004E-3</v>
      </c>
      <c r="J7" s="57"/>
      <c r="K7" s="50"/>
      <c r="L7" s="50"/>
      <c r="M7" s="50"/>
      <c r="N7" s="50"/>
    </row>
    <row r="8" spans="1:14" ht="18.75">
      <c r="A8" s="55" t="s">
        <v>77</v>
      </c>
      <c r="B8" s="56">
        <v>2.3910000000000001E-2</v>
      </c>
      <c r="C8" s="56">
        <v>2.0289999999999999E-2</v>
      </c>
      <c r="D8" s="56">
        <v>1.8110000000000001E-2</v>
      </c>
      <c r="E8" s="56">
        <v>1.455E-2</v>
      </c>
      <c r="F8" s="56">
        <v>1.3610000000000001E-2</v>
      </c>
      <c r="G8" s="56">
        <v>1.188E-2</v>
      </c>
      <c r="H8" s="56">
        <v>9.7199999999999995E-3</v>
      </c>
      <c r="I8" s="56">
        <v>8.3800000000000003E-3</v>
      </c>
      <c r="J8" s="57"/>
      <c r="K8" s="50"/>
      <c r="L8" s="50"/>
      <c r="M8" s="50"/>
      <c r="N8" s="50"/>
    </row>
    <row r="9" spans="1:14" ht="18.75">
      <c r="A9" s="55" t="s">
        <v>78</v>
      </c>
      <c r="B9" s="56">
        <v>2.1250000000000002E-2</v>
      </c>
      <c r="C9" s="56">
        <v>1.8030000000000001E-2</v>
      </c>
      <c r="D9" s="56">
        <v>1.61E-2</v>
      </c>
      <c r="E9" s="56">
        <v>1.294E-2</v>
      </c>
      <c r="F9" s="56">
        <v>1.21E-2</v>
      </c>
      <c r="G9" s="56">
        <v>1.056E-2</v>
      </c>
      <c r="H9" s="56">
        <v>8.6400000000000001E-3</v>
      </c>
      <c r="I9" s="56">
        <v>7.4400000000000004E-3</v>
      </c>
      <c r="J9" s="57"/>
      <c r="K9" s="50"/>
      <c r="L9" s="50"/>
      <c r="M9" s="50"/>
      <c r="N9" s="50"/>
    </row>
    <row r="10" spans="1:14" ht="18.75">
      <c r="A10" s="58"/>
      <c r="B10" s="57"/>
      <c r="C10" s="57"/>
      <c r="D10" s="57"/>
      <c r="E10" s="57"/>
      <c r="F10" s="57"/>
      <c r="G10" s="57"/>
      <c r="H10" s="57"/>
      <c r="I10" s="57"/>
      <c r="J10" s="57"/>
      <c r="K10" s="50"/>
      <c r="L10" s="50"/>
      <c r="M10" s="50"/>
      <c r="N10" s="50"/>
    </row>
    <row r="11" spans="1:14" ht="18.75">
      <c r="A11" s="59" t="s">
        <v>79</v>
      </c>
      <c r="B11" s="57"/>
      <c r="C11" s="57"/>
      <c r="D11" s="57"/>
      <c r="E11" s="57"/>
      <c r="F11" s="57"/>
      <c r="G11" s="57"/>
      <c r="H11" s="57"/>
      <c r="I11" s="57"/>
      <c r="J11" s="57"/>
      <c r="K11" s="50"/>
      <c r="L11" s="50"/>
      <c r="M11" s="50"/>
      <c r="N11" s="50"/>
    </row>
    <row r="12" spans="1:14" ht="18.75">
      <c r="A12" s="60" t="s">
        <v>71</v>
      </c>
      <c r="B12" s="60" t="s">
        <v>80</v>
      </c>
      <c r="C12" s="60" t="s">
        <v>81</v>
      </c>
      <c r="D12" s="271" t="s">
        <v>82</v>
      </c>
      <c r="E12" s="271"/>
      <c r="F12" s="61">
        <v>10</v>
      </c>
      <c r="G12" s="271" t="s">
        <v>83</v>
      </c>
      <c r="H12" s="271"/>
      <c r="I12" s="271"/>
      <c r="J12" s="52"/>
      <c r="K12" s="50"/>
      <c r="L12" s="50"/>
      <c r="M12" s="50"/>
      <c r="N12" s="50"/>
    </row>
    <row r="13" spans="1:14" ht="18.75">
      <c r="A13" s="269" t="s">
        <v>84</v>
      </c>
      <c r="B13" s="273">
        <f>D4</f>
        <v>50</v>
      </c>
      <c r="C13" s="273">
        <f>E4</f>
        <v>100</v>
      </c>
      <c r="D13" s="274">
        <f>G13/1000000000</f>
        <v>95.31335454545453</v>
      </c>
      <c r="E13" s="274"/>
      <c r="F13" s="61">
        <f>IF(D13&lt;F12,F12,IF(AND(D13&gt;F12,D13&lt;=C4),F12,IF(AND(D13&gt;C4,D13&lt;=D4),C4,IF(AND(D13&gt;D4,D13&lt;=E4),D4,IF(AND(D13&gt;E4,D13&lt;=F4),E4,IF(AND(D13&gt;F4,D13&lt;=G4),F4,IF(AND(D13&gt;G4,D13&lt;=H4),G4)))))))</f>
        <v>50</v>
      </c>
      <c r="G13" s="275">
        <f>'2.1. CP XAY DUNG'!F24*1000</f>
        <v>95313354545.454529</v>
      </c>
      <c r="H13" s="275"/>
      <c r="I13" s="275"/>
      <c r="J13" s="62"/>
      <c r="K13" s="50"/>
      <c r="L13" s="50"/>
      <c r="M13" s="50"/>
      <c r="N13" s="50"/>
    </row>
    <row r="14" spans="1:14" ht="18.75">
      <c r="A14" s="272"/>
      <c r="B14" s="270"/>
      <c r="C14" s="270"/>
      <c r="D14" s="277" t="s">
        <v>85</v>
      </c>
      <c r="E14" s="277"/>
      <c r="F14" s="63">
        <f>IF(D13&lt;F12,F12,IF(AND(D13&gt;F12,D13&lt;=C4),C4,IF(AND(D13&gt;C4,D13&lt;=D4),D4,IF(AND(D13&gt;D4,D13&lt;=E4),E4,IF(AND(D13&gt;E4,D13&lt;=F4),F4,IF(AND(D13&gt;F4,D13&lt;=G4),G4,IF(AND(D13&gt;G4,D13&lt;=H4),H4)))))))</f>
        <v>100</v>
      </c>
      <c r="G14" s="279" t="s">
        <v>86</v>
      </c>
      <c r="H14" s="279"/>
      <c r="I14" s="279"/>
      <c r="J14" s="64"/>
      <c r="K14" s="50"/>
      <c r="L14" s="50"/>
      <c r="M14" s="50"/>
      <c r="N14" s="50"/>
    </row>
    <row r="15" spans="1:14" ht="18.75">
      <c r="A15" s="55" t="s">
        <v>74</v>
      </c>
      <c r="B15" s="56">
        <f>D5</f>
        <v>1.9120000000000002E-2</v>
      </c>
      <c r="C15" s="56">
        <f>E5</f>
        <v>1.537E-2</v>
      </c>
      <c r="D15" s="280">
        <f>B15-(((B15-C15)/(C13-B13))*(D13-B13))</f>
        <v>1.5721498409090911E-2</v>
      </c>
      <c r="E15" s="280"/>
      <c r="F15" s="69"/>
      <c r="G15" s="63">
        <f>IF(B13&lt;=F12,B5,IF(B13=F12,B5,IF(B13=C4,C5,IF(B13=D4,D5,IF(B13=E4,E5,IF(B13=F4,F5,IF(B13=G4,G5,IF(B13=H4,H5))))))))</f>
        <v>1.9120000000000002E-2</v>
      </c>
      <c r="H15" s="63">
        <f>IF(C13&lt;=F12,B5,IF(C13=F12,B5,IF(C13=C4,C5,IF(C13=D4,D5,IF(C13=E4,E5,IF(C13=F4,F5,IF(C13=G4,G5,IF(C13=H4,H5))))))))</f>
        <v>1.537E-2</v>
      </c>
      <c r="I15" s="57"/>
      <c r="J15" s="57"/>
      <c r="K15" s="50"/>
      <c r="L15" s="50"/>
      <c r="M15" s="50"/>
      <c r="N15" s="50"/>
    </row>
    <row r="16" spans="1:14" ht="18.75">
      <c r="A16" s="55" t="s">
        <v>75</v>
      </c>
      <c r="B16" s="56">
        <f t="shared" ref="B16:B19" si="0">D6</f>
        <v>2.0129999999999999E-2</v>
      </c>
      <c r="C16" s="56">
        <f t="shared" ref="C16:C19" si="1">E6</f>
        <v>1.617E-2</v>
      </c>
      <c r="D16" s="280">
        <f>B16-(((B16-C16)/(C13-B13))*(D13-B13))</f>
        <v>1.654118232E-2</v>
      </c>
      <c r="E16" s="280"/>
      <c r="F16" s="70">
        <f>D16</f>
        <v>1.654118232E-2</v>
      </c>
      <c r="G16" s="63">
        <f>IF(B13&lt;=F12,B6,IF(B13=F12,B6,IF(B13=C4,C6,IF(B13=D4,D6,IF(B13=E4,E6,IF(B13=F4,F6,IF(B13=G4,G6,IF(B13=H4,H6))))))))</f>
        <v>2.0129999999999999E-2</v>
      </c>
      <c r="H16" s="63">
        <f>IF(C13&lt;=F12,B6,IF(C13=F12,B6,IF(C13=C4,C6,IF(C13=D4,D6,IF(C13=E4,E6,IF(C13=F4,F6,IF(C13=G4,G6,IF(C13=H4,H6))))))))</f>
        <v>1.617E-2</v>
      </c>
      <c r="I16" s="57"/>
      <c r="J16" s="57"/>
      <c r="K16" s="50"/>
      <c r="L16" s="50"/>
      <c r="M16" s="50"/>
      <c r="N16" s="50"/>
    </row>
    <row r="17" spans="1:14" ht="18.75">
      <c r="A17" s="55" t="s">
        <v>76</v>
      </c>
      <c r="B17" s="56">
        <f t="shared" si="0"/>
        <v>1.711E-2</v>
      </c>
      <c r="C17" s="56">
        <f t="shared" si="1"/>
        <v>1.375E-2</v>
      </c>
      <c r="D17" s="280">
        <f>B17-(((B17-C17)/(C13-B13))*(D13-B13))</f>
        <v>1.4064942574545455E-2</v>
      </c>
      <c r="E17" s="280"/>
      <c r="F17" s="57"/>
      <c r="G17" s="63">
        <f>IF(B13&lt;=F12,B7,IF(B13=F12,B7,IF(B13=C4,C7,IF(B13=D4,D7,IF(B13=E4,E7,IF(B13=F4,F7,IF(B13=G4,G7,IF(B13=H4,H7))))))))</f>
        <v>1.711E-2</v>
      </c>
      <c r="H17" s="63">
        <f>IF(C13&lt;=F12,B7,IF(C13=F12,B7,IF(C13=C4,C7,IF(C13=D4,D7,IF(C13=E4,E7,IF(C13=F4,F7,IF(C13=G4,G7,IF(C13=H4,H7))))))))</f>
        <v>1.375E-2</v>
      </c>
      <c r="I17" s="57"/>
      <c r="J17" s="57"/>
      <c r="K17" s="50"/>
      <c r="L17" s="50"/>
      <c r="M17" s="50"/>
      <c r="N17" s="50"/>
    </row>
    <row r="18" spans="1:14" ht="18.75">
      <c r="A18" s="55" t="s">
        <v>77</v>
      </c>
      <c r="B18" s="56">
        <f t="shared" si="0"/>
        <v>1.8110000000000001E-2</v>
      </c>
      <c r="C18" s="56">
        <f t="shared" si="1"/>
        <v>1.455E-2</v>
      </c>
      <c r="D18" s="280">
        <f>B18-(((B18-C18)/(C13-B13))*(D13-B13))</f>
        <v>1.4883689156363638E-2</v>
      </c>
      <c r="E18" s="280"/>
      <c r="F18" s="57"/>
      <c r="G18" s="63">
        <f>IF(B13&lt;=F12,B8,IF(B13=F12,B8,IF(B13=C4,C8,IF(B13=D4,D8,IF(B13=E4,E8,IF(B13=F4,F8,IF(B13=G4,G8,IF(B13=H4,H8))))))))</f>
        <v>1.8110000000000001E-2</v>
      </c>
      <c r="H18" s="63">
        <f>IF(C13&lt;=F12,B8,IF(C13=F12,B8,IF(C13=C4,C8,IF(C13=D4,D8,IF(C13=E4,E8,IF(C13=F4,F8,IF(C13=G4,G8,IF(C13=H4,H8))))))))</f>
        <v>1.455E-2</v>
      </c>
      <c r="I18" s="57"/>
      <c r="J18" s="57"/>
      <c r="K18" s="50"/>
      <c r="L18" s="50"/>
      <c r="M18" s="50"/>
      <c r="N18" s="50"/>
    </row>
    <row r="19" spans="1:14" ht="18.75">
      <c r="A19" s="55" t="s">
        <v>78</v>
      </c>
      <c r="B19" s="56">
        <f t="shared" si="0"/>
        <v>1.61E-2</v>
      </c>
      <c r="C19" s="56">
        <f t="shared" si="1"/>
        <v>1.294E-2</v>
      </c>
      <c r="D19" s="280">
        <f>B19-(((B19-C19)/(C13-B13))*(D13-B13))</f>
        <v>1.3236195992727275E-2</v>
      </c>
      <c r="E19" s="280"/>
      <c r="F19" s="57"/>
      <c r="G19" s="63">
        <f>IF(B13&lt;=F12,B9,IF(B13=F12,B9,IF(B13=C4,C9,IF(B13=D4,D9,IF(B13=E4,E9,IF(B13=F4,F9,IF(B13=G4,G9,IF(B13=H4,H9))))))))</f>
        <v>1.61E-2</v>
      </c>
      <c r="H19" s="63">
        <f>IF(C13&lt;=F12,B9,IF(C13=F12,B9,IF(C13=C4,C9,IF(C13=D4,D9,IF(C13=E4,E9,IF(C13=F4,F9,IF(C13=G4,G9,IF(C13=H4,H9))))))))</f>
        <v>1.294E-2</v>
      </c>
      <c r="I19" s="57"/>
      <c r="J19" s="57"/>
      <c r="K19" s="50"/>
      <c r="L19" s="50"/>
      <c r="M19" s="50"/>
      <c r="N19" s="50"/>
    </row>
    <row r="20" spans="1:14" ht="18.75">
      <c r="A20" s="66"/>
      <c r="B20" s="67"/>
      <c r="C20" s="67"/>
      <c r="D20" s="68"/>
      <c r="E20" s="68"/>
      <c r="F20" s="57"/>
      <c r="G20" s="63"/>
      <c r="H20" s="63"/>
      <c r="I20" s="57"/>
      <c r="J20" s="57"/>
      <c r="K20" s="50"/>
      <c r="L20" s="50"/>
      <c r="M20" s="50"/>
      <c r="N20" s="50"/>
    </row>
    <row r="21" spans="1:14" ht="18.75">
      <c r="A21" s="104" t="s">
        <v>79</v>
      </c>
      <c r="B21" s="105"/>
      <c r="C21" s="105"/>
      <c r="D21" s="105"/>
      <c r="E21" s="105"/>
      <c r="F21" s="105"/>
      <c r="G21" s="105"/>
      <c r="H21" s="105"/>
      <c r="I21" s="105"/>
      <c r="J21" s="57"/>
      <c r="K21" s="50"/>
      <c r="L21" s="50"/>
      <c r="M21" s="50"/>
      <c r="N21" s="50"/>
    </row>
    <row r="22" spans="1:14" ht="18.75">
      <c r="A22" s="60" t="s">
        <v>71</v>
      </c>
      <c r="B22" s="60" t="s">
        <v>80</v>
      </c>
      <c r="C22" s="60" t="s">
        <v>81</v>
      </c>
      <c r="D22" s="271" t="s">
        <v>82</v>
      </c>
      <c r="E22" s="271"/>
      <c r="F22" s="106">
        <v>10</v>
      </c>
      <c r="G22" s="281" t="s">
        <v>83</v>
      </c>
      <c r="H22" s="281"/>
      <c r="I22" s="281"/>
      <c r="J22" s="57"/>
      <c r="K22" s="50"/>
      <c r="L22" s="50"/>
      <c r="M22" s="50"/>
      <c r="N22" s="50"/>
    </row>
    <row r="23" spans="1:14" ht="18.75">
      <c r="A23" s="269" t="s">
        <v>87</v>
      </c>
      <c r="B23" s="273">
        <f>C4</f>
        <v>20</v>
      </c>
      <c r="C23" s="273">
        <f>D4</f>
        <v>50</v>
      </c>
      <c r="D23" s="274">
        <f>G23/1000000000</f>
        <v>24.516749999999998</v>
      </c>
      <c r="E23" s="274"/>
      <c r="F23" s="106">
        <f>IF(D23&lt;F22,F22,IF(AND(D23&gt;F22,D23&lt;=C14),F22,IF(AND(D23&gt;C14,D23&lt;=D14),C14,IF(AND(D23&gt;D14,D23&lt;=E14),D14,IF(AND(D23&gt;E14,D23&lt;=F14),E14,IF(AND(D23&gt;F14,D23&lt;=G14),F14,IF(AND(D23&gt;G14,D23&lt;=H14),G14)))))))</f>
        <v>0</v>
      </c>
      <c r="G23" s="276">
        <f>'[1]2.1. CP DAU TU NHA O THAP TANG'!D4*1000</f>
        <v>24516750000</v>
      </c>
      <c r="H23" s="276"/>
      <c r="I23" s="276"/>
      <c r="J23" s="57"/>
      <c r="K23" s="50"/>
      <c r="L23" s="50"/>
      <c r="M23" s="50"/>
      <c r="N23" s="50"/>
    </row>
    <row r="24" spans="1:14" ht="18.75">
      <c r="A24" s="270"/>
      <c r="B24" s="270"/>
      <c r="C24" s="270"/>
      <c r="D24" s="277" t="s">
        <v>85</v>
      </c>
      <c r="E24" s="277"/>
      <c r="F24" s="105" t="str">
        <f>IF(D23&lt;F22,F22,IF(AND(D23&gt;F22,D23&lt;=C14),C14,IF(AND(D23&gt;C14,D23&lt;=D14),D14,IF(AND(D23&gt;D14,D23&lt;=E14),E14,IF(AND(D23&gt;E14,D23&lt;=F14),F14,IF(AND(D23&gt;F14,D23&lt;=G14),G14,IF(AND(D23&gt;G14,D23&lt;=H14),H14)))))))</f>
        <v>Tỷ lệ sau nội suy</v>
      </c>
      <c r="G24" s="278" t="s">
        <v>86</v>
      </c>
      <c r="H24" s="278"/>
      <c r="I24" s="278"/>
      <c r="J24" s="57"/>
      <c r="K24" s="50"/>
      <c r="L24" s="50"/>
      <c r="M24" s="50"/>
      <c r="N24" s="50"/>
    </row>
    <row r="25" spans="1:14" ht="18.75">
      <c r="A25" s="55" t="s">
        <v>74</v>
      </c>
      <c r="B25" s="56">
        <f>C5</f>
        <v>2.1409999999999998E-2</v>
      </c>
      <c r="C25" s="56">
        <f>D5</f>
        <v>1.9120000000000002E-2</v>
      </c>
      <c r="D25" s="280">
        <f>B25-(((B25-C25)/(C23-B23))*(D23-B23))</f>
        <v>2.1065221416666665E-2</v>
      </c>
      <c r="E25" s="280"/>
      <c r="F25" s="100">
        <f>D25</f>
        <v>2.1065221416666665E-2</v>
      </c>
      <c r="G25" s="105" t="b">
        <f>IF(B23&lt;=F22,B15,IF(B23=F22,B15,IF(B23=C14,C15,IF(B23=D14,D15,IF(B23=E14,E15,IF(B23=F14,F15,IF(B23=G14,G15,IF(B23=H14,H15))))))))</f>
        <v>0</v>
      </c>
      <c r="H25" s="105" t="b">
        <f>IF(C23&lt;=F22,B15,IF(C23=F22,B15,IF(C23=C14,C15,IF(C23=D14,D15,IF(C23=E14,E15,IF(C23=F14,F15,IF(C23=G14,G15,IF(C23=H14,H15))))))))</f>
        <v>0</v>
      </c>
      <c r="I25" s="105"/>
      <c r="J25" s="57"/>
      <c r="K25" s="50"/>
      <c r="L25" s="50"/>
      <c r="M25" s="50"/>
      <c r="N25" s="50"/>
    </row>
    <row r="26" spans="1:14" ht="18.75">
      <c r="A26" s="55" t="s">
        <v>75</v>
      </c>
      <c r="B26" s="56">
        <f t="shared" ref="B26:C29" si="2">C6</f>
        <v>2.2540000000000001E-2</v>
      </c>
      <c r="C26" s="56">
        <f t="shared" si="2"/>
        <v>2.0129999999999999E-2</v>
      </c>
      <c r="D26" s="280">
        <f>B26-(((B26-C26)/(C23-B23))*(D23-B23))</f>
        <v>2.2177154416666667E-2</v>
      </c>
      <c r="E26" s="280"/>
      <c r="F26" s="105"/>
      <c r="G26" s="105" t="b">
        <f>IF(B23&lt;=F22,B16,IF(B23=F22,B16,IF(B23=C14,C16,IF(B23=D14,D16,IF(B23=E14,E16,IF(B23=F14,F16,IF(B23=G14,G16,IF(B23=H14,H16))))))))</f>
        <v>0</v>
      </c>
      <c r="H26" s="105" t="b">
        <f>IF(C23&lt;=F22,B16,IF(C23=F22,B16,IF(C23=C14,C16,IF(C23=D14,D16,IF(C23=E14,E16,IF(C23=F14,F16,IF(C23=G14,G16,IF(C23=H14,H16))))))))</f>
        <v>0</v>
      </c>
      <c r="I26" s="105"/>
      <c r="J26" s="57"/>
      <c r="K26" s="50"/>
      <c r="L26" s="50"/>
      <c r="M26" s="50"/>
      <c r="N26" s="50"/>
    </row>
    <row r="27" spans="1:14" ht="18.75">
      <c r="A27" s="55" t="s">
        <v>76</v>
      </c>
      <c r="B27" s="56">
        <f t="shared" si="2"/>
        <v>1.916E-2</v>
      </c>
      <c r="C27" s="56">
        <f t="shared" si="2"/>
        <v>1.711E-2</v>
      </c>
      <c r="D27" s="280">
        <f>B27-(((B27-C27)/(C23-B23))*(D23-B23))</f>
        <v>1.8851355416666667E-2</v>
      </c>
      <c r="E27" s="280"/>
      <c r="F27" s="105"/>
      <c r="G27" s="105" t="b">
        <f>IF(B23&lt;=F22,B17,IF(B23=F22,B17,IF(B23=C14,C17,IF(B23=D14,D17,IF(B23=E14,E17,IF(B23=F14,F17,IF(B23=G14,G17,IF(B23=H14,H17))))))))</f>
        <v>0</v>
      </c>
      <c r="H27" s="105" t="b">
        <f>IF(C23&lt;=F22,B17,IF(C23=F22,B17,IF(C23=C14,C17,IF(C23=D14,D17,IF(C23=E14,E17,IF(C23=F14,F17,IF(C23=G14,G17,IF(C23=H14,H17))))))))</f>
        <v>0</v>
      </c>
      <c r="I27" s="105"/>
      <c r="J27" s="57"/>
      <c r="K27" s="50"/>
      <c r="L27" s="50"/>
      <c r="M27" s="50"/>
      <c r="N27" s="50"/>
    </row>
    <row r="28" spans="1:14" ht="18.75">
      <c r="A28" s="55" t="s">
        <v>77</v>
      </c>
      <c r="B28" s="56">
        <f t="shared" si="2"/>
        <v>2.0289999999999999E-2</v>
      </c>
      <c r="C28" s="56">
        <f t="shared" si="2"/>
        <v>1.8110000000000001E-2</v>
      </c>
      <c r="D28" s="280">
        <f>B28-(((B28-C28)/(C23-B23))*(D23-B23))</f>
        <v>1.9961782833333334E-2</v>
      </c>
      <c r="E28" s="280"/>
      <c r="F28" s="105"/>
      <c r="G28" s="105" t="b">
        <f>IF(B23&lt;=F22,B18,IF(B23=F22,B18,IF(B23=C14,C18,IF(B23=D14,D18,IF(B23=E14,E18,IF(B23=F14,F18,IF(B23=G14,G18,IF(B23=H14,H18))))))))</f>
        <v>0</v>
      </c>
      <c r="H28" s="105" t="b">
        <f>IF(C23&lt;=F22,B18,IF(C23=F22,B18,IF(C23=C14,C18,IF(C23=D14,D18,IF(C23=E14,E18,IF(C23=F14,F18,IF(C23=G14,G18,IF(C23=H14,H18))))))))</f>
        <v>0</v>
      </c>
      <c r="I28" s="105"/>
      <c r="J28" s="57"/>
      <c r="K28" s="50"/>
      <c r="L28" s="50"/>
      <c r="M28" s="50"/>
      <c r="N28" s="50"/>
    </row>
    <row r="29" spans="1:14" ht="18.75">
      <c r="A29" s="55" t="s">
        <v>78</v>
      </c>
      <c r="B29" s="56">
        <f t="shared" si="2"/>
        <v>1.8030000000000001E-2</v>
      </c>
      <c r="C29" s="56">
        <f t="shared" si="2"/>
        <v>1.61E-2</v>
      </c>
      <c r="D29" s="280">
        <f>B29-(((B29-C29)/(C23-B23))*(D23-B23))</f>
        <v>1.7739422416666668E-2</v>
      </c>
      <c r="E29" s="280"/>
      <c r="F29" s="105"/>
      <c r="G29" s="105" t="b">
        <f>IF(B23&lt;=F22,B19,IF(B23=F22,B19,IF(B23=C14,C19,IF(B23=D14,D19,IF(B23=E14,E19,IF(B23=F14,F19,IF(B23=G14,G19,IF(B23=H14,H19))))))))</f>
        <v>0</v>
      </c>
      <c r="H29" s="105" t="b">
        <f>IF(C23&lt;=F22,B19,IF(C23=F22,B19,IF(C23=C14,C19,IF(C23=D14,D19,IF(C23=E14,E19,IF(C23=F14,F19,IF(C23=G14,G19,IF(C23=H14,H19))))))))</f>
        <v>0</v>
      </c>
      <c r="I29" s="105"/>
      <c r="J29" s="57"/>
      <c r="K29" s="50"/>
      <c r="L29" s="50"/>
      <c r="M29" s="50"/>
      <c r="N29" s="50"/>
    </row>
    <row r="30" spans="1:14" ht="18.75">
      <c r="A30" s="66"/>
      <c r="B30" s="67"/>
      <c r="C30" s="67"/>
      <c r="D30" s="68"/>
      <c r="E30" s="68"/>
      <c r="F30" s="105"/>
      <c r="G30" s="105"/>
      <c r="H30" s="105"/>
      <c r="I30" s="105"/>
      <c r="J30" s="57"/>
      <c r="K30" s="50"/>
      <c r="L30" s="50"/>
      <c r="M30" s="50"/>
      <c r="N30" s="50"/>
    </row>
    <row r="31" spans="1:14" ht="18.75">
      <c r="A31" s="59" t="s">
        <v>79</v>
      </c>
      <c r="B31" s="57"/>
      <c r="C31" s="57"/>
      <c r="D31" s="57"/>
      <c r="E31" s="57"/>
      <c r="F31" s="105"/>
      <c r="G31" s="105"/>
      <c r="H31" s="105"/>
      <c r="I31" s="105"/>
      <c r="J31" s="57"/>
      <c r="K31" s="50"/>
      <c r="L31" s="50"/>
      <c r="M31" s="50"/>
      <c r="N31" s="50"/>
    </row>
    <row r="32" spans="1:14" ht="18.75">
      <c r="A32" s="60" t="s">
        <v>71</v>
      </c>
      <c r="B32" s="60" t="s">
        <v>80</v>
      </c>
      <c r="C32" s="60" t="s">
        <v>81</v>
      </c>
      <c r="D32" s="271" t="s">
        <v>82</v>
      </c>
      <c r="E32" s="271"/>
      <c r="F32" s="106">
        <v>10</v>
      </c>
      <c r="G32" s="281" t="s">
        <v>83</v>
      </c>
      <c r="H32" s="281"/>
      <c r="I32" s="281"/>
      <c r="J32" s="57"/>
      <c r="K32" s="50"/>
      <c r="L32" s="50"/>
      <c r="M32" s="50"/>
      <c r="N32" s="50"/>
    </row>
    <row r="33" spans="1:14" ht="18.75">
      <c r="A33" s="269" t="s">
        <v>87</v>
      </c>
      <c r="B33" s="273">
        <f>H24</f>
        <v>0</v>
      </c>
      <c r="C33" s="273">
        <f>I24</f>
        <v>0</v>
      </c>
      <c r="D33" s="274">
        <f>G33/1000000000</f>
        <v>8.1694200000000006</v>
      </c>
      <c r="E33" s="274"/>
      <c r="F33" s="106">
        <f>IF(D33&lt;F32,F32,IF(AND(D33&gt;F32,D33&lt;=C24),F32,IF(AND(D33&gt;C24,D33&lt;=D24),C24,IF(AND(D33&gt;D24,D33&lt;=E24),D24,IF(AND(D33&gt;E24,D33&lt;=F24),E24,IF(AND(D33&gt;F24,D33&lt;=G24),F24,IF(AND(D33&gt;G24,D33&lt;=H24),G24)))))))</f>
        <v>10</v>
      </c>
      <c r="G33" s="276">
        <f>'[2]2.2. XD HTKT'!D6</f>
        <v>8169420000</v>
      </c>
      <c r="H33" s="276"/>
      <c r="I33" s="276"/>
      <c r="J33" s="57"/>
      <c r="K33" s="50"/>
      <c r="L33" s="50"/>
      <c r="M33" s="50"/>
      <c r="N33" s="50"/>
    </row>
    <row r="34" spans="1:14" ht="18.75">
      <c r="A34" s="270"/>
      <c r="B34" s="270"/>
      <c r="C34" s="270"/>
      <c r="D34" s="277" t="s">
        <v>85</v>
      </c>
      <c r="E34" s="277"/>
      <c r="F34" s="105">
        <f>IF(D33&lt;F32,F32,IF(AND(D33&gt;F32,D33&lt;=C24),C24,IF(AND(D33&gt;C24,D33&lt;=D24),D24,IF(AND(D33&gt;D24,D33&lt;=E24),E24,IF(AND(D33&gt;E24,D33&lt;=F24),F24,IF(AND(D33&gt;F24,D33&lt;=G24),G24,IF(AND(D33&gt;G24,D33&lt;=H24),H24)))))))</f>
        <v>10</v>
      </c>
      <c r="G34" s="278" t="s">
        <v>86</v>
      </c>
      <c r="H34" s="278"/>
      <c r="I34" s="278"/>
      <c r="J34" s="57"/>
      <c r="K34" s="50"/>
      <c r="L34" s="50"/>
      <c r="M34" s="50"/>
      <c r="N34" s="50"/>
    </row>
    <row r="35" spans="1:14" ht="18.75">
      <c r="A35" s="55" t="s">
        <v>74</v>
      </c>
      <c r="B35" s="56" t="b">
        <f>H25</f>
        <v>0</v>
      </c>
      <c r="C35" s="56">
        <f>I25</f>
        <v>0</v>
      </c>
      <c r="D35" s="280" t="e">
        <f>B35-(((B35-C35)/(C33-B33))*(D33-B33))</f>
        <v>#DIV/0!</v>
      </c>
      <c r="E35" s="280"/>
      <c r="F35" s="108"/>
      <c r="G35" s="105">
        <f>IF(B33&lt;=F32,B25,IF(B33=F32,B25,IF(B33=C24,C25,IF(B33=D24,D25,IF(B33=E24,E25,IF(B33=F24,F25,IF(B33=G24,G25,IF(B33=H24,H25))))))))</f>
        <v>2.1409999999999998E-2</v>
      </c>
      <c r="H35" s="105">
        <f>IF(C33&lt;=F32,B25,IF(C33=F32,B25,IF(C33=C24,C25,IF(C33=D24,D25,IF(C33=E24,E25,IF(C33=F24,F25,IF(C33=G24,G25,IF(C33=H24,H25))))))))</f>
        <v>2.1409999999999998E-2</v>
      </c>
      <c r="I35" s="105"/>
      <c r="J35" s="57"/>
      <c r="K35" s="50"/>
      <c r="L35" s="50"/>
      <c r="M35" s="50"/>
      <c r="N35" s="50"/>
    </row>
    <row r="36" spans="1:14" ht="18.75">
      <c r="A36" s="55" t="s">
        <v>75</v>
      </c>
      <c r="B36" s="56">
        <f>G36</f>
        <v>2.2540000000000001E-2</v>
      </c>
      <c r="C36" s="56">
        <f>I26</f>
        <v>0</v>
      </c>
      <c r="D36" s="280" t="e">
        <f>B36-(((B36-C36)/(C33-B33))*(D33-B33))</f>
        <v>#DIV/0!</v>
      </c>
      <c r="E36" s="280"/>
      <c r="F36" s="105"/>
      <c r="G36" s="105">
        <f>IF(B33&lt;=F32,B26,IF(B33=F32,B26,IF(B33=C24,C26,IF(B33=D24,D26,IF(B33=E24,E26,IF(B33=F24,F26,IF(B33=G24,G26,IF(B33=H24,H26))))))))</f>
        <v>2.2540000000000001E-2</v>
      </c>
      <c r="H36" s="105">
        <f>IF(C33&lt;=F32,B26,IF(C33=F32,B26,IF(C33=C24,C26,IF(C33=D24,D26,IF(C33=E24,E26,IF(C33=F24,F26,IF(C33=G24,G26,IF(C33=H24,H26))))))))</f>
        <v>2.2540000000000001E-2</v>
      </c>
      <c r="I36" s="105"/>
      <c r="J36" s="57"/>
      <c r="K36" s="50"/>
      <c r="L36" s="50"/>
      <c r="M36" s="50"/>
      <c r="N36" s="50"/>
    </row>
    <row r="37" spans="1:14" ht="18.75">
      <c r="A37" s="55" t="s">
        <v>76</v>
      </c>
      <c r="B37" s="56">
        <f>G37</f>
        <v>1.916E-2</v>
      </c>
      <c r="C37" s="56">
        <f>I27</f>
        <v>0</v>
      </c>
      <c r="D37" s="280" t="e">
        <f>B37-(((B37-C37)/(C33-B33))*(D33-B33))</f>
        <v>#DIV/0!</v>
      </c>
      <c r="E37" s="280"/>
      <c r="F37" s="105"/>
      <c r="G37" s="105">
        <f>IF(B33&lt;=F32,B27,IF(B33=F32,B27,IF(B33=C24,C27,IF(B33=D24,D27,IF(B33=E24,E27,IF(B33=F24,F27,IF(B33=G24,G27,IF(B33=H24,H27))))))))</f>
        <v>1.916E-2</v>
      </c>
      <c r="H37" s="105">
        <f>IF(C33&lt;=F32,B27,IF(C33=F32,B27,IF(C33=C24,C27,IF(C33=D24,D27,IF(C33=E24,E27,IF(C33=F24,F27,IF(C33=G24,G27,IF(C33=H24,H27))))))))</f>
        <v>1.916E-2</v>
      </c>
      <c r="I37" s="105"/>
      <c r="J37" s="57"/>
      <c r="K37" s="50"/>
      <c r="L37" s="50"/>
      <c r="M37" s="50"/>
      <c r="N37" s="50"/>
    </row>
    <row r="38" spans="1:14" ht="18.75">
      <c r="A38" s="55" t="s">
        <v>77</v>
      </c>
      <c r="B38" s="56">
        <f>G38</f>
        <v>2.0289999999999999E-2</v>
      </c>
      <c r="C38" s="56">
        <f>I28</f>
        <v>0</v>
      </c>
      <c r="D38" s="280" t="e">
        <f>B38-(((B38-C38)/(C33-B33))*(D33-B33))</f>
        <v>#DIV/0!</v>
      </c>
      <c r="E38" s="280"/>
      <c r="F38" s="105"/>
      <c r="G38" s="105">
        <f>IF(B33&lt;=F32,B28,IF(B33=F32,B28,IF(B33=C24,C28,IF(B33=D24,D28,IF(B33=E24,E28,IF(B33=F24,F28,IF(B33=G24,G28,IF(B33=H24,H28))))))))</f>
        <v>2.0289999999999999E-2</v>
      </c>
      <c r="H38" s="105">
        <f>IF(C33&lt;=F32,B28,IF(C33=F32,B28,IF(C33=C24,C28,IF(C33=D24,D28,IF(C33=E24,E28,IF(C33=F24,F28,IF(C33=G24,G28,IF(C33=H24,H28))))))))</f>
        <v>2.0289999999999999E-2</v>
      </c>
      <c r="I38" s="105"/>
      <c r="J38" s="57"/>
      <c r="K38" s="50"/>
      <c r="L38" s="50"/>
      <c r="M38" s="50"/>
      <c r="N38" s="50"/>
    </row>
    <row r="39" spans="1:14" ht="18.75">
      <c r="A39" s="55" t="s">
        <v>78</v>
      </c>
      <c r="B39" s="56">
        <f>G39</f>
        <v>1.8030000000000001E-2</v>
      </c>
      <c r="C39" s="56">
        <f>I29</f>
        <v>0</v>
      </c>
      <c r="D39" s="280" t="e">
        <f>B39-(((B39-C39)/(C33-B33))*(D33-B33))</f>
        <v>#DIV/0!</v>
      </c>
      <c r="E39" s="280"/>
      <c r="F39" s="101">
        <f>B9</f>
        <v>2.1250000000000002E-2</v>
      </c>
      <c r="G39" s="105">
        <f>IF(B33&lt;=F32,B29,IF(B33=F32,B29,IF(B33=C24,C29,IF(B33=D24,D29,IF(B33=E24,E29,IF(B33=F24,F29,IF(B33=G24,G29,IF(B33=H24,H29))))))))</f>
        <v>1.8030000000000001E-2</v>
      </c>
      <c r="H39" s="105">
        <f>IF(C33&lt;=F32,B29,IF(C33=F32,B29,IF(C33=C24,C29,IF(C33=D24,D29,IF(C33=E24,E29,IF(C33=F24,F29,IF(C33=G24,G29,IF(C33=H24,H29))))))))</f>
        <v>1.8030000000000001E-2</v>
      </c>
      <c r="I39" s="105"/>
      <c r="J39" s="57"/>
      <c r="K39" s="50"/>
      <c r="L39" s="50"/>
      <c r="M39" s="50"/>
      <c r="N39" s="50"/>
    </row>
    <row r="40" spans="1:14" ht="18.75">
      <c r="A40" s="51" t="s">
        <v>88</v>
      </c>
      <c r="B40" s="52"/>
      <c r="C40" s="52"/>
      <c r="D40" s="52"/>
      <c r="E40" s="52"/>
      <c r="F40" s="52"/>
      <c r="G40" s="52"/>
      <c r="H40" s="52"/>
      <c r="I40" s="52"/>
      <c r="J40" s="52"/>
      <c r="K40" s="50"/>
      <c r="L40" s="50"/>
      <c r="M40" s="50"/>
      <c r="N40" s="50"/>
    </row>
    <row r="41" spans="1:14" ht="18.75">
      <c r="A41" s="269" t="s">
        <v>71</v>
      </c>
      <c r="B41" s="271" t="s">
        <v>89</v>
      </c>
      <c r="C41" s="271"/>
      <c r="D41" s="271"/>
      <c r="E41" s="271"/>
      <c r="F41" s="271"/>
      <c r="G41" s="271"/>
      <c r="H41" s="271"/>
      <c r="I41" s="271"/>
      <c r="J41" s="52"/>
      <c r="K41" s="50"/>
      <c r="L41" s="50"/>
      <c r="M41" s="50"/>
      <c r="N41" s="50"/>
    </row>
    <row r="42" spans="1:14" ht="18.75">
      <c r="A42" s="270"/>
      <c r="B42" s="53" t="s">
        <v>90</v>
      </c>
      <c r="C42" s="53">
        <v>20</v>
      </c>
      <c r="D42" s="53">
        <v>50</v>
      </c>
      <c r="E42" s="53">
        <v>100</v>
      </c>
      <c r="F42" s="53">
        <v>200</v>
      </c>
      <c r="G42" s="53">
        <v>500</v>
      </c>
      <c r="H42" s="53">
        <v>1000</v>
      </c>
      <c r="I42" s="53">
        <v>2000</v>
      </c>
      <c r="J42" s="54"/>
      <c r="K42" s="50"/>
      <c r="L42" s="50"/>
      <c r="M42" s="50"/>
      <c r="N42" s="50"/>
    </row>
    <row r="43" spans="1:14" ht="18.75">
      <c r="A43" s="55" t="s">
        <v>74</v>
      </c>
      <c r="B43" s="56">
        <v>6.5500000000000003E-3</v>
      </c>
      <c r="C43" s="56">
        <v>5.3800000000000002E-3</v>
      </c>
      <c r="D43" s="56">
        <v>4.4200000000000003E-3</v>
      </c>
      <c r="E43" s="56">
        <v>3.14E-3</v>
      </c>
      <c r="F43" s="56">
        <v>2.3700000000000001E-3</v>
      </c>
      <c r="G43" s="56">
        <v>1.91E-3</v>
      </c>
      <c r="H43" s="56">
        <v>1.64E-3</v>
      </c>
      <c r="I43" s="56">
        <v>1.39E-3</v>
      </c>
      <c r="J43" s="57"/>
      <c r="K43" s="50"/>
      <c r="L43" s="50"/>
      <c r="M43" s="50"/>
      <c r="N43" s="50"/>
    </row>
    <row r="44" spans="1:14" ht="18.75">
      <c r="A44" s="55" t="s">
        <v>75</v>
      </c>
      <c r="B44" s="56">
        <v>9.3399999999999993E-3</v>
      </c>
      <c r="C44" s="56">
        <v>7.9399999999999991E-3</v>
      </c>
      <c r="D44" s="56">
        <v>6.3E-3</v>
      </c>
      <c r="E44" s="56">
        <v>4.6699999999999997E-3</v>
      </c>
      <c r="F44" s="56">
        <v>3.6800000000000001E-3</v>
      </c>
      <c r="G44" s="56">
        <v>3.4499999999999999E-3</v>
      </c>
      <c r="H44" s="56">
        <v>2.99E-3</v>
      </c>
      <c r="I44" s="56">
        <v>2.4199999999999998E-3</v>
      </c>
      <c r="J44" s="57"/>
      <c r="K44" s="50"/>
      <c r="L44" s="50"/>
      <c r="M44" s="50"/>
      <c r="N44" s="50"/>
    </row>
    <row r="45" spans="1:14" ht="18.75">
      <c r="A45" s="55" t="s">
        <v>76</v>
      </c>
      <c r="B45" s="56">
        <v>4.9199999999999999E-3</v>
      </c>
      <c r="C45" s="56">
        <v>4.4900000000000001E-3</v>
      </c>
      <c r="D45" s="56">
        <v>3.5799999999999998E-3</v>
      </c>
      <c r="E45" s="56">
        <v>2.81E-3</v>
      </c>
      <c r="F45" s="56">
        <v>1.9400000000000001E-3</v>
      </c>
      <c r="G45" s="56">
        <v>1.5E-3</v>
      </c>
      <c r="H45" s="56">
        <v>1.31E-3</v>
      </c>
      <c r="I45" s="56">
        <v>1.1199999999999999E-3</v>
      </c>
      <c r="J45" s="57"/>
      <c r="K45" s="50"/>
      <c r="L45" s="50"/>
      <c r="M45" s="50"/>
      <c r="N45" s="50"/>
    </row>
    <row r="46" spans="1:14" ht="18.75">
      <c r="A46" s="55" t="s">
        <v>77</v>
      </c>
      <c r="B46" s="56">
        <v>5.8900000000000003E-3</v>
      </c>
      <c r="C46" s="56">
        <v>5.3600000000000002E-3</v>
      </c>
      <c r="D46" s="56">
        <v>4.28E-3</v>
      </c>
      <c r="E46" s="56">
        <v>3.0000000000000001E-3</v>
      </c>
      <c r="F46" s="56">
        <v>2.2599999999999999E-3</v>
      </c>
      <c r="G46" s="56">
        <v>1.82E-3</v>
      </c>
      <c r="H46" s="56">
        <v>1.56E-3</v>
      </c>
      <c r="I46" s="56">
        <v>1.34E-3</v>
      </c>
      <c r="J46" s="57"/>
      <c r="K46" s="50"/>
      <c r="L46" s="50"/>
      <c r="M46" s="50"/>
      <c r="N46" s="50"/>
    </row>
    <row r="47" spans="1:14" ht="18.75">
      <c r="A47" s="55" t="s">
        <v>78</v>
      </c>
      <c r="B47" s="56">
        <v>5.1399999999999996E-3</v>
      </c>
      <c r="C47" s="56">
        <v>4.6699999999999997E-3</v>
      </c>
      <c r="D47" s="56">
        <v>3.7399999999999998E-3</v>
      </c>
      <c r="E47" s="56">
        <v>2.9099999999999998E-3</v>
      </c>
      <c r="F47" s="56">
        <v>2E-3</v>
      </c>
      <c r="G47" s="56">
        <v>1.56E-3</v>
      </c>
      <c r="H47" s="56">
        <v>1.3699999999999999E-3</v>
      </c>
      <c r="I47" s="56">
        <v>1.17E-3</v>
      </c>
      <c r="J47" s="57"/>
      <c r="K47" s="50"/>
      <c r="L47" s="50"/>
      <c r="M47" s="50"/>
      <c r="N47" s="50"/>
    </row>
    <row r="48" spans="1:14" ht="18.75">
      <c r="A48" s="58"/>
      <c r="B48" s="57"/>
      <c r="C48" s="57"/>
      <c r="D48" s="57"/>
      <c r="E48" s="57"/>
      <c r="F48" s="57"/>
      <c r="G48" s="57"/>
      <c r="H48" s="57"/>
      <c r="I48" s="57"/>
      <c r="J48" s="57"/>
      <c r="K48" s="50"/>
      <c r="L48" s="50"/>
      <c r="M48" s="50"/>
      <c r="N48" s="50"/>
    </row>
    <row r="49" spans="1:14" ht="18.75">
      <c r="A49" s="59" t="s">
        <v>79</v>
      </c>
      <c r="B49" s="57"/>
      <c r="C49" s="57"/>
      <c r="D49" s="57"/>
      <c r="E49" s="57"/>
      <c r="F49" s="57"/>
      <c r="G49" s="57"/>
      <c r="H49" s="57"/>
      <c r="I49" s="57"/>
      <c r="J49" s="57"/>
      <c r="K49" s="50"/>
      <c r="L49" s="50"/>
      <c r="M49" s="50"/>
      <c r="N49" s="50"/>
    </row>
    <row r="50" spans="1:14" ht="18.75">
      <c r="A50" s="60" t="s">
        <v>71</v>
      </c>
      <c r="B50" s="60" t="s">
        <v>81</v>
      </c>
      <c r="C50" s="60" t="s">
        <v>80</v>
      </c>
      <c r="D50" s="271" t="s">
        <v>82</v>
      </c>
      <c r="E50" s="271"/>
      <c r="F50" s="61">
        <v>15</v>
      </c>
      <c r="G50" s="271" t="s">
        <v>83</v>
      </c>
      <c r="H50" s="271"/>
      <c r="I50" s="271"/>
      <c r="J50" s="52"/>
      <c r="K50" s="50"/>
      <c r="L50" s="50"/>
      <c r="M50" s="50"/>
      <c r="N50" s="50"/>
    </row>
    <row r="51" spans="1:14" ht="18.75">
      <c r="A51" s="269" t="s">
        <v>87</v>
      </c>
      <c r="B51" s="273">
        <f>D42</f>
        <v>50</v>
      </c>
      <c r="C51" s="273">
        <f>E42</f>
        <v>100</v>
      </c>
      <c r="D51" s="274">
        <f>G51/1000000000</f>
        <v>95.31335454545453</v>
      </c>
      <c r="E51" s="274"/>
      <c r="F51" s="61">
        <f>IF(D51&lt;F50,F50,IF(AND(D51&gt;F50,D51&lt;=C42),F50,IF(AND(D51&gt;C42,D51&lt;=D42),C42,IF(AND(D51&gt;D42,D51&lt;=E42),D42,IF(AND(D51&gt;E42,D51&lt;=F42),E42,IF(AND(D51&gt;F42,D51&lt;=G42),F42,IF(AND(D51&gt;G42,D51&lt;=H42),G42)))))))</f>
        <v>50</v>
      </c>
      <c r="G51" s="275">
        <f>G13</f>
        <v>95313354545.454529</v>
      </c>
      <c r="H51" s="275"/>
      <c r="I51" s="275"/>
      <c r="J51" s="62"/>
      <c r="K51" s="50"/>
      <c r="L51" s="50"/>
      <c r="M51" s="50"/>
      <c r="N51" s="50"/>
    </row>
    <row r="52" spans="1:14" ht="18.75">
      <c r="A52" s="270"/>
      <c r="B52" s="270"/>
      <c r="C52" s="270"/>
      <c r="D52" s="277" t="s">
        <v>85</v>
      </c>
      <c r="E52" s="277"/>
      <c r="F52" s="63">
        <f>IF(D51&lt;F50,F50,IF(AND(D51&gt;F50,D51&lt;=C42),C42,IF(AND(D51&gt;C42,D51&lt;=D42),D42,IF(AND(D51&gt;D42,D51&lt;=E42),E42,IF(AND(D51&gt;E42,D51&lt;=F42),F42,IF(AND(D51&gt;F42,D51&lt;=G42),G42,IF(AND(D51&gt;G42,D51&lt;=H42),H42)))))))</f>
        <v>100</v>
      </c>
      <c r="G52" s="279" t="s">
        <v>86</v>
      </c>
      <c r="H52" s="279"/>
      <c r="I52" s="279"/>
      <c r="J52" s="64"/>
      <c r="K52" s="50"/>
      <c r="L52" s="50"/>
      <c r="M52" s="50"/>
      <c r="N52" s="50"/>
    </row>
    <row r="53" spans="1:14" ht="18.75">
      <c r="A53" s="55" t="s">
        <v>74</v>
      </c>
      <c r="B53" s="56">
        <f>G53</f>
        <v>4.4200000000000003E-3</v>
      </c>
      <c r="C53" s="56">
        <f>E43</f>
        <v>3.14E-3</v>
      </c>
      <c r="D53" s="280">
        <f>B53-(((B53-C53)/(C51-B51))*(D51-B51))</f>
        <v>3.2599781236363643E-3</v>
      </c>
      <c r="E53" s="280"/>
      <c r="F53" s="100">
        <f>D53</f>
        <v>3.2599781236363643E-3</v>
      </c>
      <c r="G53" s="63">
        <f>IF(B51&lt;=F50,B43,IF(B51=F50,B43,IF(B51=C42,C43,IF(B51=D42,D43,IF(B51=E42,E43,IF(B51=F42,F43,IF(B51=G42,G43,IF(B51=H42,H43))))))))</f>
        <v>4.4200000000000003E-3</v>
      </c>
      <c r="H53" s="63">
        <f>IF(C51&lt;=F50,B43,IF(C51=F50,B43,IF(C51=C42,C43,IF(C51=D42,D43,IF(C51=E42,E43,IF(C51=F42,F43,IF(C51=G42,G43,IF(C51=H42,H43))))))))</f>
        <v>3.14E-3</v>
      </c>
      <c r="I53" s="57"/>
      <c r="J53" s="57"/>
      <c r="K53" s="50"/>
      <c r="L53" s="50"/>
      <c r="M53" s="50"/>
      <c r="N53" s="50"/>
    </row>
    <row r="54" spans="1:14" ht="18.75">
      <c r="A54" s="55" t="s">
        <v>75</v>
      </c>
      <c r="B54" s="56">
        <f>G54</f>
        <v>6.3E-3</v>
      </c>
      <c r="C54" s="56">
        <f t="shared" ref="C54:C57" si="3">E44</f>
        <v>4.6699999999999997E-3</v>
      </c>
      <c r="D54" s="280">
        <f>B54-(((B54-C54)/(C51-B51))*(D51-B51))</f>
        <v>4.822784641818182E-3</v>
      </c>
      <c r="E54" s="280"/>
      <c r="F54" s="70">
        <f>D54</f>
        <v>4.822784641818182E-3</v>
      </c>
      <c r="G54" s="63">
        <f>IF(B51&lt;=F50,B44,IF(B51=F50,B44,IF(B51=C42,C44,IF(B51=D42,D44,IF(B51=E42,E44,IF(B51=F42,F44,IF(B51=G42,G44,IF(B51=H42,H44))))))))</f>
        <v>6.3E-3</v>
      </c>
      <c r="H54" s="63">
        <f>IF(C51&lt;=F50,B44,IF(C51=F50,B44,IF(C51=C42,C44,IF(C51=D42,D44,IF(C51=E42,E44,IF(C51=F42,F44,IF(C51=G42,G44,IF(C51=H42,H44))))))))</f>
        <v>4.6699999999999997E-3</v>
      </c>
      <c r="I54" s="57"/>
      <c r="J54" s="57"/>
      <c r="K54" s="50"/>
      <c r="L54" s="50"/>
      <c r="M54" s="50"/>
      <c r="N54" s="50"/>
    </row>
    <row r="55" spans="1:14" ht="18.75">
      <c r="A55" s="55" t="s">
        <v>76</v>
      </c>
      <c r="B55" s="56">
        <f>G55</f>
        <v>3.5799999999999998E-3</v>
      </c>
      <c r="C55" s="56">
        <f t="shared" si="3"/>
        <v>2.81E-3</v>
      </c>
      <c r="D55" s="280">
        <f>B55-(((B55-C55)/(C51-B51))*(D51-B51))</f>
        <v>2.8821743400000003E-3</v>
      </c>
      <c r="E55" s="280"/>
      <c r="F55" s="57"/>
      <c r="G55" s="63">
        <f>IF(B51&lt;=F50,B45,IF(B51=F50,B45,IF(B51=C42,C45,IF(B51=D42,D45,IF(B51=E42,E45,IF(B51=F42,F45,IF(B51=G42,G45,IF(B51=H42,H45))))))))</f>
        <v>3.5799999999999998E-3</v>
      </c>
      <c r="H55" s="63">
        <f>IF(C51&lt;=F50,B45,IF(C51=F50,B45,IF(C51=C42,C45,IF(C51=D42,D45,IF(C51=E42,E45,IF(C51=F42,F45,IF(C51=G42,G45,IF(C51=H42,H45))))))))</f>
        <v>2.81E-3</v>
      </c>
      <c r="I55" s="57"/>
      <c r="J55" s="57"/>
      <c r="K55" s="50"/>
      <c r="L55" s="50"/>
      <c r="M55" s="50"/>
      <c r="N55" s="50"/>
    </row>
    <row r="56" spans="1:14" ht="18.75">
      <c r="A56" s="55" t="s">
        <v>77</v>
      </c>
      <c r="B56" s="56">
        <f>G56</f>
        <v>4.28E-3</v>
      </c>
      <c r="C56" s="56">
        <f t="shared" si="3"/>
        <v>3.0000000000000001E-3</v>
      </c>
      <c r="D56" s="280">
        <f>B56-(((B56-C56)/(C51-B51))*(D51-B51))</f>
        <v>3.119978123636364E-3</v>
      </c>
      <c r="E56" s="280"/>
      <c r="F56" s="57"/>
      <c r="G56" s="63">
        <f>IF(B51&lt;=F50,B46,IF(B51=F50,B46,IF(B51=C42,C46,IF(B51=D42,D46,IF(B51=E42,E46,IF(B51=F42,F46,IF(B51=G42,G46,IF(B51=H42,H46))))))))</f>
        <v>4.28E-3</v>
      </c>
      <c r="H56" s="63">
        <f>IF(C51&lt;=F50,B46,IF(C51=F50,B46,IF(C51=C42,C46,IF(C51=D42,D46,IF(C51=E42,E46,IF(C51=F42,F46,IF(C51=G42,G46,IF(C51=H42,H46))))))))</f>
        <v>3.0000000000000001E-3</v>
      </c>
      <c r="I56" s="57"/>
      <c r="J56" s="57"/>
      <c r="K56" s="50"/>
      <c r="L56" s="50"/>
      <c r="M56" s="50"/>
      <c r="N56" s="50"/>
    </row>
    <row r="57" spans="1:14" ht="18.75">
      <c r="A57" s="55" t="s">
        <v>78</v>
      </c>
      <c r="B57" s="56">
        <f>G57</f>
        <v>3.7399999999999998E-3</v>
      </c>
      <c r="C57" s="56">
        <f t="shared" si="3"/>
        <v>2.9099999999999998E-3</v>
      </c>
      <c r="D57" s="280">
        <f>B57-(((B57-C57)/(C51-B51))*(D51-B51))</f>
        <v>2.9877983145454546E-3</v>
      </c>
      <c r="E57" s="280"/>
      <c r="F57" s="57"/>
      <c r="G57" s="63">
        <f>IF(B51&lt;=F50,B47,IF(B51=F50,B47,IF(B51=C42,C47,IF(B51=D42,D47,IF(B51=E42,E47,IF(B51=F42,F47,IF(B51=G42,G47,IF(B51=H42,H47))))))))</f>
        <v>3.7399999999999998E-3</v>
      </c>
      <c r="H57" s="63">
        <f>IF(C51&lt;=F50,B47,IF(C51=F50,B47,IF(C51=C42,C47,IF(C51=D42,D47,IF(C51=E42,E47,IF(C51=F42,F47,IF(C51=G42,G47,IF(C51=H42,H47))))))))</f>
        <v>2.9099999999999998E-3</v>
      </c>
      <c r="I57" s="57"/>
      <c r="J57" s="57"/>
      <c r="K57" s="50"/>
      <c r="L57" s="50"/>
      <c r="M57" s="50"/>
      <c r="N57" s="50"/>
    </row>
    <row r="58" spans="1:14" ht="18.75">
      <c r="A58" s="58"/>
      <c r="B58" s="57"/>
      <c r="C58" s="57"/>
      <c r="D58" s="57"/>
      <c r="E58" s="57"/>
      <c r="F58" s="57"/>
      <c r="G58" s="57"/>
      <c r="H58" s="57"/>
      <c r="I58" s="57"/>
      <c r="J58" s="57"/>
      <c r="K58" s="50"/>
      <c r="L58" s="50"/>
      <c r="M58" s="50"/>
      <c r="N58" s="50"/>
    </row>
    <row r="59" spans="1:14" ht="18.75">
      <c r="A59" s="104" t="s">
        <v>91</v>
      </c>
      <c r="B59" s="106"/>
      <c r="C59" s="106"/>
      <c r="D59" s="106"/>
      <c r="E59" s="106"/>
      <c r="F59" s="106"/>
      <c r="G59" s="106"/>
      <c r="H59" s="106"/>
      <c r="I59" s="106"/>
      <c r="J59" s="52"/>
      <c r="K59" s="50"/>
      <c r="L59" s="50"/>
      <c r="M59" s="50"/>
      <c r="N59" s="50"/>
    </row>
    <row r="60" spans="1:14" ht="18.75">
      <c r="A60" s="269" t="s">
        <v>92</v>
      </c>
      <c r="B60" s="271" t="s">
        <v>93</v>
      </c>
      <c r="C60" s="271"/>
      <c r="D60" s="271"/>
      <c r="E60" s="71"/>
      <c r="F60" s="109"/>
      <c r="G60" s="109"/>
      <c r="H60" s="109"/>
      <c r="I60" s="109"/>
      <c r="J60" s="52"/>
      <c r="K60" s="50"/>
      <c r="L60" s="50"/>
      <c r="M60" s="50"/>
      <c r="N60" s="50"/>
    </row>
    <row r="61" spans="1:14" ht="18.75">
      <c r="A61" s="270"/>
      <c r="B61" s="53" t="s">
        <v>94</v>
      </c>
      <c r="C61" s="53">
        <v>7</v>
      </c>
      <c r="D61" s="53" t="s">
        <v>95</v>
      </c>
      <c r="E61" s="72"/>
      <c r="F61" s="110"/>
      <c r="G61" s="110"/>
      <c r="H61" s="110"/>
      <c r="I61" s="110"/>
      <c r="J61" s="54"/>
      <c r="K61" s="50"/>
      <c r="L61" s="50"/>
      <c r="M61" s="50"/>
      <c r="N61" s="50"/>
    </row>
    <row r="62" spans="1:14" ht="18.75">
      <c r="A62" s="55" t="s">
        <v>74</v>
      </c>
      <c r="B62" s="73">
        <v>3.5999999999999997E-2</v>
      </c>
      <c r="C62" s="73">
        <v>3.2000000000000001E-2</v>
      </c>
      <c r="D62" s="73">
        <v>2.8000000000000001E-2</v>
      </c>
      <c r="E62" s="67"/>
      <c r="F62" s="107"/>
      <c r="G62" s="107"/>
      <c r="H62" s="107"/>
      <c r="I62" s="107"/>
      <c r="J62" s="57"/>
      <c r="K62" s="50"/>
      <c r="L62" s="50"/>
      <c r="M62" s="50"/>
      <c r="N62" s="50"/>
    </row>
    <row r="63" spans="1:14" ht="18.75">
      <c r="A63" s="55" t="s">
        <v>75</v>
      </c>
      <c r="B63" s="73">
        <v>3.6999999999999998E-2</v>
      </c>
      <c r="C63" s="73">
        <v>3.3000000000000002E-2</v>
      </c>
      <c r="D63" s="73">
        <v>2.9000000000000001E-2</v>
      </c>
      <c r="E63" s="67"/>
      <c r="F63" s="107"/>
      <c r="G63" s="107"/>
      <c r="H63" s="107"/>
      <c r="I63" s="107"/>
      <c r="J63" s="57"/>
      <c r="K63" s="50"/>
      <c r="L63" s="50"/>
      <c r="M63" s="50"/>
      <c r="N63" s="50"/>
    </row>
    <row r="64" spans="1:14" ht="18.75">
      <c r="A64" s="55" t="s">
        <v>76</v>
      </c>
      <c r="B64" s="73">
        <v>2.8000000000000001E-2</v>
      </c>
      <c r="C64" s="73">
        <v>2.1000000000000001E-2</v>
      </c>
      <c r="D64" s="73">
        <v>1.9E-2</v>
      </c>
      <c r="E64" s="67"/>
      <c r="F64" s="107"/>
      <c r="G64" s="107"/>
      <c r="H64" s="107"/>
      <c r="I64" s="107"/>
      <c r="J64" s="57"/>
      <c r="K64" s="50"/>
      <c r="L64" s="50"/>
      <c r="M64" s="50"/>
      <c r="N64" s="50"/>
    </row>
    <row r="65" spans="1:14" ht="18.75">
      <c r="A65" s="55" t="s">
        <v>77</v>
      </c>
      <c r="B65" s="73">
        <v>3.4000000000000002E-2</v>
      </c>
      <c r="C65" s="73">
        <v>0.03</v>
      </c>
      <c r="D65" s="73">
        <v>2.8000000000000001E-2</v>
      </c>
      <c r="E65" s="67"/>
      <c r="F65" s="107"/>
      <c r="G65" s="107"/>
      <c r="H65" s="107"/>
      <c r="I65" s="107"/>
      <c r="J65" s="57"/>
      <c r="K65" s="50"/>
      <c r="L65" s="50"/>
      <c r="M65" s="50"/>
      <c r="N65" s="50"/>
    </row>
    <row r="66" spans="1:14" ht="18.75">
      <c r="A66" s="55" t="s">
        <v>78</v>
      </c>
      <c r="B66" s="73">
        <v>3.2000000000000001E-2</v>
      </c>
      <c r="C66" s="73">
        <v>2.5999999999999999E-2</v>
      </c>
      <c r="D66" s="73">
        <v>2.3E-2</v>
      </c>
      <c r="E66" s="67"/>
      <c r="F66" s="107"/>
      <c r="G66" s="107"/>
      <c r="H66" s="107"/>
      <c r="I66" s="107"/>
      <c r="J66" s="57"/>
      <c r="K66" s="50"/>
      <c r="L66" s="50"/>
      <c r="M66" s="50"/>
      <c r="N66" s="50"/>
    </row>
    <row r="67" spans="1:14" ht="18.75">
      <c r="A67" s="58"/>
      <c r="B67" s="57"/>
      <c r="C67" s="57"/>
      <c r="D67" s="57"/>
      <c r="E67" s="57"/>
      <c r="F67" s="105"/>
      <c r="G67" s="105"/>
      <c r="H67" s="105"/>
      <c r="I67" s="105"/>
      <c r="J67" s="57"/>
      <c r="K67" s="50"/>
      <c r="L67" s="50"/>
      <c r="M67" s="50"/>
      <c r="N67" s="50"/>
    </row>
    <row r="68" spans="1:14" ht="18.75">
      <c r="A68" s="59" t="s">
        <v>79</v>
      </c>
      <c r="B68" s="57"/>
      <c r="C68" s="57"/>
      <c r="D68" s="57"/>
      <c r="E68" s="57"/>
      <c r="F68" s="105"/>
      <c r="G68" s="105"/>
      <c r="H68" s="105"/>
      <c r="I68" s="105"/>
      <c r="J68" s="57"/>
      <c r="K68" s="50"/>
      <c r="L68" s="50"/>
      <c r="M68" s="50"/>
      <c r="N68" s="50"/>
    </row>
    <row r="69" spans="1:14" ht="18.75">
      <c r="A69" s="60" t="s">
        <v>71</v>
      </c>
      <c r="B69" s="60" t="s">
        <v>81</v>
      </c>
      <c r="C69" s="60" t="s">
        <v>80</v>
      </c>
      <c r="D69" s="284" t="s">
        <v>82</v>
      </c>
      <c r="E69" s="286"/>
      <c r="F69" s="106"/>
      <c r="G69" s="287" t="s">
        <v>83</v>
      </c>
      <c r="H69" s="288"/>
      <c r="I69" s="289"/>
      <c r="J69" s="52"/>
      <c r="K69" s="50"/>
      <c r="L69" s="50"/>
      <c r="M69" s="50"/>
      <c r="N69" s="50"/>
    </row>
    <row r="70" spans="1:14" ht="18.75">
      <c r="A70" s="269" t="s">
        <v>87</v>
      </c>
      <c r="B70" s="269">
        <f>J70</f>
        <v>3</v>
      </c>
      <c r="C70" s="269">
        <f>J71</f>
        <v>3</v>
      </c>
      <c r="D70" s="290">
        <f>G70/1000000000</f>
        <v>0</v>
      </c>
      <c r="E70" s="291"/>
      <c r="F70" s="106"/>
      <c r="G70" s="292"/>
      <c r="H70" s="293"/>
      <c r="I70" s="294"/>
      <c r="J70" s="62">
        <f>IF($D$70&lt;3,3,IF(AND($D$70&gt;3,$D$70&lt;=7),3,IF(AND($D$70&gt;7,$D$51&lt;=15),7)))</f>
        <v>3</v>
      </c>
      <c r="K70" s="50"/>
      <c r="L70" s="50"/>
      <c r="M70" s="50"/>
      <c r="N70" s="50"/>
    </row>
    <row r="71" spans="1:14" ht="18.75">
      <c r="A71" s="270"/>
      <c r="B71" s="270"/>
      <c r="C71" s="270"/>
      <c r="D71" s="295" t="s">
        <v>85</v>
      </c>
      <c r="E71" s="296"/>
      <c r="F71" s="105"/>
      <c r="G71" s="297" t="s">
        <v>86</v>
      </c>
      <c r="H71" s="298"/>
      <c r="I71" s="299"/>
      <c r="J71" s="62">
        <f>IF($D$70&lt;3,3,IF(AND($D$70&gt;3,$D$70&lt;=7),7,IF(AND($D$70&gt;7,$D$51&lt;=15),15)))</f>
        <v>3</v>
      </c>
      <c r="K71" s="50"/>
      <c r="L71" s="50"/>
      <c r="M71" s="50"/>
      <c r="N71" s="50"/>
    </row>
    <row r="72" spans="1:14" ht="18.75">
      <c r="A72" s="55" t="s">
        <v>74</v>
      </c>
      <c r="B72" s="73">
        <f t="shared" ref="B72:C76" si="4">G72</f>
        <v>3.5999999999999997E-2</v>
      </c>
      <c r="C72" s="73">
        <f t="shared" si="4"/>
        <v>3.5999999999999997E-2</v>
      </c>
      <c r="D72" s="282" t="e">
        <f>B72-(((B72-C72)/($C$70-$B$70))*($D$70-$B$70))</f>
        <v>#DIV/0!</v>
      </c>
      <c r="E72" s="283"/>
      <c r="F72" s="105"/>
      <c r="G72" s="105">
        <f>IF($B$70&lt;=3,B62,IF($B$70=7,C62,IF($B$70=15,D62)))</f>
        <v>3.5999999999999997E-2</v>
      </c>
      <c r="H72" s="105">
        <f>IF($C$70&lt;=3,B62,IF($C$70=7,C62,IF($C$70=15,D62)))</f>
        <v>3.5999999999999997E-2</v>
      </c>
      <c r="I72" s="105"/>
      <c r="J72" s="57"/>
      <c r="K72" s="50"/>
      <c r="L72" s="50"/>
      <c r="M72" s="50"/>
      <c r="N72" s="50"/>
    </row>
    <row r="73" spans="1:14" ht="18.75">
      <c r="A73" s="55" t="s">
        <v>75</v>
      </c>
      <c r="B73" s="73">
        <f t="shared" si="4"/>
        <v>3.6999999999999998E-2</v>
      </c>
      <c r="C73" s="73">
        <f t="shared" si="4"/>
        <v>3.6999999999999998E-2</v>
      </c>
      <c r="D73" s="282" t="e">
        <f>B73-(((B73-C73)/($C$70-$B$70))*($D$70-$B$70))</f>
        <v>#DIV/0!</v>
      </c>
      <c r="E73" s="283"/>
      <c r="F73" s="105"/>
      <c r="G73" s="105">
        <f>IF($B$70&lt;=3,B63,IF($B$70=7,C63,IF($B$70=15,D63)))</f>
        <v>3.6999999999999998E-2</v>
      </c>
      <c r="H73" s="105">
        <f>IF($C$70&lt;=3,B63,IF($C$70=7,C63,IF($C$70=15,D63)))</f>
        <v>3.6999999999999998E-2</v>
      </c>
      <c r="I73" s="105"/>
      <c r="J73" s="57"/>
      <c r="K73" s="50"/>
      <c r="L73" s="50"/>
      <c r="M73" s="50"/>
      <c r="N73" s="50"/>
    </row>
    <row r="74" spans="1:14" ht="18.75">
      <c r="A74" s="55" t="s">
        <v>76</v>
      </c>
      <c r="B74" s="73">
        <f t="shared" si="4"/>
        <v>2.8000000000000001E-2</v>
      </c>
      <c r="C74" s="73">
        <f t="shared" si="4"/>
        <v>2.8000000000000001E-2</v>
      </c>
      <c r="D74" s="282" t="e">
        <f>B74-(((B74-C74)/($C$70-$B$70))*($D$70-$B$70))</f>
        <v>#DIV/0!</v>
      </c>
      <c r="E74" s="283"/>
      <c r="F74" s="105"/>
      <c r="G74" s="105">
        <f>IF($B$70&lt;=3,B64,IF($B$70=7,C64,IF($B$70=15,D64)))</f>
        <v>2.8000000000000001E-2</v>
      </c>
      <c r="H74" s="105">
        <f>IF($C$70&lt;=3,B64,IF($C$70=7,C64,IF($C$70=15,D64)))</f>
        <v>2.8000000000000001E-2</v>
      </c>
      <c r="I74" s="105"/>
      <c r="J74" s="57"/>
      <c r="K74" s="50"/>
      <c r="L74" s="50"/>
      <c r="M74" s="50"/>
      <c r="N74" s="50"/>
    </row>
    <row r="75" spans="1:14" ht="18.75">
      <c r="A75" s="55" t="s">
        <v>77</v>
      </c>
      <c r="B75" s="73">
        <f t="shared" si="4"/>
        <v>3.4000000000000002E-2</v>
      </c>
      <c r="C75" s="73">
        <f t="shared" si="4"/>
        <v>3.4000000000000002E-2</v>
      </c>
      <c r="D75" s="282" t="e">
        <f>B75-(((B75-C75)/($C$70-$B$70))*($D$70-$B$70))</f>
        <v>#DIV/0!</v>
      </c>
      <c r="E75" s="283"/>
      <c r="F75" s="105"/>
      <c r="G75" s="105">
        <f>IF($B$70&lt;=3,B65,IF($B$70=7,C65,IF($B$70=15,D65)))</f>
        <v>3.4000000000000002E-2</v>
      </c>
      <c r="H75" s="105">
        <f>IF($C$70&lt;=3,B65,IF($C$70=7,C65,IF($C$70=15,D65)))</f>
        <v>3.4000000000000002E-2</v>
      </c>
      <c r="I75" s="105"/>
      <c r="J75" s="57"/>
      <c r="K75" s="50"/>
      <c r="L75" s="50"/>
      <c r="M75" s="50"/>
      <c r="N75" s="50"/>
    </row>
    <row r="76" spans="1:14" ht="18.75">
      <c r="A76" s="55" t="s">
        <v>78</v>
      </c>
      <c r="B76" s="73">
        <f t="shared" si="4"/>
        <v>3.2000000000000001E-2</v>
      </c>
      <c r="C76" s="73">
        <f t="shared" si="4"/>
        <v>3.2000000000000001E-2</v>
      </c>
      <c r="D76" s="282" t="e">
        <f>B76-(((B76-C76)/($C$70-$B$70))*($D$70-$B$70))</f>
        <v>#DIV/0!</v>
      </c>
      <c r="E76" s="283"/>
      <c r="F76" s="105"/>
      <c r="G76" s="105">
        <f>IF($B$70&lt;=3,B66,IF($B$70=7,C66,IF($B$70=15,D66)))</f>
        <v>3.2000000000000001E-2</v>
      </c>
      <c r="H76" s="105">
        <f>IF($C$70&lt;=3,B66,IF($C$70=7,C66,IF($C$70=15,D66)))</f>
        <v>3.2000000000000001E-2</v>
      </c>
      <c r="I76" s="105"/>
      <c r="J76" s="57"/>
      <c r="K76" s="50"/>
      <c r="L76" s="50"/>
      <c r="M76" s="50"/>
      <c r="N76" s="50"/>
    </row>
    <row r="77" spans="1:14" ht="18.75">
      <c r="A77" s="58"/>
      <c r="B77" s="57"/>
      <c r="C77" s="57"/>
      <c r="D77" s="57"/>
      <c r="E77" s="57"/>
      <c r="F77" s="57"/>
      <c r="G77" s="57"/>
      <c r="H77" s="57"/>
      <c r="I77" s="57"/>
      <c r="J77" s="57"/>
      <c r="K77" s="50"/>
      <c r="L77" s="50"/>
      <c r="M77" s="50"/>
      <c r="N77" s="50"/>
    </row>
    <row r="78" spans="1:14" ht="18.75">
      <c r="A78" s="51" t="s">
        <v>96</v>
      </c>
      <c r="B78" s="74"/>
      <c r="C78" s="74"/>
      <c r="D78" s="74"/>
      <c r="E78" s="74"/>
      <c r="F78" s="74"/>
      <c r="G78" s="74"/>
      <c r="H78" s="74"/>
      <c r="I78" s="74"/>
      <c r="J78" s="74"/>
      <c r="K78" s="50"/>
      <c r="L78" s="50"/>
      <c r="M78" s="50"/>
      <c r="N78" s="50"/>
    </row>
    <row r="79" spans="1:14" ht="18.75">
      <c r="A79" s="104" t="s">
        <v>97</v>
      </c>
      <c r="B79" s="105"/>
      <c r="C79" s="105"/>
      <c r="D79" s="105"/>
      <c r="E79" s="105"/>
      <c r="F79" s="105"/>
      <c r="G79" s="105"/>
      <c r="H79" s="105"/>
      <c r="I79" s="105"/>
      <c r="J79" s="74"/>
      <c r="K79" s="50"/>
      <c r="L79" s="50"/>
      <c r="M79" s="50"/>
      <c r="N79" s="50"/>
    </row>
    <row r="80" spans="1:14" ht="18.75">
      <c r="A80" s="269" t="s">
        <v>98</v>
      </c>
      <c r="B80" s="284" t="s">
        <v>99</v>
      </c>
      <c r="C80" s="285"/>
      <c r="D80" s="285"/>
      <c r="E80" s="285"/>
      <c r="F80" s="285"/>
      <c r="G80" s="285"/>
      <c r="H80" s="285"/>
      <c r="I80" s="286"/>
      <c r="J80" s="52"/>
      <c r="K80" s="50"/>
      <c r="L80" s="50"/>
      <c r="M80" s="50"/>
      <c r="N80" s="50"/>
    </row>
    <row r="81" spans="1:14" ht="18.75">
      <c r="A81" s="270"/>
      <c r="B81" s="53" t="s">
        <v>100</v>
      </c>
      <c r="C81" s="53">
        <v>10</v>
      </c>
      <c r="D81" s="53">
        <v>20</v>
      </c>
      <c r="E81" s="53">
        <v>50</v>
      </c>
      <c r="F81" s="53">
        <v>100</v>
      </c>
      <c r="G81" s="53">
        <v>200</v>
      </c>
      <c r="H81" s="53">
        <v>500</v>
      </c>
      <c r="I81" s="53">
        <v>1000</v>
      </c>
      <c r="J81" s="54"/>
      <c r="K81" s="50"/>
      <c r="L81" s="50"/>
      <c r="M81" s="50"/>
      <c r="N81" s="50"/>
    </row>
    <row r="82" spans="1:14" ht="18.75">
      <c r="A82" s="75" t="s">
        <v>101</v>
      </c>
      <c r="B82" s="76">
        <v>0</v>
      </c>
      <c r="C82" s="56">
        <v>2.7400000000000001E-2</v>
      </c>
      <c r="D82" s="56">
        <v>2.3800000000000002E-2</v>
      </c>
      <c r="E82" s="56">
        <v>0.02</v>
      </c>
      <c r="F82" s="56">
        <v>1.8200000000000001E-2</v>
      </c>
      <c r="G82" s="56">
        <v>1.66E-2</v>
      </c>
      <c r="H82" s="56">
        <v>1.4E-2</v>
      </c>
      <c r="I82" s="56">
        <v>1.1299999999999999E-2</v>
      </c>
      <c r="J82" s="57"/>
      <c r="K82" s="50"/>
      <c r="L82" s="50"/>
      <c r="M82" s="50"/>
      <c r="N82" s="50"/>
    </row>
    <row r="83" spans="1:14" ht="18.75">
      <c r="A83" s="75" t="s">
        <v>102</v>
      </c>
      <c r="B83" s="76">
        <v>0</v>
      </c>
      <c r="C83" s="56">
        <v>2.4799999999999999E-2</v>
      </c>
      <c r="D83" s="56">
        <v>2.1700000000000001E-2</v>
      </c>
      <c r="E83" s="56">
        <v>1.8200000000000001E-2</v>
      </c>
      <c r="F83" s="56">
        <v>1.6400000000000001E-2</v>
      </c>
      <c r="G83" s="56">
        <v>1.5100000000000001E-2</v>
      </c>
      <c r="H83" s="56">
        <v>1.2699999999999999E-2</v>
      </c>
      <c r="I83" s="56">
        <v>1.03E-2</v>
      </c>
      <c r="J83" s="57"/>
      <c r="K83" s="50"/>
      <c r="L83" s="50"/>
      <c r="M83" s="50"/>
      <c r="N83" s="50"/>
    </row>
    <row r="84" spans="1:14" ht="18.75">
      <c r="A84" s="75" t="s">
        <v>103</v>
      </c>
      <c r="B84" s="56">
        <v>2.3599999999999999E-2</v>
      </c>
      <c r="C84" s="56">
        <v>2.2499999999999999E-2</v>
      </c>
      <c r="D84" s="56">
        <v>1.9599999999999999E-2</v>
      </c>
      <c r="E84" s="56">
        <v>1.66E-2</v>
      </c>
      <c r="F84" s="56">
        <v>1.5100000000000001E-2</v>
      </c>
      <c r="G84" s="56">
        <v>1.37E-2</v>
      </c>
      <c r="H84" s="56">
        <v>1.1599999999999999E-2</v>
      </c>
      <c r="I84" s="56">
        <v>9.4999999999999998E-3</v>
      </c>
      <c r="J84" s="57"/>
      <c r="K84" s="50"/>
      <c r="L84" s="50"/>
      <c r="M84" s="50"/>
      <c r="N84" s="50"/>
    </row>
    <row r="85" spans="1:14" ht="18.75">
      <c r="A85" s="75" t="s">
        <v>104</v>
      </c>
      <c r="B85" s="56">
        <v>2.12E-2</v>
      </c>
      <c r="C85" s="56">
        <v>2.0299999999999999E-2</v>
      </c>
      <c r="D85" s="56">
        <v>1.7600000000000001E-2</v>
      </c>
      <c r="E85" s="56">
        <v>1.4800000000000001E-2</v>
      </c>
      <c r="F85" s="56">
        <v>1.34E-2</v>
      </c>
      <c r="G85" s="56">
        <v>1.23E-2</v>
      </c>
      <c r="H85" s="56">
        <v>1.04E-2</v>
      </c>
      <c r="I85" s="56">
        <v>8.5000000000000006E-3</v>
      </c>
      <c r="J85" s="57"/>
      <c r="K85" s="50"/>
      <c r="L85" s="50"/>
      <c r="M85" s="50"/>
      <c r="N85" s="50"/>
    </row>
    <row r="86" spans="1:14" ht="18.75">
      <c r="A86" s="75" t="s">
        <v>105</v>
      </c>
      <c r="B86" s="56">
        <v>1.8800000000000001E-2</v>
      </c>
      <c r="C86" s="56">
        <v>1.7999999999999999E-2</v>
      </c>
      <c r="D86" s="56">
        <v>1.5699999999999999E-2</v>
      </c>
      <c r="E86" s="56">
        <v>1.23E-2</v>
      </c>
      <c r="F86" s="56">
        <v>1.04E-2</v>
      </c>
      <c r="G86" s="56">
        <v>8.8000000000000005E-3</v>
      </c>
      <c r="H86" s="56">
        <v>7.4999999999999997E-3</v>
      </c>
      <c r="I86" s="56">
        <v>6.1000000000000004E-3</v>
      </c>
      <c r="J86" s="57"/>
      <c r="K86" s="50"/>
      <c r="L86" s="50"/>
      <c r="M86" s="50"/>
      <c r="N86" s="50"/>
    </row>
    <row r="87" spans="1:14" ht="18.75">
      <c r="A87" s="111"/>
      <c r="B87" s="105"/>
      <c r="C87" s="105"/>
      <c r="D87" s="105"/>
      <c r="E87" s="105"/>
      <c r="F87" s="105"/>
      <c r="G87" s="105"/>
      <c r="H87" s="105"/>
      <c r="I87" s="105"/>
      <c r="J87" s="57"/>
      <c r="K87" s="50"/>
      <c r="L87" s="50"/>
      <c r="M87" s="50"/>
      <c r="N87" s="50"/>
    </row>
    <row r="88" spans="1:14" ht="18.75">
      <c r="A88" s="104" t="s">
        <v>79</v>
      </c>
      <c r="B88" s="105"/>
      <c r="C88" s="105"/>
      <c r="D88" s="105"/>
      <c r="E88" s="105"/>
      <c r="F88" s="105"/>
      <c r="G88" s="105"/>
      <c r="H88" s="105"/>
      <c r="I88" s="105"/>
      <c r="J88" s="57"/>
      <c r="K88" s="50"/>
      <c r="L88" s="50"/>
      <c r="M88" s="50"/>
      <c r="N88" s="50"/>
    </row>
    <row r="89" spans="1:14" ht="18.75">
      <c r="A89" s="60" t="s">
        <v>71</v>
      </c>
      <c r="B89" s="60" t="s">
        <v>80</v>
      </c>
      <c r="C89" s="60" t="s">
        <v>81</v>
      </c>
      <c r="D89" s="271" t="s">
        <v>82</v>
      </c>
      <c r="E89" s="271"/>
      <c r="F89" s="106">
        <v>7</v>
      </c>
      <c r="G89" s="281" t="s">
        <v>106</v>
      </c>
      <c r="H89" s="281"/>
      <c r="I89" s="281"/>
      <c r="J89" s="52"/>
      <c r="K89" s="50"/>
      <c r="L89" s="50"/>
      <c r="M89" s="50"/>
      <c r="N89" s="50"/>
    </row>
    <row r="90" spans="1:14" ht="18.75">
      <c r="A90" s="269" t="s">
        <v>107</v>
      </c>
      <c r="B90" s="269">
        <f>F90</f>
        <v>7</v>
      </c>
      <c r="C90" s="269">
        <f>F91</f>
        <v>7</v>
      </c>
      <c r="D90" s="274">
        <f>G90/1000000000</f>
        <v>0</v>
      </c>
      <c r="E90" s="274"/>
      <c r="F90" s="106">
        <f>IF(D90&lt;F89,F89,IF(AND(D90&gt;F89,D90&lt;=C81),F89,IF(AND(D90&gt;C81,D90&lt;=D81),C81,IF(AND(D90&gt;D81,D90&lt;=E81),D81,IF(AND(D90&gt;E81,D90&lt;=F81),E81,IF(AND(D90&gt;F81,D90&lt;=G81),F81,IF(AND(D90&gt;G81,D90&lt;=H81),G81)))))))</f>
        <v>7</v>
      </c>
      <c r="G90" s="276"/>
      <c r="H90" s="276"/>
      <c r="I90" s="276"/>
      <c r="J90" s="62"/>
      <c r="K90" s="50"/>
      <c r="L90" s="50"/>
      <c r="M90" s="50"/>
      <c r="N90" s="50"/>
    </row>
    <row r="91" spans="1:14" ht="18.75">
      <c r="A91" s="270"/>
      <c r="B91" s="270"/>
      <c r="C91" s="270"/>
      <c r="D91" s="277" t="s">
        <v>85</v>
      </c>
      <c r="E91" s="277"/>
      <c r="F91" s="105">
        <f>IF(D90&lt;F89,F89,IF(AND(D90&gt;F89,D90&lt;=C81),C81,IF(AND(D90&gt;C81,D90&lt;=D81),D81,IF(AND(D90&gt;D81,D90&lt;=E81),E81,IF(AND(D90&gt;E81,D90&lt;=F81),F81,IF(AND(D90&gt;F81,D90&lt;=G81),G81,IF(AND(D90&gt;G81,D90&lt;=H81),H81)))))))</f>
        <v>7</v>
      </c>
      <c r="G91" s="278" t="s">
        <v>108</v>
      </c>
      <c r="H91" s="278"/>
      <c r="I91" s="278"/>
      <c r="J91" s="64"/>
      <c r="K91" s="50"/>
      <c r="L91" s="50"/>
      <c r="M91" s="50"/>
      <c r="N91" s="50"/>
    </row>
    <row r="92" spans="1:14" ht="18.75">
      <c r="A92" s="75" t="s">
        <v>101</v>
      </c>
      <c r="B92" s="56">
        <f t="shared" ref="B92:C96" si="5">G92</f>
        <v>0</v>
      </c>
      <c r="C92" s="56">
        <f t="shared" si="5"/>
        <v>0</v>
      </c>
      <c r="D92" s="280" t="e">
        <f>B92-(((B92-C92)/(C90-B90))*(D90-B90))</f>
        <v>#DIV/0!</v>
      </c>
      <c r="E92" s="280"/>
      <c r="F92" s="105"/>
      <c r="G92" s="105">
        <f>IF(B90&lt;=F89,B82,IF(B90=F89,B82,IF(B90=C81,C82,IF(B90=D81,D82,IF(B90=E81,E82,IF(B90=F81,F82,IF(B90=G81,G82,IF(B90=H81,H82))))))))</f>
        <v>0</v>
      </c>
      <c r="H92" s="105">
        <f>IF(C90&lt;=F89,B82,IF(C90=F89,B82,IF(C90=C81,C82,IF(C90=D81,D82,IF(C90=E81,E82,IF(C90=F81,F82,IF(C90=G81,G82,IF(C90=H81,H82))))))))</f>
        <v>0</v>
      </c>
      <c r="I92" s="105"/>
      <c r="J92" s="57"/>
      <c r="K92" s="50"/>
      <c r="L92" s="50"/>
      <c r="M92" s="50"/>
      <c r="N92" s="50"/>
    </row>
    <row r="93" spans="1:14" ht="18.75">
      <c r="A93" s="75" t="s">
        <v>102</v>
      </c>
      <c r="B93" s="56">
        <f t="shared" si="5"/>
        <v>0</v>
      </c>
      <c r="C93" s="56">
        <f t="shared" si="5"/>
        <v>0</v>
      </c>
      <c r="D93" s="280" t="e">
        <f>B93-(((B93-C93)/(C90-B90))*(D90-B90))</f>
        <v>#DIV/0!</v>
      </c>
      <c r="E93" s="280"/>
      <c r="F93" s="105"/>
      <c r="G93" s="105">
        <f>IF(B90&lt;=F89,B83,IF(B90=F89,B83,IF(B90=C81,C83,IF(B90=D81,D83,IF(B90=E81,E83,IF(B90=F81,F83,IF(B90=G81,G83,IF(B90=H81,H83))))))))</f>
        <v>0</v>
      </c>
      <c r="H93" s="105">
        <f>IF(C90&lt;=F89,B83,IF(C90=F89,B83,IF(C90=C81,C83,IF(C90=D81,D83,IF(C90=E81,E83,IF(C90=F81,F83,IF(C90=G81,G83,IF(C90=H81,H83))))))))</f>
        <v>0</v>
      </c>
      <c r="I93" s="105"/>
      <c r="J93" s="57"/>
      <c r="K93" s="50"/>
      <c r="L93" s="50"/>
      <c r="M93" s="50"/>
      <c r="N93" s="50"/>
    </row>
    <row r="94" spans="1:14" ht="18.75">
      <c r="A94" s="75" t="s">
        <v>103</v>
      </c>
      <c r="B94" s="56">
        <f t="shared" si="5"/>
        <v>2.3599999999999999E-2</v>
      </c>
      <c r="C94" s="56">
        <f t="shared" si="5"/>
        <v>2.3599999999999999E-2</v>
      </c>
      <c r="D94" s="280" t="e">
        <f>B94-(((B94-C94)/(C90-B90))*(D90-B90))</f>
        <v>#DIV/0!</v>
      </c>
      <c r="E94" s="280"/>
      <c r="F94" s="105"/>
      <c r="G94" s="105">
        <f>IF(B90&lt;=F89,B84,IF(B90=F89,B84,IF(B90=C81,C84,IF(B90=D81,D84,IF(B90=E81,E84,IF(B90=F81,F84,IF(B90=G81,G84,IF(B90=H81,H84))))))))</f>
        <v>2.3599999999999999E-2</v>
      </c>
      <c r="H94" s="105">
        <f>IF(C90&lt;=F89,B84,IF(C90=F89,B84,IF(C90=C81,C84,IF(C90=D81,D84,IF(C90=E81,E84,IF(C90=F81,F84,IF(C90=G81,G84,IF(C90=H81,H84))))))))</f>
        <v>2.3599999999999999E-2</v>
      </c>
      <c r="I94" s="105"/>
      <c r="J94" s="57"/>
      <c r="K94" s="50"/>
      <c r="L94" s="50"/>
      <c r="M94" s="50"/>
      <c r="N94" s="50"/>
    </row>
    <row r="95" spans="1:14" ht="18.75">
      <c r="A95" s="75" t="s">
        <v>104</v>
      </c>
      <c r="B95" s="56">
        <f t="shared" si="5"/>
        <v>2.12E-2</v>
      </c>
      <c r="C95" s="56">
        <f t="shared" si="5"/>
        <v>2.12E-2</v>
      </c>
      <c r="D95" s="280" t="e">
        <f>B95-(((B95-C95)/(C90-B90))*(D90-B90))</f>
        <v>#DIV/0!</v>
      </c>
      <c r="E95" s="280"/>
      <c r="F95" s="105"/>
      <c r="G95" s="105">
        <f>IF(B90&lt;=F89,B85,IF(B90=F89,B85,IF(B90=C81,C85,IF(B90=D81,D85,IF(B90=E81,E85,IF(B90=F81,F85,IF(B90=G81,G85,IF(B90=H81,H85))))))))</f>
        <v>2.12E-2</v>
      </c>
      <c r="H95" s="105">
        <f>IF(C90&lt;=F89,B85,IF(C90=F89,B85,IF(C90=C81,C85,IF(C90=D81,D85,IF(C90=E81,E85,IF(C90=F81,F85,IF(C90=G81,G85,IF(C90=H81,H85))))))))</f>
        <v>2.12E-2</v>
      </c>
      <c r="I95" s="105"/>
      <c r="J95" s="57"/>
      <c r="K95" s="50"/>
      <c r="L95" s="50"/>
      <c r="M95" s="50"/>
      <c r="N95" s="50"/>
    </row>
    <row r="96" spans="1:14" ht="18.75">
      <c r="A96" s="75" t="s">
        <v>105</v>
      </c>
      <c r="B96" s="56">
        <f t="shared" si="5"/>
        <v>1.8800000000000001E-2</v>
      </c>
      <c r="C96" s="56">
        <f t="shared" si="5"/>
        <v>1.8800000000000001E-2</v>
      </c>
      <c r="D96" s="280" t="e">
        <f>B96-(((B96-C96)/(C90-B90))*(D90-B90))</f>
        <v>#DIV/0!</v>
      </c>
      <c r="E96" s="280"/>
      <c r="F96" s="57"/>
      <c r="G96" s="63">
        <f>IF(B90&lt;=F89,B86,IF(B90=F89,B86,IF(B90=C81,C86,IF(B90=D81,D86,IF(B90=E81,E86,IF(B90=F81,F86,IF(B90=G81,G86,IF(B90=H81,H86))))))))</f>
        <v>1.8800000000000001E-2</v>
      </c>
      <c r="H96" s="63">
        <f>IF(C90&lt;=F89,B86,IF(C90=F89,B86,IF(C90=C81,C86,IF(C90=D81,D86,IF(C90=E81,E86,IF(C90=F81,F86,IF(C90=G81,G86,IF(C90=H81,H86))))))))</f>
        <v>1.8800000000000001E-2</v>
      </c>
      <c r="I96" s="57"/>
      <c r="J96" s="57"/>
      <c r="K96" s="50"/>
      <c r="L96" s="50"/>
      <c r="M96" s="50"/>
      <c r="N96" s="50"/>
    </row>
    <row r="97" spans="1:14" ht="18.75">
      <c r="A97" s="58"/>
      <c r="B97" s="57"/>
      <c r="C97" s="57"/>
      <c r="D97" s="57"/>
      <c r="E97" s="57"/>
      <c r="F97" s="57"/>
      <c r="G97" s="57"/>
      <c r="H97" s="57"/>
      <c r="I97" s="57"/>
      <c r="J97" s="57"/>
      <c r="K97" s="50"/>
      <c r="L97" s="50"/>
      <c r="M97" s="50"/>
      <c r="N97" s="50"/>
    </row>
    <row r="98" spans="1:14" ht="18.75">
      <c r="A98" s="51" t="s">
        <v>109</v>
      </c>
      <c r="B98" s="74"/>
      <c r="C98" s="74"/>
      <c r="D98" s="74"/>
      <c r="E98" s="74"/>
      <c r="F98" s="74"/>
      <c r="G98" s="74"/>
      <c r="H98" s="74"/>
      <c r="I98" s="74"/>
      <c r="J98" s="74"/>
      <c r="K98" s="50"/>
      <c r="L98" s="50"/>
      <c r="M98" s="50"/>
      <c r="N98" s="50"/>
    </row>
    <row r="99" spans="1:14" ht="18.75">
      <c r="A99" s="271" t="s">
        <v>98</v>
      </c>
      <c r="B99" s="284" t="s">
        <v>110</v>
      </c>
      <c r="C99" s="285"/>
      <c r="D99" s="285"/>
      <c r="E99" s="285"/>
      <c r="F99" s="285"/>
      <c r="G99" s="285"/>
      <c r="H99" s="285"/>
      <c r="I99" s="285"/>
      <c r="J99" s="286"/>
      <c r="K99" s="50"/>
      <c r="L99" s="50"/>
      <c r="M99" s="50"/>
      <c r="N99" s="50"/>
    </row>
    <row r="100" spans="1:14" ht="18.75">
      <c r="A100" s="271"/>
      <c r="B100" s="77" t="s">
        <v>100</v>
      </c>
      <c r="C100" s="77">
        <v>10</v>
      </c>
      <c r="D100" s="77">
        <v>20</v>
      </c>
      <c r="E100" s="77">
        <v>50</v>
      </c>
      <c r="F100" s="77">
        <v>100</v>
      </c>
      <c r="G100" s="77">
        <v>200</v>
      </c>
      <c r="H100" s="77">
        <v>500</v>
      </c>
      <c r="I100" s="77">
        <v>1000</v>
      </c>
      <c r="J100" s="77">
        <v>2000</v>
      </c>
      <c r="K100" s="50"/>
      <c r="L100" s="50"/>
      <c r="M100" s="50"/>
      <c r="N100" s="50"/>
    </row>
    <row r="101" spans="1:14" ht="18.75">
      <c r="A101" s="75" t="s">
        <v>101</v>
      </c>
      <c r="B101" s="76">
        <v>0</v>
      </c>
      <c r="C101" s="56">
        <v>4.24E-2</v>
      </c>
      <c r="D101" s="56">
        <v>3.6799999999999999E-2</v>
      </c>
      <c r="E101" s="56">
        <v>3.1E-2</v>
      </c>
      <c r="F101" s="56">
        <v>2.8199999999999999E-2</v>
      </c>
      <c r="G101" s="56">
        <v>2.5700000000000001E-2</v>
      </c>
      <c r="H101" s="56">
        <v>2.1700000000000001E-2</v>
      </c>
      <c r="I101" s="56">
        <v>1.7500000000000002E-2</v>
      </c>
      <c r="J101" s="78">
        <v>1.4999999999999999E-2</v>
      </c>
      <c r="K101" s="50"/>
      <c r="L101" s="50"/>
      <c r="M101" s="50"/>
      <c r="N101" s="50"/>
    </row>
    <row r="102" spans="1:14" ht="18.75">
      <c r="A102" s="75" t="s">
        <v>102</v>
      </c>
      <c r="B102" s="76">
        <v>0</v>
      </c>
      <c r="C102" s="56">
        <v>3.8399999999999997E-2</v>
      </c>
      <c r="D102" s="56">
        <v>3.3599999999999998E-2</v>
      </c>
      <c r="E102" s="56">
        <v>2.8199999999999999E-2</v>
      </c>
      <c r="F102" s="56">
        <v>2.5399999999999999E-2</v>
      </c>
      <c r="G102" s="56">
        <v>2.3400000000000001E-2</v>
      </c>
      <c r="H102" s="56">
        <v>1.9599999999999999E-2</v>
      </c>
      <c r="I102" s="56">
        <v>1.5900000000000001E-2</v>
      </c>
      <c r="J102" s="78">
        <v>1.38E-2</v>
      </c>
      <c r="K102" s="50"/>
      <c r="L102" s="50"/>
      <c r="M102" s="50"/>
      <c r="N102" s="50"/>
    </row>
    <row r="103" spans="1:14" ht="18.75">
      <c r="A103" s="75" t="s">
        <v>103</v>
      </c>
      <c r="B103" s="56">
        <v>3.6299999999999999E-2</v>
      </c>
      <c r="C103" s="56">
        <v>3.4799999999999998E-2</v>
      </c>
      <c r="D103" s="56">
        <v>3.0099999999999998E-2</v>
      </c>
      <c r="E103" s="56">
        <v>2.5399999999999999E-2</v>
      </c>
      <c r="F103" s="56">
        <v>2.29E-2</v>
      </c>
      <c r="G103" s="56">
        <v>2.1000000000000001E-2</v>
      </c>
      <c r="H103" s="56">
        <v>1.7899999999999999E-2</v>
      </c>
      <c r="I103" s="56">
        <v>1.4500000000000001E-2</v>
      </c>
      <c r="J103" s="78">
        <v>1.24E-2</v>
      </c>
      <c r="K103" s="50"/>
      <c r="L103" s="50"/>
      <c r="M103" s="50"/>
      <c r="N103" s="50"/>
    </row>
    <row r="104" spans="1:14" ht="18.75">
      <c r="A104" s="75" t="s">
        <v>104</v>
      </c>
      <c r="B104" s="56">
        <v>3.27E-2</v>
      </c>
      <c r="C104" s="56">
        <v>3.15E-2</v>
      </c>
      <c r="D104" s="56">
        <v>2.7300000000000001E-2</v>
      </c>
      <c r="E104" s="56">
        <v>2.29E-2</v>
      </c>
      <c r="F104" s="56">
        <v>2.0799999999999999E-2</v>
      </c>
      <c r="G104" s="56">
        <v>1.9E-2</v>
      </c>
      <c r="H104" s="56">
        <v>1.6199999999999999E-2</v>
      </c>
      <c r="I104" s="56">
        <v>1.3100000000000001E-2</v>
      </c>
      <c r="J104" s="78">
        <v>1.11E-2</v>
      </c>
      <c r="K104" s="50"/>
      <c r="L104" s="50"/>
      <c r="M104" s="50"/>
      <c r="N104" s="50"/>
    </row>
    <row r="105" spans="1:14" ht="18.75">
      <c r="A105" s="75" t="s">
        <v>105</v>
      </c>
      <c r="B105" s="56">
        <v>2.9000000000000001E-2</v>
      </c>
      <c r="C105" s="56">
        <v>2.7799999999999998E-2</v>
      </c>
      <c r="D105" s="56">
        <v>2.4299999999999999E-2</v>
      </c>
      <c r="E105" s="56">
        <v>1.9099999999999999E-2</v>
      </c>
      <c r="F105" s="56">
        <v>1.6199999999999999E-2</v>
      </c>
      <c r="G105" s="56">
        <v>1.37E-2</v>
      </c>
      <c r="H105" s="56">
        <v>1.1599999999999999E-2</v>
      </c>
      <c r="I105" s="56">
        <v>9.4999999999999998E-3</v>
      </c>
      <c r="J105" s="75" t="s">
        <v>111</v>
      </c>
      <c r="K105" s="50"/>
      <c r="L105" s="50"/>
      <c r="M105" s="50"/>
      <c r="N105" s="50"/>
    </row>
    <row r="106" spans="1:14" ht="18.75">
      <c r="A106" s="58"/>
      <c r="B106" s="57"/>
      <c r="C106" s="57"/>
      <c r="D106" s="57"/>
      <c r="E106" s="57"/>
      <c r="F106" s="57"/>
      <c r="G106" s="57"/>
      <c r="H106" s="57"/>
      <c r="I106" s="57"/>
      <c r="J106" s="57"/>
      <c r="K106" s="50"/>
      <c r="L106" s="50"/>
      <c r="M106" s="50"/>
      <c r="N106" s="50"/>
    </row>
    <row r="107" spans="1:14" ht="18.75">
      <c r="A107" s="59" t="s">
        <v>79</v>
      </c>
      <c r="B107" s="57"/>
      <c r="C107" s="57"/>
      <c r="D107" s="57"/>
      <c r="E107" s="57"/>
      <c r="F107" s="57"/>
      <c r="G107" s="57"/>
      <c r="H107" s="57"/>
      <c r="I107" s="57"/>
      <c r="J107" s="57"/>
      <c r="K107" s="50"/>
      <c r="L107" s="50"/>
      <c r="M107" s="50"/>
      <c r="N107" s="50"/>
    </row>
    <row r="108" spans="1:14" ht="18.75">
      <c r="A108" s="60" t="s">
        <v>71</v>
      </c>
      <c r="B108" s="60" t="s">
        <v>80</v>
      </c>
      <c r="C108" s="60" t="s">
        <v>81</v>
      </c>
      <c r="D108" s="271" t="s">
        <v>82</v>
      </c>
      <c r="E108" s="271"/>
      <c r="F108" s="61">
        <v>7</v>
      </c>
      <c r="G108" s="271" t="s">
        <v>106</v>
      </c>
      <c r="H108" s="271"/>
      <c r="I108" s="271"/>
      <c r="J108" s="52"/>
      <c r="K108" s="50"/>
      <c r="L108" s="50"/>
      <c r="M108" s="50"/>
      <c r="N108" s="50"/>
    </row>
    <row r="109" spans="1:14" ht="18.75">
      <c r="A109" s="269" t="s">
        <v>107</v>
      </c>
      <c r="B109" s="273">
        <f>E100</f>
        <v>50</v>
      </c>
      <c r="C109" s="273">
        <f>F100</f>
        <v>100</v>
      </c>
      <c r="D109" s="274">
        <f>G109/1000000000</f>
        <v>95.31335454545453</v>
      </c>
      <c r="E109" s="274"/>
      <c r="F109" s="61">
        <f>IF(D109&lt;F108,F108,IF(AND(D109&gt;F108,D109&lt;=C100),F108,IF(AND(D109&gt;C100,D109&lt;=D100),C100,IF(AND(D109&gt;D100,D109&lt;=E100),D100,IF(AND(D109&gt;E100,D109&lt;=F100),E100,IF(AND(D109&gt;F100,D109&lt;=G100),F100,IF(AND(D109&gt;G100,D109&lt;=H100),G100)))))))</f>
        <v>50</v>
      </c>
      <c r="G109" s="275">
        <f>G13</f>
        <v>95313354545.454529</v>
      </c>
      <c r="H109" s="275"/>
      <c r="I109" s="275"/>
      <c r="J109" s="62"/>
      <c r="K109" s="50"/>
      <c r="L109" s="50"/>
      <c r="M109" s="50"/>
      <c r="N109" s="50"/>
    </row>
    <row r="110" spans="1:14" ht="18.75">
      <c r="A110" s="270"/>
      <c r="B110" s="270"/>
      <c r="C110" s="270"/>
      <c r="D110" s="277" t="s">
        <v>85</v>
      </c>
      <c r="E110" s="277"/>
      <c r="F110" s="63">
        <f>IF(D109&lt;F108,F108,IF(AND(D109&gt;F108,D109&lt;=C100),C100,IF(AND(D109&gt;C100,D109&lt;=D100),D100,IF(AND(D109&gt;D100,D109&lt;=E100),E100,IF(AND(D109&gt;E100,D109&lt;=F100),F100,IF(AND(D109&gt;F100,D109&lt;=G100),G100,IF(AND(D109&gt;G100,D109&lt;=H100),H100)))))))</f>
        <v>100</v>
      </c>
      <c r="G110" s="279" t="s">
        <v>86</v>
      </c>
      <c r="H110" s="279"/>
      <c r="I110" s="279"/>
      <c r="J110" s="64"/>
      <c r="K110" s="50"/>
      <c r="L110" s="50"/>
      <c r="M110" s="50"/>
      <c r="N110" s="50"/>
    </row>
    <row r="111" spans="1:14" ht="18.75">
      <c r="A111" s="75" t="s">
        <v>101</v>
      </c>
      <c r="B111" s="56">
        <f>E101</f>
        <v>3.1E-2</v>
      </c>
      <c r="C111" s="56">
        <f>F101</f>
        <v>2.8199999999999999E-2</v>
      </c>
      <c r="D111" s="280">
        <f>B111-(((B111-C111)/(C109-B109))*(D109-B109))</f>
        <v>2.8462452145454547E-2</v>
      </c>
      <c r="E111" s="280"/>
      <c r="F111" s="69"/>
      <c r="G111" s="63">
        <f>IF(B109&lt;=F108,B101,IF(B109=F108,B101,IF(B109=C100,C101,IF(B109=D100,D101,IF(B109=E100,E101,IF(B109=F100,F101,IF(B109=G100,G101,IF(B109=H100,H101))))))))</f>
        <v>3.1E-2</v>
      </c>
      <c r="H111" s="63">
        <f>IF(C109&lt;=F108,B101,IF(C109=F108,B101,IF(C109=C100,C101,IF(C109=D100,D101,IF(C109=E100,E101,IF(C109=F100,F101,IF(C109=G100,G101,IF(C109=H100,H101))))))))</f>
        <v>2.8199999999999999E-2</v>
      </c>
      <c r="I111" s="57"/>
      <c r="J111" s="57"/>
      <c r="K111" s="50"/>
      <c r="L111" s="50"/>
      <c r="M111" s="50"/>
      <c r="N111" s="50"/>
    </row>
    <row r="112" spans="1:14" ht="18.75">
      <c r="A112" s="75" t="s">
        <v>102</v>
      </c>
      <c r="B112" s="56">
        <f t="shared" ref="B112:B114" si="6">E102</f>
        <v>2.8199999999999999E-2</v>
      </c>
      <c r="C112" s="56">
        <f t="shared" ref="C112:C115" si="7">F102</f>
        <v>2.5399999999999999E-2</v>
      </c>
      <c r="D112" s="280">
        <f>B112-(((B112-C112)/(C109-B109))*(D109-B109))</f>
        <v>2.5662452145454547E-2</v>
      </c>
      <c r="E112" s="280"/>
      <c r="F112" s="69"/>
      <c r="G112" s="63">
        <f>IF(B109&lt;=F108,B102,IF(B109=F108,B102,IF(B109=C100,C102,IF(B109=D100,D102,IF(B109=E100,E102,IF(B109=F100,F102,IF(B109=G100,G102,IF(B109=H100,H102))))))))</f>
        <v>2.8199999999999999E-2</v>
      </c>
      <c r="H112" s="63">
        <f>IF(C109&lt;=F108,B102,IF(C109=F108,B102,IF(C109=C100,C102,IF(C109=D100,D102,IF(C109=E100,E102,IF(C109=F100,F102,IF(C109=G100,G102,IF(C109=H100,H102))))))))</f>
        <v>2.5399999999999999E-2</v>
      </c>
      <c r="I112" s="57"/>
      <c r="J112" s="57"/>
      <c r="K112" s="50"/>
      <c r="L112" s="50"/>
      <c r="M112" s="50"/>
      <c r="N112" s="50"/>
    </row>
    <row r="113" spans="1:14" ht="18.75">
      <c r="A113" s="75" t="s">
        <v>103</v>
      </c>
      <c r="B113" s="56">
        <f t="shared" si="6"/>
        <v>2.5399999999999999E-2</v>
      </c>
      <c r="C113" s="56">
        <f t="shared" si="7"/>
        <v>2.29E-2</v>
      </c>
      <c r="D113" s="280">
        <f>B113-(((B113-C113)/(C109-B109))*(D109-B109))</f>
        <v>2.3134332272727272E-2</v>
      </c>
      <c r="E113" s="280"/>
      <c r="F113" s="102">
        <f>D113</f>
        <v>2.3134332272727272E-2</v>
      </c>
      <c r="G113" s="63">
        <f>IF(B109&lt;=F108,B103,IF(B109=F108,B103,IF(B109=C100,C103,IF(B109=D100,D103,IF(B109=E100,E103,IF(B109=F100,F103,IF(B109=G100,G103,IF(B109=H100,H103))))))))</f>
        <v>2.5399999999999999E-2</v>
      </c>
      <c r="H113" s="63">
        <f>IF(C109&lt;=F108,B103,IF(C109=F108,B103,IF(C109=C100,C103,IF(C109=D100,D103,IF(C109=E100,E103,IF(C109=F100,F103,IF(C109=G100,G103,IF(C109=H100,H103))))))))</f>
        <v>2.29E-2</v>
      </c>
      <c r="I113" s="57"/>
      <c r="J113" s="57"/>
      <c r="K113" s="50"/>
      <c r="L113" s="50"/>
      <c r="M113" s="50"/>
      <c r="N113" s="50"/>
    </row>
    <row r="114" spans="1:14" ht="18.75">
      <c r="A114" s="75" t="s">
        <v>104</v>
      </c>
      <c r="B114" s="56">
        <f t="shared" si="6"/>
        <v>2.29E-2</v>
      </c>
      <c r="C114" s="56">
        <f t="shared" si="7"/>
        <v>2.0799999999999999E-2</v>
      </c>
      <c r="D114" s="280">
        <f>B114-(((B114-C114)/(C109-B109))*(D109-B109))</f>
        <v>2.099683910909091E-2</v>
      </c>
      <c r="E114" s="280"/>
      <c r="F114" s="69"/>
      <c r="G114" s="63">
        <f>IF(B109&lt;=F108,B104,IF(B109=F108,B104,IF(B109=C100,C104,IF(B109=D100,D104,IF(B109=E100,E104,IF(B109=F100,F104,IF(B109=G100,G104,IF(B109=H100,H104))))))))</f>
        <v>2.29E-2</v>
      </c>
      <c r="H114" s="63">
        <f>IF(C109&lt;=F108,B104,IF(C109=F108,B104,IF(C109=C100,C104,IF(C109=D100,D104,IF(C109=E100,E104,IF(C109=F100,F104,IF(C109=G100,G104,IF(C109=H100,H104))))))))</f>
        <v>2.0799999999999999E-2</v>
      </c>
      <c r="I114" s="57"/>
      <c r="J114" s="57"/>
      <c r="K114" s="50"/>
      <c r="L114" s="50"/>
      <c r="M114" s="50"/>
      <c r="N114" s="50"/>
    </row>
    <row r="115" spans="1:14" ht="18.75">
      <c r="A115" s="75" t="s">
        <v>105</v>
      </c>
      <c r="B115" s="56">
        <f>E105</f>
        <v>1.9099999999999999E-2</v>
      </c>
      <c r="C115" s="56">
        <f t="shared" si="7"/>
        <v>1.6199999999999999E-2</v>
      </c>
      <c r="D115" s="280">
        <f>B115-(((B115-C115)/(C109-B109))*(D109-B109))</f>
        <v>1.6471825436363635E-2</v>
      </c>
      <c r="E115" s="280"/>
      <c r="F115" s="57"/>
      <c r="G115" s="63">
        <f>IF(B109&lt;=F108,B105,IF(B109=F108,B105,IF(B109=C100,C105,IF(B109=D100,D105,IF(B109=E100,E105,IF(B109=F100,F105,IF(B109=G100,G105,IF(B109=H100,H105))))))))</f>
        <v>1.9099999999999999E-2</v>
      </c>
      <c r="H115" s="63">
        <f>IF(C109&lt;=F108,B105,IF(C109=F108,B105,IF(C109=C100,C105,IF(C109=D100,D105,IF(C109=E100,E105,IF(C109=F100,F105,IF(C109=G100,G105,IF(C109=H100,H105))))))))</f>
        <v>1.6199999999999999E-2</v>
      </c>
      <c r="I115" s="57"/>
      <c r="J115" s="57"/>
      <c r="K115" s="50"/>
      <c r="L115" s="50"/>
      <c r="M115" s="50"/>
      <c r="N115" s="50"/>
    </row>
    <row r="116" spans="1:14" ht="18.75">
      <c r="A116" s="58"/>
      <c r="B116" s="57"/>
      <c r="C116" s="57"/>
      <c r="D116" s="57"/>
      <c r="E116" s="57"/>
      <c r="F116" s="57"/>
      <c r="G116" s="57"/>
      <c r="H116" s="57"/>
      <c r="I116" s="57"/>
      <c r="J116" s="57"/>
      <c r="K116" s="50"/>
      <c r="L116" s="50"/>
      <c r="M116" s="50"/>
      <c r="N116" s="50"/>
    </row>
    <row r="117" spans="1:14" ht="18.75">
      <c r="A117" s="104" t="s">
        <v>79</v>
      </c>
      <c r="B117" s="105"/>
      <c r="C117" s="105"/>
      <c r="D117" s="105"/>
      <c r="E117" s="105"/>
      <c r="F117" s="105"/>
      <c r="G117" s="105"/>
      <c r="H117" s="105"/>
      <c r="I117" s="105"/>
      <c r="J117" s="105"/>
      <c r="K117" s="50"/>
      <c r="L117" s="50"/>
      <c r="M117" s="50"/>
      <c r="N117" s="50"/>
    </row>
    <row r="118" spans="1:14" ht="18.75">
      <c r="A118" s="60" t="s">
        <v>71</v>
      </c>
      <c r="B118" s="60" t="s">
        <v>81</v>
      </c>
      <c r="C118" s="60" t="s">
        <v>80</v>
      </c>
      <c r="D118" s="271" t="s">
        <v>82</v>
      </c>
      <c r="E118" s="271"/>
      <c r="F118" s="106">
        <v>7</v>
      </c>
      <c r="G118" s="281" t="s">
        <v>106</v>
      </c>
      <c r="H118" s="281"/>
      <c r="I118" s="281"/>
      <c r="J118" s="105"/>
      <c r="K118" s="50"/>
      <c r="L118" s="50"/>
      <c r="M118" s="50"/>
      <c r="N118" s="50"/>
    </row>
    <row r="119" spans="1:14" ht="18.75">
      <c r="A119" s="269" t="s">
        <v>107</v>
      </c>
      <c r="B119" s="273">
        <f>D100</f>
        <v>20</v>
      </c>
      <c r="C119" s="273">
        <f>E100</f>
        <v>50</v>
      </c>
      <c r="D119" s="274">
        <f>G119/1000000000</f>
        <v>24.516749999999998</v>
      </c>
      <c r="E119" s="274"/>
      <c r="F119" s="106">
        <f>IF(D119&lt;F118,F118,IF(AND(D119&gt;F118,D119&lt;=C110),F118,IF(AND(D119&gt;C110,D119&lt;=D110),C110,IF(AND(D119&gt;D110,D119&lt;=E110),D110,IF(AND(D119&gt;E110,D119&lt;=F110),E110,IF(AND(D119&gt;F110,D119&lt;=G110),F110,IF(AND(D119&gt;G110,D119&lt;=H110),G110)))))))</f>
        <v>0</v>
      </c>
      <c r="G119" s="276">
        <f>'[1]2.1. CP DAU TU NHA O THAP TANG'!D4*1000</f>
        <v>24516750000</v>
      </c>
      <c r="H119" s="276"/>
      <c r="I119" s="276"/>
      <c r="J119" s="105"/>
      <c r="K119" s="50"/>
      <c r="L119" s="50"/>
      <c r="M119" s="50"/>
      <c r="N119" s="50"/>
    </row>
    <row r="120" spans="1:14" ht="18.75">
      <c r="A120" s="270"/>
      <c r="B120" s="270"/>
      <c r="C120" s="270"/>
      <c r="D120" s="277" t="s">
        <v>85</v>
      </c>
      <c r="E120" s="277"/>
      <c r="F120" s="105" t="str">
        <f>IF(D119&lt;F118,F118,IF(AND(D119&gt;F118,D119&lt;=C110),C110,IF(AND(D119&gt;C110,D119&lt;=D110),D110,IF(AND(D119&gt;D110,D119&lt;=E110),E110,IF(AND(D119&gt;E110,D119&lt;=F110),F110,IF(AND(D119&gt;F110,D119&lt;=G110),G110,IF(AND(D119&gt;G110,D119&lt;=H110),H110)))))))</f>
        <v>Tỷ lệ sau nội suy</v>
      </c>
      <c r="G120" s="278" t="s">
        <v>86</v>
      </c>
      <c r="H120" s="278"/>
      <c r="I120" s="278"/>
      <c r="J120" s="105"/>
      <c r="K120" s="50"/>
      <c r="L120" s="50"/>
      <c r="M120" s="50"/>
      <c r="N120" s="50"/>
    </row>
    <row r="121" spans="1:14" ht="18.75">
      <c r="A121" s="75" t="s">
        <v>101</v>
      </c>
      <c r="B121" s="56">
        <f t="shared" ref="B121:C125" si="8">D101</f>
        <v>3.6799999999999999E-2</v>
      </c>
      <c r="C121" s="56">
        <f t="shared" si="8"/>
        <v>3.1E-2</v>
      </c>
      <c r="D121" s="280">
        <f>B121-(((B121-C121)/(C119-B119))*(D119-B119))</f>
        <v>3.5926761666666668E-2</v>
      </c>
      <c r="E121" s="280"/>
      <c r="F121" s="108"/>
      <c r="G121" s="105" t="b">
        <f>IF(B119&lt;=F118,B111,IF(B119=F118,B111,IF(B119=C110,C111,IF(B119=D110,D111,IF(B119=E110,E111,IF(B119=F110,F111,IF(B119=G110,G111,IF(B119=H110,H111))))))))</f>
        <v>0</v>
      </c>
      <c r="H121" s="105" t="b">
        <f>IF(C119&lt;=F118,B111,IF(C119=F118,B111,IF(C119=C110,C111,IF(C119=D110,D111,IF(C119=E110,E111,IF(C119=F110,F111,IF(C119=G110,G111,IF(C119=H110,H111))))))))</f>
        <v>0</v>
      </c>
      <c r="I121" s="105"/>
      <c r="J121" s="105"/>
      <c r="K121" s="50"/>
      <c r="L121" s="50"/>
      <c r="M121" s="50"/>
      <c r="N121" s="50"/>
    </row>
    <row r="122" spans="1:14" ht="18.75">
      <c r="A122" s="75" t="s">
        <v>102</v>
      </c>
      <c r="B122" s="56">
        <f t="shared" si="8"/>
        <v>3.3599999999999998E-2</v>
      </c>
      <c r="C122" s="56">
        <f t="shared" si="8"/>
        <v>2.8199999999999999E-2</v>
      </c>
      <c r="D122" s="280">
        <f>B122-(((B122-C122)/(C119-B119))*(D119-B119))</f>
        <v>3.2786984999999998E-2</v>
      </c>
      <c r="E122" s="280"/>
      <c r="F122" s="112"/>
      <c r="G122" s="105" t="b">
        <f>IF(B119&lt;=F118,B112,IF(B119=F118,B112,IF(B119=C110,C112,IF(B119=D110,D112,IF(B119=E110,E112,IF(B119=F110,F112,IF(B119=G110,G112,IF(B119=H110,H112))))))))</f>
        <v>0</v>
      </c>
      <c r="H122" s="105" t="b">
        <f>IF(C119&lt;=F118,B112,IF(C119=F118,B112,IF(C119=C110,C112,IF(C119=D110,D112,IF(C119=E110,E112,IF(C119=F110,F112,IF(C119=G110,G112,IF(C119=H110,H112))))))))</f>
        <v>0</v>
      </c>
      <c r="I122" s="105"/>
      <c r="J122" s="105"/>
      <c r="K122" s="50"/>
      <c r="L122" s="50"/>
      <c r="M122" s="50"/>
      <c r="N122" s="50"/>
    </row>
    <row r="123" spans="1:14" ht="18.75">
      <c r="A123" s="75" t="s">
        <v>103</v>
      </c>
      <c r="B123" s="56">
        <f t="shared" si="8"/>
        <v>3.0099999999999998E-2</v>
      </c>
      <c r="C123" s="56">
        <f t="shared" si="8"/>
        <v>2.5399999999999999E-2</v>
      </c>
      <c r="D123" s="280">
        <f>B123-(((B123-C123)/(C119-B119))*(D119-B119))</f>
        <v>2.9392375833333331E-2</v>
      </c>
      <c r="E123" s="280"/>
      <c r="F123" s="101">
        <f>D123</f>
        <v>2.9392375833333331E-2</v>
      </c>
      <c r="G123" s="105" t="b">
        <f>IF(B119&lt;=F118,B113,IF(B119=F118,B113,IF(B119=C110,C113,IF(B119=D110,D113,IF(B119=E110,E113,IF(B119=F110,F113,IF(B119=G110,G113,IF(B119=H110,H113))))))))</f>
        <v>0</v>
      </c>
      <c r="H123" s="105" t="b">
        <f>IF(C119&lt;=F118,B113,IF(C119=F118,B113,IF(C119=C110,C113,IF(C119=D110,D113,IF(C119=E110,E113,IF(C119=F110,F113,IF(C119=G110,G113,IF(C119=H110,H113))))))))</f>
        <v>0</v>
      </c>
      <c r="I123" s="105"/>
      <c r="J123" s="105"/>
      <c r="K123" s="50"/>
      <c r="L123" s="50"/>
      <c r="M123" s="50"/>
      <c r="N123" s="50"/>
    </row>
    <row r="124" spans="1:14" ht="18.75">
      <c r="A124" s="75" t="s">
        <v>104</v>
      </c>
      <c r="B124" s="56">
        <f t="shared" si="8"/>
        <v>2.7300000000000001E-2</v>
      </c>
      <c r="C124" s="56">
        <f t="shared" si="8"/>
        <v>2.29E-2</v>
      </c>
      <c r="D124" s="280">
        <f>B124-(((B124-C124)/(C119-B119))*(D119-B119))</f>
        <v>2.6637543333333336E-2</v>
      </c>
      <c r="E124" s="280"/>
      <c r="F124" s="101"/>
      <c r="G124" s="105" t="b">
        <f>IF(B119&lt;=F118,B114,IF(B119=F118,B114,IF(B119=C110,C114,IF(B119=D110,D114,IF(B119=E110,E114,IF(B119=F110,F114,IF(B119=G110,G114,IF(B119=H110,H114))))))))</f>
        <v>0</v>
      </c>
      <c r="H124" s="105" t="b">
        <f>IF(C119&lt;=F118,B114,IF(C119=F118,B114,IF(C119=C110,C114,IF(C119=D110,D114,IF(C119=E110,E114,IF(C119=F110,F114,IF(C119=G110,G114,IF(C119=H110,H114))))))))</f>
        <v>0</v>
      </c>
      <c r="I124" s="105"/>
      <c r="J124" s="105"/>
      <c r="K124" s="50"/>
      <c r="L124" s="50"/>
      <c r="M124" s="50"/>
      <c r="N124" s="50"/>
    </row>
    <row r="125" spans="1:14" ht="18.75">
      <c r="A125" s="75" t="s">
        <v>105</v>
      </c>
      <c r="B125" s="56">
        <f t="shared" si="8"/>
        <v>2.4299999999999999E-2</v>
      </c>
      <c r="C125" s="56">
        <f t="shared" si="8"/>
        <v>1.9099999999999999E-2</v>
      </c>
      <c r="D125" s="280">
        <f>B125-(((B125-C125)/(C119-B119))*(D119-B119))</f>
        <v>2.3517096666666664E-2</v>
      </c>
      <c r="E125" s="280"/>
      <c r="F125" s="105"/>
      <c r="G125" s="105" t="b">
        <f>IF(B119&lt;=F118,B115,IF(B119=F118,B115,IF(B119=C110,C115,IF(B119=D110,D115,IF(B119=E110,E115,IF(B119=F110,F115,IF(B119=G110,G115,IF(B119=H110,H115))))))))</f>
        <v>0</v>
      </c>
      <c r="H125" s="105" t="b">
        <f>IF(C119&lt;=F118,B115,IF(C119=F118,B115,IF(C119=C110,C115,IF(C119=D110,D115,IF(C119=E110,E115,IF(C119=F110,F115,IF(C119=G110,G115,IF(C119=H110,H115))))))))</f>
        <v>0</v>
      </c>
      <c r="I125" s="105"/>
      <c r="J125" s="105"/>
      <c r="K125" s="50"/>
      <c r="L125" s="50"/>
      <c r="M125" s="50"/>
      <c r="N125" s="50"/>
    </row>
    <row r="126" spans="1:14" ht="18.75">
      <c r="A126" s="118" t="s">
        <v>112</v>
      </c>
      <c r="B126" s="67"/>
      <c r="C126" s="67"/>
      <c r="D126" s="68"/>
      <c r="E126" s="68"/>
      <c r="F126" s="105"/>
      <c r="G126" s="105"/>
      <c r="H126" s="105"/>
      <c r="I126" s="105"/>
      <c r="J126" s="105"/>
      <c r="K126" s="50"/>
      <c r="L126" s="50"/>
      <c r="M126" s="50"/>
      <c r="N126" s="50"/>
    </row>
    <row r="127" spans="1:14" ht="18.75">
      <c r="A127" s="79"/>
      <c r="B127" s="67"/>
      <c r="C127" s="67"/>
      <c r="D127" s="68"/>
      <c r="E127" s="68"/>
      <c r="F127" s="105"/>
      <c r="G127" s="105"/>
      <c r="H127" s="105"/>
      <c r="I127" s="105"/>
      <c r="J127" s="105"/>
      <c r="K127" s="50"/>
      <c r="L127" s="50"/>
      <c r="M127" s="50"/>
      <c r="N127" s="50"/>
    </row>
    <row r="128" spans="1:14" ht="18.75">
      <c r="A128" s="271" t="s">
        <v>98</v>
      </c>
      <c r="B128" s="284" t="s">
        <v>110</v>
      </c>
      <c r="C128" s="285"/>
      <c r="D128" s="285"/>
      <c r="E128" s="285"/>
      <c r="F128" s="285"/>
      <c r="G128" s="285"/>
      <c r="H128" s="285"/>
      <c r="I128" s="285"/>
      <c r="J128" s="286"/>
      <c r="K128" s="50"/>
      <c r="L128" s="50"/>
      <c r="M128" s="50"/>
      <c r="N128" s="50"/>
    </row>
    <row r="129" spans="1:14" ht="18.75">
      <c r="A129" s="271"/>
      <c r="B129" s="77" t="s">
        <v>113</v>
      </c>
      <c r="C129" s="77">
        <v>10</v>
      </c>
      <c r="D129" s="77">
        <v>20</v>
      </c>
      <c r="E129" s="77">
        <v>50</v>
      </c>
      <c r="F129" s="77">
        <v>100</v>
      </c>
      <c r="G129" s="77">
        <v>200</v>
      </c>
      <c r="H129" s="77">
        <v>500</v>
      </c>
      <c r="I129" s="77">
        <v>1000</v>
      </c>
      <c r="J129" s="77">
        <v>2000</v>
      </c>
      <c r="K129" s="50"/>
      <c r="L129" s="50"/>
      <c r="M129" s="50"/>
      <c r="N129" s="50"/>
    </row>
    <row r="130" spans="1:14" ht="18.75">
      <c r="A130" s="75" t="s">
        <v>101</v>
      </c>
      <c r="B130" s="76">
        <v>0</v>
      </c>
      <c r="C130" s="56">
        <v>3.0200000000000001E-2</v>
      </c>
      <c r="D130" s="56">
        <v>2.6100000000000002E-2</v>
      </c>
      <c r="E130" s="56">
        <v>2.1999999999999999E-2</v>
      </c>
      <c r="F130" s="56">
        <v>1.9900000000000001E-2</v>
      </c>
      <c r="G130" s="56">
        <v>1.8200000000000001E-2</v>
      </c>
      <c r="H130" s="56">
        <v>1.5299999999999999E-2</v>
      </c>
      <c r="I130" s="56">
        <v>1.2999999999999999E-2</v>
      </c>
      <c r="J130" s="78">
        <v>1.11E-2</v>
      </c>
      <c r="K130" s="50"/>
      <c r="L130" s="50"/>
      <c r="M130" s="50"/>
      <c r="N130" s="50"/>
    </row>
    <row r="131" spans="1:14" ht="18.75">
      <c r="A131" s="75" t="s">
        <v>102</v>
      </c>
      <c r="B131" s="76">
        <v>0</v>
      </c>
      <c r="C131" s="56">
        <v>2.7400000000000001E-2</v>
      </c>
      <c r="D131" s="56">
        <v>2.3800000000000002E-2</v>
      </c>
      <c r="E131" s="56">
        <v>2.0299999999999999E-2</v>
      </c>
      <c r="F131" s="56">
        <v>1.8100000000000002E-2</v>
      </c>
      <c r="G131" s="56">
        <v>1.6500000000000001E-2</v>
      </c>
      <c r="H131" s="56">
        <v>1.3100000000000001E-2</v>
      </c>
      <c r="I131" s="56">
        <v>1.11E-2</v>
      </c>
      <c r="J131" s="78">
        <v>9.4000000000000004E-3</v>
      </c>
      <c r="K131" s="50"/>
      <c r="L131" s="50"/>
      <c r="M131" s="50"/>
      <c r="N131" s="50"/>
    </row>
    <row r="132" spans="1:14" ht="18.75">
      <c r="A132" s="75" t="s">
        <v>103</v>
      </c>
      <c r="B132" s="56">
        <v>2.58E-2</v>
      </c>
      <c r="C132" s="56">
        <v>2.4799999999999999E-2</v>
      </c>
      <c r="D132" s="56">
        <v>2.1499999999999998E-2</v>
      </c>
      <c r="E132" s="56">
        <v>1.8100000000000002E-2</v>
      </c>
      <c r="F132" s="56">
        <v>1.6400000000000001E-2</v>
      </c>
      <c r="G132" s="56">
        <v>1.5100000000000001E-2</v>
      </c>
      <c r="H132" s="56">
        <v>1.21E-2</v>
      </c>
      <c r="I132" s="56">
        <v>1.0200000000000001E-2</v>
      </c>
      <c r="J132" s="78">
        <v>8.6999999999999994E-3</v>
      </c>
      <c r="K132" s="50"/>
      <c r="L132" s="50"/>
      <c r="M132" s="50"/>
      <c r="N132" s="50"/>
    </row>
    <row r="133" spans="1:14" ht="18.75">
      <c r="A133" s="75" t="s">
        <v>104</v>
      </c>
      <c r="B133" s="56">
        <v>2.3199999999999998E-2</v>
      </c>
      <c r="C133" s="56">
        <v>2.23E-2</v>
      </c>
      <c r="D133" s="56">
        <v>1.9400000000000001E-2</v>
      </c>
      <c r="E133" s="56">
        <v>1.6199999999999999E-2</v>
      </c>
      <c r="F133" s="56">
        <v>1.4800000000000001E-2</v>
      </c>
      <c r="G133" s="56">
        <v>1.29E-2</v>
      </c>
      <c r="H133" s="56">
        <v>1.17E-2</v>
      </c>
      <c r="I133" s="56">
        <v>9.9000000000000008E-3</v>
      </c>
      <c r="J133" s="78">
        <v>8.3999999999999995E-3</v>
      </c>
      <c r="K133" s="50"/>
      <c r="L133" s="50"/>
      <c r="M133" s="50"/>
      <c r="N133" s="50"/>
    </row>
    <row r="134" spans="1:14" ht="18.75">
      <c r="A134" s="75" t="s">
        <v>105</v>
      </c>
      <c r="B134" s="56">
        <v>2.07E-2</v>
      </c>
      <c r="C134" s="56">
        <v>1.9800000000000002E-2</v>
      </c>
      <c r="D134" s="56">
        <v>1.72E-2</v>
      </c>
      <c r="E134" s="56">
        <v>1.35E-2</v>
      </c>
      <c r="F134" s="56">
        <v>1.23E-2</v>
      </c>
      <c r="G134" s="56">
        <v>9.1999999999999998E-3</v>
      </c>
      <c r="H134" s="56">
        <v>8.8999999999999999E-3</v>
      </c>
      <c r="I134" s="56">
        <v>7.6E-3</v>
      </c>
      <c r="J134" s="75">
        <v>0.64</v>
      </c>
      <c r="K134" s="50"/>
      <c r="L134" s="50"/>
      <c r="M134" s="50"/>
      <c r="N134" s="50"/>
    </row>
    <row r="135" spans="1:14" ht="18.75">
      <c r="A135" s="58"/>
      <c r="B135" s="57"/>
      <c r="C135" s="57"/>
      <c r="D135" s="57"/>
      <c r="E135" s="57"/>
      <c r="F135" s="57"/>
      <c r="G135" s="57"/>
      <c r="H135" s="57"/>
      <c r="I135" s="57"/>
      <c r="J135" s="57"/>
      <c r="K135" s="50"/>
      <c r="L135" s="50"/>
      <c r="M135" s="50"/>
      <c r="N135" s="50"/>
    </row>
    <row r="136" spans="1:14" ht="18.75">
      <c r="A136" s="104" t="s">
        <v>79</v>
      </c>
      <c r="B136" s="105"/>
      <c r="C136" s="105"/>
      <c r="D136" s="105"/>
      <c r="E136" s="105"/>
      <c r="F136" s="105"/>
      <c r="G136" s="105"/>
      <c r="H136" s="105"/>
      <c r="I136" s="105"/>
      <c r="J136" s="57"/>
      <c r="K136" s="50"/>
      <c r="L136" s="50"/>
      <c r="M136" s="50"/>
      <c r="N136" s="50"/>
    </row>
    <row r="137" spans="1:14" ht="18.75">
      <c r="A137" s="60" t="s">
        <v>71</v>
      </c>
      <c r="B137" s="60" t="s">
        <v>81</v>
      </c>
      <c r="C137" s="60" t="s">
        <v>80</v>
      </c>
      <c r="D137" s="271" t="s">
        <v>82</v>
      </c>
      <c r="E137" s="271"/>
      <c r="F137" s="106">
        <v>7</v>
      </c>
      <c r="G137" s="281" t="s">
        <v>106</v>
      </c>
      <c r="H137" s="281"/>
      <c r="I137" s="281"/>
      <c r="J137" s="52"/>
      <c r="K137" s="50"/>
      <c r="L137" s="50"/>
      <c r="M137" s="50"/>
      <c r="N137" s="50"/>
    </row>
    <row r="138" spans="1:14" ht="18.75">
      <c r="A138" s="269" t="s">
        <v>107</v>
      </c>
      <c r="B138" s="273">
        <v>7</v>
      </c>
      <c r="C138" s="273">
        <f>C129</f>
        <v>10</v>
      </c>
      <c r="D138" s="274">
        <f>G138/1000000000</f>
        <v>8.1694200000000006</v>
      </c>
      <c r="E138" s="274"/>
      <c r="F138" s="106">
        <f>IF(D138&lt;F137,F137,IF(AND(D138&gt;F137,D138&lt;=C129),F137,IF(AND(D138&gt;C129,D138&lt;=D129),C129,IF(AND(D138&gt;D129,D138&lt;=E129),D129,IF(AND(D138&gt;E129,D138&lt;=F129),E129,IF(AND(D138&gt;F129,D138&lt;=G129),F129,IF(AND(D138&gt;G129,D138&lt;=H129),G129)))))))</f>
        <v>7</v>
      </c>
      <c r="G138" s="276">
        <f>'[2]2.1.Chi tiet TMDT DA'!D11</f>
        <v>8169420000</v>
      </c>
      <c r="H138" s="276"/>
      <c r="I138" s="276"/>
      <c r="J138" s="62"/>
      <c r="K138" s="50"/>
      <c r="L138" s="50"/>
      <c r="M138" s="50"/>
      <c r="N138" s="50"/>
    </row>
    <row r="139" spans="1:14" ht="18.75">
      <c r="A139" s="270"/>
      <c r="B139" s="270"/>
      <c r="C139" s="270"/>
      <c r="D139" s="277" t="s">
        <v>85</v>
      </c>
      <c r="E139" s="277"/>
      <c r="F139" s="105">
        <f>IF(D138&lt;F137,F137,IF(AND(D138&gt;F137,D138&lt;=C129),C129,IF(AND(D138&gt;C129,D138&lt;=D129),D129,IF(AND(D138&gt;D129,D138&lt;=E129),E129,IF(AND(D138&gt;E129,D138&lt;=F129),F129,IF(AND(D138&gt;F129,D138&lt;=G129),G129,IF(AND(D138&gt;G129,D138&lt;=H129),H129)))))))</f>
        <v>10</v>
      </c>
      <c r="G139" s="278" t="s">
        <v>86</v>
      </c>
      <c r="H139" s="278"/>
      <c r="I139" s="278"/>
      <c r="J139" s="64"/>
      <c r="K139" s="50"/>
      <c r="L139" s="50"/>
      <c r="M139" s="50"/>
      <c r="N139" s="50"/>
    </row>
    <row r="140" spans="1:14" ht="18.75">
      <c r="A140" s="75" t="s">
        <v>101</v>
      </c>
      <c r="B140" s="56">
        <f>B130</f>
        <v>0</v>
      </c>
      <c r="C140" s="56">
        <f>C130</f>
        <v>3.0200000000000001E-2</v>
      </c>
      <c r="D140" s="280">
        <f>B140-((B140-C140)/(C138-B138))*(D138-B138)</f>
        <v>1.1772161333333338E-2</v>
      </c>
      <c r="E140" s="280"/>
      <c r="F140" s="108"/>
      <c r="G140" s="105">
        <f>IF(B138&lt;=F137,B130,IF(B138=F137,B130,IF(B138=C129,C130,IF(B138=D129,D130,IF(B138=E129,E130,IF(B138=F129,F130,IF(B138=G129,G130,IF(B138=H129,H130))))))))</f>
        <v>0</v>
      </c>
      <c r="H140" s="105">
        <f>IF(C138&lt;=F137,B130,IF(C138=F137,B130,IF(C138=C129,C130,IF(C138=D129,D130,IF(C138=E129,E130,IF(C138=F129,F130,IF(C138=G129,G130,IF(C138=H129,H130))))))))</f>
        <v>3.0200000000000001E-2</v>
      </c>
      <c r="I140" s="105"/>
      <c r="J140" s="57"/>
      <c r="K140" s="50"/>
      <c r="L140" s="50"/>
      <c r="M140" s="50"/>
      <c r="N140" s="50"/>
    </row>
    <row r="141" spans="1:14" ht="18.75">
      <c r="A141" s="75" t="s">
        <v>102</v>
      </c>
      <c r="B141" s="56">
        <f t="shared" ref="B141:C144" si="9">B131</f>
        <v>0</v>
      </c>
      <c r="C141" s="56">
        <f t="shared" si="9"/>
        <v>2.7400000000000001E-2</v>
      </c>
      <c r="D141" s="280">
        <f>B141-(((B141-C141)/(C138-B138))*(D138-B138))</f>
        <v>1.0680702666666672E-2</v>
      </c>
      <c r="E141" s="280"/>
      <c r="F141" s="112"/>
      <c r="G141" s="105">
        <f>IF(B138&lt;=F137,B131,IF(B138=F137,B131,IF(B138=C129,C131,IF(B138=D129,D131,IF(B138=E129,E131,IF(B138=F129,F131,IF(B138=G129,G131,IF(B138=H129,H131))))))))</f>
        <v>0</v>
      </c>
      <c r="H141" s="105">
        <f>IF(C138&lt;=F137,B131,IF(C138=F137,B131,IF(C138=C129,C131,IF(C138=D129,D131,IF(C138=E129,E131,IF(C138=F129,F131,IF(C138=G129,G131,IF(C138=H129,H131))))))))</f>
        <v>2.7400000000000001E-2</v>
      </c>
      <c r="I141" s="105"/>
      <c r="J141" s="57"/>
      <c r="K141" s="50"/>
      <c r="L141" s="50"/>
      <c r="M141" s="50"/>
      <c r="N141" s="50"/>
    </row>
    <row r="142" spans="1:14" ht="18.75">
      <c r="A142" s="75" t="s">
        <v>103</v>
      </c>
      <c r="B142" s="56">
        <f t="shared" si="9"/>
        <v>2.58E-2</v>
      </c>
      <c r="C142" s="56">
        <f t="shared" si="9"/>
        <v>2.4799999999999999E-2</v>
      </c>
      <c r="D142" s="280">
        <f>B142-(((B142-C142)/(C138-B138))*(D138-B138))</f>
        <v>2.5410193333333334E-2</v>
      </c>
      <c r="E142" s="280"/>
      <c r="F142" s="113">
        <f>D142</f>
        <v>2.5410193333333334E-2</v>
      </c>
      <c r="G142" s="105">
        <f>IF(B138&lt;=F137,B132,IF(B138=F137,B132,IF(B138=C129,C132,IF(B138=D129,D132,IF(B138=E129,E132,IF(B138=F129,F132,IF(B138=G129,G132,IF(B138=H129,H132))))))))</f>
        <v>2.58E-2</v>
      </c>
      <c r="H142" s="105">
        <f>IF(C138&lt;=F137,B132,IF(C138=F137,B132,IF(C138=C129,C132,IF(C138=D129,D132,IF(C138=E129,E132,IF(C138=F129,F132,IF(C138=G129,G132,IF(C138=H129,H132))))))))</f>
        <v>2.4799999999999999E-2</v>
      </c>
      <c r="I142" s="105"/>
      <c r="J142" s="57"/>
      <c r="K142" s="50"/>
      <c r="L142" s="50"/>
      <c r="M142" s="50"/>
      <c r="N142" s="50"/>
    </row>
    <row r="143" spans="1:14" ht="18.75">
      <c r="A143" s="75" t="s">
        <v>104</v>
      </c>
      <c r="B143" s="56">
        <f t="shared" si="9"/>
        <v>2.3199999999999998E-2</v>
      </c>
      <c r="C143" s="56">
        <f t="shared" si="9"/>
        <v>2.23E-2</v>
      </c>
      <c r="D143" s="280">
        <f>B143-(((B143-C143)/(C138-B138))*(D138-B138))</f>
        <v>2.2849174E-2</v>
      </c>
      <c r="E143" s="280"/>
      <c r="F143" s="101"/>
      <c r="G143" s="105">
        <f>IF(B138&lt;=F137,B133,IF(B138=F137,B133,IF(B138=C129,C133,IF(B138=D129,D133,IF(B138=E129,E133,IF(B138=F129,F133,IF(B138=G129,G133,IF(B138=H129,H133))))))))</f>
        <v>2.3199999999999998E-2</v>
      </c>
      <c r="H143" s="105">
        <f>IF(C138&lt;=F137,B133,IF(C138=F137,B133,IF(C138=C129,C133,IF(C138=D129,D133,IF(C138=E129,E133,IF(C138=F129,F133,IF(C138=G129,G133,IF(C138=H129,H133))))))))</f>
        <v>2.23E-2</v>
      </c>
      <c r="I143" s="105"/>
      <c r="J143" s="57"/>
      <c r="K143" s="50"/>
      <c r="L143" s="50"/>
      <c r="M143" s="50"/>
      <c r="N143" s="50"/>
    </row>
    <row r="144" spans="1:14" ht="18.75">
      <c r="A144" s="75" t="s">
        <v>105</v>
      </c>
      <c r="B144" s="56">
        <f t="shared" si="9"/>
        <v>2.07E-2</v>
      </c>
      <c r="C144" s="56">
        <f t="shared" si="9"/>
        <v>1.9800000000000002E-2</v>
      </c>
      <c r="D144" s="280">
        <f>B144-(((B144-C144)/(C138-B138))*(D138-B138))</f>
        <v>2.0349174000000001E-2</v>
      </c>
      <c r="E144" s="280"/>
      <c r="F144" s="105"/>
      <c r="G144" s="105">
        <f>IF(B138&lt;=F137,B134,IF(B138=F137,B134,IF(B138=C129,C134,IF(B138=D129,D134,IF(B138=E129,E134,IF(B138=F129,F134,IF(B138=G129,G134,IF(B138=H129,H134))))))))</f>
        <v>2.07E-2</v>
      </c>
      <c r="H144" s="105">
        <f>IF(C138&lt;=F137,B134,IF(C138=F137,B134,IF(C138=C129,C134,IF(C138=D129,D134,IF(C138=E129,E134,IF(C138=F129,F134,IF(C138=G129,G134,IF(C138=H129,H134))))))))</f>
        <v>1.9800000000000002E-2</v>
      </c>
      <c r="I144" s="105"/>
      <c r="J144" s="57"/>
      <c r="K144" s="50"/>
      <c r="L144" s="50"/>
      <c r="M144" s="50"/>
      <c r="N144" s="50"/>
    </row>
    <row r="145" spans="1:14" ht="18.75">
      <c r="A145" s="51" t="s">
        <v>114</v>
      </c>
      <c r="B145" s="52"/>
      <c r="C145" s="52"/>
      <c r="D145" s="52"/>
      <c r="E145" s="52"/>
      <c r="F145" s="52"/>
      <c r="G145" s="52"/>
      <c r="H145" s="52"/>
      <c r="I145" s="52"/>
      <c r="J145" s="52"/>
      <c r="K145" s="50"/>
      <c r="L145" s="50"/>
      <c r="M145" s="50"/>
      <c r="N145" s="50"/>
    </row>
    <row r="146" spans="1:14" ht="18.75">
      <c r="A146" s="269" t="s">
        <v>71</v>
      </c>
      <c r="B146" s="271" t="s">
        <v>115</v>
      </c>
      <c r="C146" s="271"/>
      <c r="D146" s="271"/>
      <c r="E146" s="271"/>
      <c r="F146" s="271"/>
      <c r="G146" s="271"/>
      <c r="H146" s="271"/>
      <c r="I146" s="271"/>
      <c r="J146" s="52"/>
      <c r="K146" s="50"/>
      <c r="L146" s="50"/>
      <c r="M146" s="50"/>
      <c r="N146" s="50"/>
    </row>
    <row r="147" spans="1:14" ht="18.75">
      <c r="A147" s="270"/>
      <c r="B147" s="53" t="s">
        <v>116</v>
      </c>
      <c r="C147" s="53">
        <v>20</v>
      </c>
      <c r="D147" s="53">
        <v>50</v>
      </c>
      <c r="E147" s="53">
        <v>100</v>
      </c>
      <c r="F147" s="53">
        <v>200</v>
      </c>
      <c r="G147" s="53">
        <v>500</v>
      </c>
      <c r="H147" s="53">
        <v>1000</v>
      </c>
      <c r="I147" s="53">
        <v>2000</v>
      </c>
      <c r="J147" s="54"/>
      <c r="K147" s="50"/>
      <c r="L147" s="50"/>
      <c r="M147" s="50"/>
      <c r="N147" s="50"/>
    </row>
    <row r="148" spans="1:14" ht="18.75">
      <c r="A148" s="55" t="s">
        <v>74</v>
      </c>
      <c r="B148" s="56">
        <v>9.7999999999999997E-4</v>
      </c>
      <c r="C148" s="56">
        <v>8.0999999999999996E-4</v>
      </c>
      <c r="D148" s="56">
        <v>6.6E-4</v>
      </c>
      <c r="E148" s="56">
        <v>4.6999999999999999E-4</v>
      </c>
      <c r="F148" s="56">
        <v>3.5E-4</v>
      </c>
      <c r="G148" s="56">
        <v>2.3000000000000001E-4</v>
      </c>
      <c r="H148" s="56">
        <v>2.0000000000000001E-4</v>
      </c>
      <c r="I148" s="56">
        <v>1.7000000000000001E-4</v>
      </c>
      <c r="J148" s="57"/>
      <c r="K148" s="50"/>
      <c r="L148" s="50"/>
      <c r="M148" s="50"/>
      <c r="N148" s="50"/>
    </row>
    <row r="149" spans="1:14" ht="18.75">
      <c r="A149" s="55" t="s">
        <v>75</v>
      </c>
      <c r="B149" s="56">
        <v>1.4E-3</v>
      </c>
      <c r="C149" s="56">
        <v>1.1900000000000001E-3</v>
      </c>
      <c r="D149" s="56">
        <v>9.5E-4</v>
      </c>
      <c r="E149" s="56">
        <v>6.9999999999999999E-4</v>
      </c>
      <c r="F149" s="56">
        <v>5.5000000000000003E-4</v>
      </c>
      <c r="G149" s="56">
        <v>4.0999999999999999E-4</v>
      </c>
      <c r="H149" s="56">
        <v>3.6000000000000002E-4</v>
      </c>
      <c r="I149" s="56">
        <v>2.9E-4</v>
      </c>
      <c r="J149" s="57"/>
      <c r="K149" s="50"/>
      <c r="L149" s="50"/>
      <c r="M149" s="50"/>
      <c r="N149" s="50"/>
    </row>
    <row r="150" spans="1:14" ht="18.75">
      <c r="A150" s="55" t="s">
        <v>76</v>
      </c>
      <c r="B150" s="56">
        <v>7.3999999999999999E-4</v>
      </c>
      <c r="C150" s="56">
        <v>6.7000000000000002E-4</v>
      </c>
      <c r="D150" s="56">
        <v>5.4000000000000001E-4</v>
      </c>
      <c r="E150" s="56">
        <v>4.2000000000000002E-4</v>
      </c>
      <c r="F150" s="56">
        <v>2.9E-4</v>
      </c>
      <c r="G150" s="56">
        <v>1.8000000000000001E-4</v>
      </c>
      <c r="H150" s="56">
        <v>1.6000000000000001E-4</v>
      </c>
      <c r="I150" s="56">
        <v>1.2999999999999999E-4</v>
      </c>
      <c r="J150" s="57"/>
      <c r="K150" s="50"/>
      <c r="L150" s="50"/>
      <c r="M150" s="50"/>
      <c r="N150" s="50"/>
    </row>
    <row r="151" spans="1:14" ht="18.75">
      <c r="A151" s="55" t="s">
        <v>77</v>
      </c>
      <c r="B151" s="56">
        <v>8.8000000000000003E-4</v>
      </c>
      <c r="C151" s="56">
        <v>8.0000000000000004E-4</v>
      </c>
      <c r="D151" s="56">
        <v>6.4000000000000005E-4</v>
      </c>
      <c r="E151" s="56">
        <v>4.4999999999999999E-4</v>
      </c>
      <c r="F151" s="56">
        <v>3.4000000000000002E-4</v>
      </c>
      <c r="G151" s="56">
        <v>2.2000000000000001E-4</v>
      </c>
      <c r="H151" s="56">
        <v>1.9000000000000001E-4</v>
      </c>
      <c r="I151" s="56">
        <v>1.6000000000000001E-4</v>
      </c>
      <c r="J151" s="57"/>
      <c r="K151" s="50"/>
      <c r="L151" s="50"/>
      <c r="M151" s="50"/>
      <c r="N151" s="50"/>
    </row>
    <row r="152" spans="1:14" ht="18.75">
      <c r="A152" s="55" t="s">
        <v>78</v>
      </c>
      <c r="B152" s="56">
        <v>7.6999999999999996E-4</v>
      </c>
      <c r="C152" s="56">
        <v>6.9999999999999999E-4</v>
      </c>
      <c r="D152" s="56">
        <v>5.5999999999999995E-4</v>
      </c>
      <c r="E152" s="56">
        <v>4.4000000000000002E-4</v>
      </c>
      <c r="F152" s="56">
        <v>2.9999999999999997E-4</v>
      </c>
      <c r="G152" s="56">
        <v>1.9000000000000001E-4</v>
      </c>
      <c r="H152" s="56">
        <v>1.7000000000000001E-4</v>
      </c>
      <c r="I152" s="56">
        <v>1.3999999999999999E-4</v>
      </c>
      <c r="J152" s="57"/>
      <c r="K152" s="50"/>
      <c r="L152" s="50"/>
      <c r="M152" s="50"/>
      <c r="N152" s="50"/>
    </row>
    <row r="153" spans="1:14" ht="18.75">
      <c r="A153" s="58"/>
      <c r="B153" s="57"/>
      <c r="C153" s="57"/>
      <c r="D153" s="57"/>
      <c r="E153" s="57"/>
      <c r="F153" s="57"/>
      <c r="G153" s="57"/>
      <c r="H153" s="57"/>
      <c r="I153" s="57"/>
      <c r="J153" s="57"/>
      <c r="K153" s="50"/>
      <c r="L153" s="50"/>
      <c r="M153" s="50"/>
      <c r="N153" s="50"/>
    </row>
    <row r="154" spans="1:14" ht="18.75">
      <c r="A154" s="59" t="s">
        <v>79</v>
      </c>
      <c r="B154" s="57"/>
      <c r="C154" s="57"/>
      <c r="D154" s="57"/>
      <c r="E154" s="57"/>
      <c r="F154" s="57"/>
      <c r="G154" s="57"/>
      <c r="H154" s="57"/>
      <c r="I154" s="57"/>
      <c r="J154" s="57"/>
      <c r="K154" s="50"/>
      <c r="L154" s="50"/>
      <c r="M154" s="50"/>
      <c r="N154" s="50"/>
    </row>
    <row r="155" spans="1:14" ht="18.75">
      <c r="A155" s="60" t="s">
        <v>71</v>
      </c>
      <c r="B155" s="60" t="s">
        <v>81</v>
      </c>
      <c r="C155" s="60" t="s">
        <v>80</v>
      </c>
      <c r="D155" s="271" t="s">
        <v>82</v>
      </c>
      <c r="E155" s="271"/>
      <c r="F155" s="61">
        <v>15</v>
      </c>
      <c r="G155" s="271" t="s">
        <v>106</v>
      </c>
      <c r="H155" s="271"/>
      <c r="I155" s="271"/>
      <c r="J155" s="52"/>
      <c r="K155" s="50"/>
      <c r="L155" s="50"/>
      <c r="M155" s="50"/>
      <c r="N155" s="50"/>
    </row>
    <row r="156" spans="1:14" ht="18.75">
      <c r="A156" s="269" t="s">
        <v>117</v>
      </c>
      <c r="B156" s="273">
        <f>D147</f>
        <v>50</v>
      </c>
      <c r="C156" s="273">
        <f>E147</f>
        <v>100</v>
      </c>
      <c r="D156" s="274">
        <f>G156/1000000000</f>
        <v>95.31335454545453</v>
      </c>
      <c r="E156" s="274"/>
      <c r="F156" s="61">
        <f>IF(D156&lt;F155,F155,IF(AND(D156&gt;F155,D156&lt;=C147),F155,IF(AND(D156&gt;C147,D156&lt;=D147),C147,IF(AND(D156&gt;D147,D156&lt;=E147),D147,IF(AND(D156&gt;E147,D156&lt;=F147),E147,IF(AND(D156&gt;F147,D156&lt;=G147),F147,IF(AND(D156&gt;G147,D156&lt;=H147),G147)))))))</f>
        <v>50</v>
      </c>
      <c r="G156" s="275">
        <f>G51</f>
        <v>95313354545.454529</v>
      </c>
      <c r="H156" s="275"/>
      <c r="I156" s="275"/>
      <c r="J156" s="62"/>
      <c r="K156" s="50"/>
      <c r="L156" s="50"/>
      <c r="M156" s="50"/>
      <c r="N156" s="50"/>
    </row>
    <row r="157" spans="1:14" ht="18.75">
      <c r="A157" s="270"/>
      <c r="B157" s="270"/>
      <c r="C157" s="270"/>
      <c r="D157" s="277" t="s">
        <v>85</v>
      </c>
      <c r="E157" s="277"/>
      <c r="F157" s="63">
        <f>IF(D156&lt;F155,F155,IF(AND(D156&gt;F155,D156&lt;=C147),C147,IF(AND(D156&gt;C147,D156&lt;=D147),D147,IF(AND(D156&gt;D147,D156&lt;=E147),E147,IF(AND(D156&gt;E147,D156&lt;=F147),F147,IF(AND(D156&gt;F147,D156&lt;=G147),G147,IF(AND(D156&gt;G147,D156&lt;=H147),H147)))))))</f>
        <v>100</v>
      </c>
      <c r="G157" s="279" t="s">
        <v>86</v>
      </c>
      <c r="H157" s="279"/>
      <c r="I157" s="279"/>
      <c r="J157" s="64"/>
      <c r="K157" s="50"/>
      <c r="L157" s="50"/>
      <c r="M157" s="50"/>
      <c r="N157" s="50"/>
    </row>
    <row r="158" spans="1:14" ht="18.75">
      <c r="A158" s="55" t="s">
        <v>74</v>
      </c>
      <c r="B158" s="56">
        <f>G158</f>
        <v>6.6E-4</v>
      </c>
      <c r="C158" s="56">
        <f>E148</f>
        <v>4.6999999999999999E-4</v>
      </c>
      <c r="D158" s="280">
        <f>B158-(((B158-C158)/(C156-B156))*(D156-B156))</f>
        <v>4.8780925272727278E-4</v>
      </c>
      <c r="E158" s="280"/>
      <c r="F158" s="65"/>
      <c r="G158" s="63">
        <f>IF(B156&lt;=F155,B148,IF(B156=F155,B148,IF(B156=C147,C148,IF(B156=D147,D148,IF(B156=E147,E148,IF(B156=F147,F148,IF(B156=G147,G148,IF(B156=H147,H148))))))))</f>
        <v>6.6E-4</v>
      </c>
      <c r="H158" s="63">
        <f>IF(C156&lt;=F155,B148,IF(C156=F155,B148,IF(C156=C147,C148,IF(C156=D147,D148,IF(C156=E147,E148,IF(C156=F147,F148,IF(C156=G147,G148,IF(C156=H147,H148))))))))</f>
        <v>4.6999999999999999E-4</v>
      </c>
      <c r="I158" s="57"/>
      <c r="J158" s="57"/>
      <c r="K158" s="50"/>
      <c r="L158" s="50"/>
      <c r="M158" s="50"/>
      <c r="N158" s="50"/>
    </row>
    <row r="159" spans="1:14" ht="18.75">
      <c r="A159" s="55" t="s">
        <v>75</v>
      </c>
      <c r="B159" s="56">
        <f>G159</f>
        <v>9.5E-4</v>
      </c>
      <c r="C159" s="56">
        <f t="shared" ref="C159:C162" si="10">E149</f>
        <v>6.9999999999999999E-4</v>
      </c>
      <c r="D159" s="280">
        <f>B159-(((B159-C159)/(C156-B156))*(D156-B156))</f>
        <v>7.2343322727272733E-4</v>
      </c>
      <c r="E159" s="280"/>
      <c r="F159" s="70">
        <f>D159</f>
        <v>7.2343322727272733E-4</v>
      </c>
      <c r="G159" s="63">
        <f>IF(B156&lt;=F155,B149,IF(B156=F155,B149,IF(B156=C147,C149,IF(B156=D147,D149,IF(B156=E147,E149,IF(B156=F147,F149,IF(B156=G147,G149,IF(B156=H147,H149))))))))</f>
        <v>9.5E-4</v>
      </c>
      <c r="H159" s="63">
        <f>IF(C156&lt;=F155,B149,IF(C156=F155,B149,IF(C156=C147,C149,IF(C156=D147,D149,IF(C156=E147,E149,IF(C156=F147,F149,IF(C156=G147,G149,IF(C156=H147,H149))))))))</f>
        <v>6.9999999999999999E-4</v>
      </c>
      <c r="I159" s="57"/>
      <c r="J159" s="57"/>
      <c r="K159" s="50"/>
      <c r="L159" s="50"/>
      <c r="M159" s="50"/>
      <c r="N159" s="50"/>
    </row>
    <row r="160" spans="1:14" ht="18.75">
      <c r="A160" s="55" t="s">
        <v>76</v>
      </c>
      <c r="B160" s="56">
        <f>G160</f>
        <v>5.4000000000000001E-4</v>
      </c>
      <c r="C160" s="56">
        <f t="shared" si="10"/>
        <v>4.2000000000000002E-4</v>
      </c>
      <c r="D160" s="280">
        <f>B160-(((B160-C160)/(C156-B156))*(D156-B156))</f>
        <v>4.3124794909090911E-4</v>
      </c>
      <c r="E160" s="280"/>
      <c r="F160" s="57"/>
      <c r="G160" s="63">
        <f>IF(B156&lt;=F155,B150,IF(B156=F155,B150,IF(B156=C147,C150,IF(B156=D147,D150,IF(B156=E147,E150,IF(B156=F147,F150,IF(B156=G147,G150,IF(B156=H147,H150))))))))</f>
        <v>5.4000000000000001E-4</v>
      </c>
      <c r="H160" s="63">
        <f>IF(C156&lt;=F155,B150,IF(C156=F155,B150,IF(C156=C147,C150,IF(C156=D147,D150,IF(C156=E147,E150,IF(C156=F147,F150,IF(C156=G147,G150,IF(C156=H147,H150))))))))</f>
        <v>4.2000000000000002E-4</v>
      </c>
      <c r="I160" s="57"/>
      <c r="J160" s="57"/>
      <c r="K160" s="50"/>
      <c r="L160" s="50"/>
      <c r="M160" s="50"/>
      <c r="N160" s="50"/>
    </row>
    <row r="161" spans="1:14" ht="18.75">
      <c r="A161" s="55" t="s">
        <v>77</v>
      </c>
      <c r="B161" s="56">
        <f>G161</f>
        <v>6.4000000000000005E-4</v>
      </c>
      <c r="C161" s="56">
        <f t="shared" si="10"/>
        <v>4.4999999999999999E-4</v>
      </c>
      <c r="D161" s="280">
        <f>B161-(((B161-C161)/(C156-B156))*(D156-B156))</f>
        <v>4.6780925272727278E-4</v>
      </c>
      <c r="E161" s="280"/>
      <c r="F161" s="57"/>
      <c r="G161" s="63">
        <f>IF(B156&lt;=F155,B151,IF(B156=F155,B151,IF(B156=C147,C151,IF(B156=D147,D151,IF(B156=E147,E151,IF(B156=F147,F151,IF(B156=G147,G151,IF(B156=H147,H151))))))))</f>
        <v>6.4000000000000005E-4</v>
      </c>
      <c r="H161" s="63">
        <f>IF(C156&lt;=F155,B151,IF(C156=F155,B151,IF(C156=C147,C151,IF(C156=D147,D151,IF(C156=E147,E151,IF(C156=F147,F151,IF(C156=G147,G151,IF(C156=H147,H151))))))))</f>
        <v>4.4999999999999999E-4</v>
      </c>
      <c r="I161" s="57"/>
      <c r="J161" s="57"/>
      <c r="K161" s="50"/>
      <c r="L161" s="50"/>
      <c r="M161" s="50"/>
      <c r="N161" s="50"/>
    </row>
    <row r="162" spans="1:14" ht="18.75">
      <c r="A162" s="55" t="s">
        <v>78</v>
      </c>
      <c r="B162" s="56">
        <f>G162</f>
        <v>5.5999999999999995E-4</v>
      </c>
      <c r="C162" s="56">
        <f t="shared" si="10"/>
        <v>4.4000000000000002E-4</v>
      </c>
      <c r="D162" s="280">
        <f>B162-(((B162-C162)/(C156-B156))*(D156-B156))</f>
        <v>4.5124794909090916E-4</v>
      </c>
      <c r="E162" s="280"/>
      <c r="F162" s="57"/>
      <c r="G162" s="63">
        <f>IF(B156&lt;=F155,B152,IF(B156=F155,B152,IF(B156=C147,C152,IF(B156=D147,D152,IF(B156=E147,E152,IF(B156=F147,F152,IF(B156=G147,G152,IF(B156=H147,H152))))))))</f>
        <v>5.5999999999999995E-4</v>
      </c>
      <c r="H162" s="63">
        <f>IF(C156&lt;=F155,B152,IF(C156=F155,B152,IF(C156=C147,C152,IF(C156=D147,D152,IF(C156=E147,E152,IF(C156=F147,F152,IF(C156=G147,G152,IF(C156=H147,H152))))))))</f>
        <v>4.4000000000000002E-4</v>
      </c>
      <c r="I162" s="57"/>
      <c r="J162" s="57"/>
      <c r="K162" s="50"/>
      <c r="L162" s="50"/>
      <c r="M162" s="50"/>
      <c r="N162" s="50"/>
    </row>
    <row r="163" spans="1:14" ht="18.75">
      <c r="A163" s="58"/>
      <c r="B163" s="57"/>
      <c r="C163" s="57"/>
      <c r="D163" s="57"/>
      <c r="E163" s="57"/>
      <c r="F163" s="57"/>
      <c r="G163" s="57"/>
      <c r="H163" s="57"/>
      <c r="I163" s="57"/>
      <c r="J163" s="57"/>
      <c r="K163" s="50"/>
      <c r="L163" s="50"/>
      <c r="M163" s="50"/>
      <c r="N163" s="50"/>
    </row>
    <row r="164" spans="1:14" ht="40.5" customHeight="1">
      <c r="A164" s="300" t="s">
        <v>118</v>
      </c>
      <c r="B164" s="300"/>
      <c r="C164" s="300"/>
      <c r="D164" s="300"/>
      <c r="E164" s="300"/>
      <c r="F164" s="300"/>
      <c r="G164" s="300"/>
      <c r="H164" s="300"/>
      <c r="I164" s="300"/>
      <c r="J164" s="52"/>
      <c r="K164" s="50"/>
      <c r="L164" s="50"/>
      <c r="M164" s="50"/>
      <c r="N164" s="50"/>
    </row>
    <row r="165" spans="1:14" ht="18.75">
      <c r="A165" s="269" t="s">
        <v>71</v>
      </c>
      <c r="B165" s="271" t="s">
        <v>119</v>
      </c>
      <c r="C165" s="271"/>
      <c r="D165" s="271"/>
      <c r="E165" s="271"/>
      <c r="F165" s="271"/>
      <c r="G165" s="271"/>
      <c r="H165" s="271"/>
      <c r="I165" s="271"/>
      <c r="J165" s="52"/>
      <c r="K165" s="50"/>
      <c r="L165" s="50"/>
      <c r="M165" s="50"/>
      <c r="N165" s="50"/>
    </row>
    <row r="166" spans="1:14" ht="18.75">
      <c r="A166" s="270"/>
      <c r="B166" s="53" t="s">
        <v>120</v>
      </c>
      <c r="C166" s="53">
        <v>20</v>
      </c>
      <c r="D166" s="53">
        <v>50</v>
      </c>
      <c r="E166" s="53">
        <v>100</v>
      </c>
      <c r="F166" s="53">
        <v>200</v>
      </c>
      <c r="G166" s="53">
        <v>500</v>
      </c>
      <c r="H166" s="53">
        <v>1000</v>
      </c>
      <c r="I166" s="53">
        <v>2000</v>
      </c>
      <c r="J166" s="54"/>
      <c r="K166" s="50"/>
      <c r="L166" s="50"/>
      <c r="M166" s="50"/>
      <c r="N166" s="50"/>
    </row>
    <row r="167" spans="1:14" ht="18.75">
      <c r="A167" s="55" t="s">
        <v>74</v>
      </c>
      <c r="B167" s="56">
        <v>2.0600000000000002E-3</v>
      </c>
      <c r="C167" s="56">
        <v>1.7899999999999999E-3</v>
      </c>
      <c r="D167" s="56">
        <v>1.3799999999999999E-3</v>
      </c>
      <c r="E167" s="56">
        <v>1.06E-3</v>
      </c>
      <c r="F167" s="56">
        <v>8.0999999999999996E-4</v>
      </c>
      <c r="G167" s="56">
        <v>6.3000000000000003E-4</v>
      </c>
      <c r="H167" s="56">
        <v>5.1000000000000004E-4</v>
      </c>
      <c r="I167" s="56">
        <v>3.6000000000000002E-4</v>
      </c>
      <c r="J167" s="57"/>
      <c r="K167" s="50"/>
      <c r="L167" s="50"/>
      <c r="M167" s="50"/>
      <c r="N167" s="50"/>
    </row>
    <row r="168" spans="1:14" ht="18.75">
      <c r="A168" s="55" t="s">
        <v>75</v>
      </c>
      <c r="B168" s="56">
        <v>2.3800000000000002E-3</v>
      </c>
      <c r="C168" s="56">
        <v>2.0600000000000002E-3</v>
      </c>
      <c r="D168" s="56">
        <v>1.58E-3</v>
      </c>
      <c r="E168" s="56">
        <v>1.2099999999999999E-3</v>
      </c>
      <c r="F168" s="56">
        <v>9.3999999999999997E-4</v>
      </c>
      <c r="G168" s="56">
        <v>7.2999999999999996E-4</v>
      </c>
      <c r="H168" s="56">
        <v>5.5000000000000003E-4</v>
      </c>
      <c r="I168" s="56">
        <v>4.4000000000000002E-4</v>
      </c>
      <c r="J168" s="57"/>
      <c r="K168" s="50"/>
      <c r="L168" s="50"/>
      <c r="M168" s="50"/>
      <c r="N168" s="50"/>
    </row>
    <row r="169" spans="1:14" ht="18.75">
      <c r="A169" s="55" t="s">
        <v>76</v>
      </c>
      <c r="B169" s="56">
        <v>1.3600000000000001E-3</v>
      </c>
      <c r="C169" s="56">
        <v>1.1800000000000001E-3</v>
      </c>
      <c r="D169" s="56">
        <v>8.9999999999999998E-4</v>
      </c>
      <c r="E169" s="56">
        <v>6.8999999999999997E-4</v>
      </c>
      <c r="F169" s="56">
        <v>5.4000000000000001E-4</v>
      </c>
      <c r="G169" s="56">
        <v>4.0999999999999999E-4</v>
      </c>
      <c r="H169" s="56">
        <v>3.1E-4</v>
      </c>
      <c r="I169" s="56">
        <v>2.5999999999999998E-4</v>
      </c>
      <c r="J169" s="57"/>
      <c r="K169" s="50"/>
      <c r="L169" s="50"/>
      <c r="M169" s="50"/>
      <c r="N169" s="50"/>
    </row>
    <row r="170" spans="1:14" ht="18.75">
      <c r="A170" s="55" t="s">
        <v>77</v>
      </c>
      <c r="B170" s="56">
        <v>1.5100000000000001E-3</v>
      </c>
      <c r="C170" s="56">
        <v>1.2999999999999999E-3</v>
      </c>
      <c r="D170" s="56">
        <v>1E-3</v>
      </c>
      <c r="E170" s="56">
        <v>7.6000000000000004E-4</v>
      </c>
      <c r="F170" s="56">
        <v>5.9999999999999995E-4</v>
      </c>
      <c r="G170" s="56">
        <v>4.6000000000000001E-4</v>
      </c>
      <c r="H170" s="56">
        <v>3.5E-4</v>
      </c>
      <c r="I170" s="56">
        <v>2.9E-4</v>
      </c>
      <c r="J170" s="57"/>
      <c r="K170" s="50"/>
      <c r="L170" s="50"/>
      <c r="M170" s="50"/>
      <c r="N170" s="50"/>
    </row>
    <row r="171" spans="1:14" ht="18.75">
      <c r="A171" s="55" t="s">
        <v>78</v>
      </c>
      <c r="B171" s="56">
        <v>1.58E-3</v>
      </c>
      <c r="C171" s="56">
        <v>1.3799999999999999E-3</v>
      </c>
      <c r="D171" s="56">
        <v>1.06E-3</v>
      </c>
      <c r="E171" s="56">
        <v>8.0999999999999996E-4</v>
      </c>
      <c r="F171" s="56">
        <v>6.3000000000000003E-4</v>
      </c>
      <c r="G171" s="56">
        <v>4.8999999999999998E-4</v>
      </c>
      <c r="H171" s="56">
        <v>3.8000000000000002E-4</v>
      </c>
      <c r="I171" s="56">
        <v>3.3E-4</v>
      </c>
      <c r="J171" s="57"/>
      <c r="K171" s="50"/>
      <c r="L171" s="50"/>
      <c r="M171" s="50"/>
      <c r="N171" s="50"/>
    </row>
    <row r="172" spans="1:14" ht="18.75">
      <c r="A172" s="58"/>
      <c r="B172" s="57"/>
      <c r="C172" s="57"/>
      <c r="D172" s="57"/>
      <c r="E172" s="57"/>
      <c r="F172" s="57"/>
      <c r="G172" s="57"/>
      <c r="H172" s="57"/>
      <c r="I172" s="57"/>
      <c r="J172" s="57"/>
      <c r="K172" s="50"/>
      <c r="L172" s="50"/>
      <c r="M172" s="50"/>
      <c r="N172" s="50"/>
    </row>
    <row r="173" spans="1:14" ht="18.75">
      <c r="A173" s="59" t="s">
        <v>79</v>
      </c>
      <c r="B173" s="57"/>
      <c r="C173" s="57"/>
      <c r="D173" s="57"/>
      <c r="E173" s="57"/>
      <c r="F173" s="57"/>
      <c r="G173" s="57"/>
      <c r="H173" s="57"/>
      <c r="I173" s="57"/>
      <c r="J173" s="57"/>
      <c r="K173" s="50"/>
      <c r="L173" s="50"/>
      <c r="M173" s="50"/>
      <c r="N173" s="50"/>
    </row>
    <row r="174" spans="1:14" ht="18.75">
      <c r="A174" s="60" t="s">
        <v>71</v>
      </c>
      <c r="B174" s="60" t="s">
        <v>80</v>
      </c>
      <c r="C174" s="60" t="s">
        <v>81</v>
      </c>
      <c r="D174" s="271" t="s">
        <v>82</v>
      </c>
      <c r="E174" s="271"/>
      <c r="F174" s="61">
        <v>10</v>
      </c>
      <c r="G174" s="271" t="s">
        <v>106</v>
      </c>
      <c r="H174" s="271"/>
      <c r="I174" s="271"/>
      <c r="J174" s="52"/>
      <c r="K174" s="50"/>
      <c r="L174" s="50"/>
      <c r="M174" s="50"/>
      <c r="N174" s="50"/>
    </row>
    <row r="175" spans="1:14" ht="18.75">
      <c r="A175" s="269" t="s">
        <v>121</v>
      </c>
      <c r="B175" s="273">
        <f>D166</f>
        <v>50</v>
      </c>
      <c r="C175" s="273">
        <f>E166</f>
        <v>100</v>
      </c>
      <c r="D175" s="274">
        <f>G175/1000000000</f>
        <v>95.31335454545453</v>
      </c>
      <c r="E175" s="274"/>
      <c r="F175" s="61">
        <f>IF(D175&lt;F174,F174,IF(AND(D175&gt;F174,D175&lt;=C166),F174,IF(AND(D175&gt;C166,D175&lt;=D166),C166,IF(AND(D175&gt;D166,D175&lt;=E166),D166,IF(AND(D175&gt;E166,D175&lt;=F166),E166,IF(AND(D175&gt;F166,D175&lt;=G166),F166,IF(AND(D175&gt;G166,D175&lt;=H166),G166)))))))</f>
        <v>50</v>
      </c>
      <c r="G175" s="275">
        <f>G13</f>
        <v>95313354545.454529</v>
      </c>
      <c r="H175" s="275"/>
      <c r="I175" s="275"/>
      <c r="J175" s="62"/>
      <c r="K175" s="50"/>
      <c r="L175" s="50"/>
      <c r="M175" s="50"/>
      <c r="N175" s="50"/>
    </row>
    <row r="176" spans="1:14" ht="18.75">
      <c r="A176" s="270"/>
      <c r="B176" s="270"/>
      <c r="C176" s="270"/>
      <c r="D176" s="277" t="s">
        <v>85</v>
      </c>
      <c r="E176" s="277"/>
      <c r="F176" s="63">
        <f>IF(D175&lt;F174,F174,IF(AND(D175&gt;F174,D175&lt;=C166),C166,IF(AND(D175&gt;C166,D175&lt;=D166),D166,IF(AND(D175&gt;D166,D175&lt;=E166),E166,IF(AND(D175&gt;E166,D175&lt;=F166),F166,IF(AND(D175&gt;F166,D175&lt;=G166),G166,IF(AND(D175&gt;G166,D175&lt;=H166),H166)))))))</f>
        <v>100</v>
      </c>
      <c r="G176" s="279" t="s">
        <v>86</v>
      </c>
      <c r="H176" s="279"/>
      <c r="I176" s="279"/>
      <c r="J176" s="64"/>
      <c r="K176" s="50"/>
      <c r="L176" s="50"/>
      <c r="M176" s="50"/>
      <c r="N176" s="50"/>
    </row>
    <row r="177" spans="1:14" ht="18.75">
      <c r="A177" s="55" t="s">
        <v>74</v>
      </c>
      <c r="B177" s="56">
        <f>G177</f>
        <v>1.3799999999999999E-3</v>
      </c>
      <c r="C177" s="56">
        <f>E167</f>
        <v>1.06E-3</v>
      </c>
      <c r="D177" s="280">
        <f>B177-(((B177-C177)/(C175-B175))*(D175-B175))</f>
        <v>1.0899945309090909E-3</v>
      </c>
      <c r="E177" s="280"/>
      <c r="F177" s="65"/>
      <c r="G177" s="63">
        <f>IF(B175&lt;=F174,B167,IF(B175=F174,B167,IF(B175=C166,C167,IF(B175=D166,D167,IF(B175=E166,E167,IF(B175=F166,F167,IF(B175=G166,G167,IF(B175=H166,H167))))))))</f>
        <v>1.3799999999999999E-3</v>
      </c>
      <c r="H177" s="63">
        <f>IF(C175&lt;=F174,B167,IF(C175=F174,B167,IF(C175=C166,C167,IF(C175=D166,D167,IF(C175=E166,E167,IF(C175=F166,F167,IF(C175=G166,G167,IF(C175=H166,H167))))))))</f>
        <v>1.06E-3</v>
      </c>
      <c r="I177" s="57"/>
      <c r="J177" s="57"/>
      <c r="K177" s="50"/>
      <c r="L177" s="50"/>
      <c r="M177" s="50"/>
      <c r="N177" s="50"/>
    </row>
    <row r="178" spans="1:14" ht="18.75">
      <c r="A178" s="55" t="s">
        <v>75</v>
      </c>
      <c r="B178" s="56">
        <f>G178</f>
        <v>1.58E-3</v>
      </c>
      <c r="C178" s="56">
        <f t="shared" ref="C178:C181" si="11">E168</f>
        <v>1.2099999999999999E-3</v>
      </c>
      <c r="D178" s="280">
        <f>B178-(((B178-C178)/(C175-B175))*(D175-B175))</f>
        <v>1.2446811763636365E-3</v>
      </c>
      <c r="E178" s="280"/>
      <c r="F178" s="70">
        <f>D178</f>
        <v>1.2446811763636365E-3</v>
      </c>
      <c r="G178" s="63">
        <f>IF(B175&lt;=F174,B168,IF(B175=F174,B168,IF(B175=C166,C168,IF(B175=D166,D168,IF(B175=E166,E168,IF(B175=F166,F168,IF(B175=G166,G168,IF(B175=H166,H168))))))))</f>
        <v>1.58E-3</v>
      </c>
      <c r="H178" s="63">
        <f>IF(C175&lt;=F174,B168,IF(C175=F174,B168,IF(C175=C166,C168,IF(C175=D166,D168,IF(C175=E166,E168,IF(C175=F166,F168,IF(C175=G166,G168,IF(C175=H166,H168))))))))</f>
        <v>1.2099999999999999E-3</v>
      </c>
      <c r="I178" s="57"/>
      <c r="J178" s="57"/>
      <c r="K178" s="50"/>
      <c r="L178" s="50"/>
      <c r="M178" s="50"/>
      <c r="N178" s="50"/>
    </row>
    <row r="179" spans="1:14" ht="18.75">
      <c r="A179" s="55" t="s">
        <v>76</v>
      </c>
      <c r="B179" s="56">
        <f>G179</f>
        <v>8.9999999999999998E-4</v>
      </c>
      <c r="C179" s="56">
        <f t="shared" si="11"/>
        <v>6.8999999999999997E-4</v>
      </c>
      <c r="D179" s="280">
        <f>B179-(((B179-C179)/(C175-B175))*(D175-B175))</f>
        <v>7.096839109090909E-4</v>
      </c>
      <c r="E179" s="280"/>
      <c r="F179" s="57"/>
      <c r="G179" s="63">
        <f>IF(B175&lt;=F174,B169,IF(B175=F174,B169,IF(B175=C166,C169,IF(B175=D166,D169,IF(B175=E166,E169,IF(B175=F166,F169,IF(B175=G166,G169,IF(B175=H166,H169))))))))</f>
        <v>8.9999999999999998E-4</v>
      </c>
      <c r="H179" s="63">
        <f>IF(C175&lt;=F174,B169,IF(C175=F174,B169,IF(C175=C166,C169,IF(C175=D166,D169,IF(C175=E166,E169,IF(C175=F166,F169,IF(C175=G166,G169,IF(C175=H166,H169))))))))</f>
        <v>6.8999999999999997E-4</v>
      </c>
      <c r="I179" s="57"/>
      <c r="J179" s="57"/>
      <c r="K179" s="50"/>
      <c r="L179" s="50"/>
      <c r="M179" s="50"/>
      <c r="N179" s="50"/>
    </row>
    <row r="180" spans="1:14" ht="18.75">
      <c r="A180" s="55" t="s">
        <v>77</v>
      </c>
      <c r="B180" s="56">
        <f>G180</f>
        <v>1E-3</v>
      </c>
      <c r="C180" s="56">
        <f t="shared" si="11"/>
        <v>7.6000000000000004E-4</v>
      </c>
      <c r="D180" s="280">
        <f>B180-(((B180-C180)/(C175-B175))*(D175-B175))</f>
        <v>7.8249589818181822E-4</v>
      </c>
      <c r="E180" s="280"/>
      <c r="F180" s="57"/>
      <c r="G180" s="63">
        <f>IF(B175&lt;=F174,B170,IF(B175=F174,B170,IF(B175=C166,C170,IF(B175=D166,D170,IF(B175=E166,E170,IF(B175=F166,F170,IF(B175=G166,G170,IF(B175=H166,H170))))))))</f>
        <v>1E-3</v>
      </c>
      <c r="H180" s="63">
        <f>IF(C175&lt;=F174,B170,IF(C175=F174,B170,IF(C175=C166,C170,IF(C175=D166,D170,IF(C175=E166,E170,IF(C175=F166,F170,IF(C175=G166,G170,IF(C175=H166,H170))))))))</f>
        <v>7.6000000000000004E-4</v>
      </c>
      <c r="I180" s="57"/>
      <c r="J180" s="57"/>
      <c r="K180" s="50"/>
      <c r="L180" s="50"/>
      <c r="M180" s="50"/>
      <c r="N180" s="50"/>
    </row>
    <row r="181" spans="1:14" ht="18.75">
      <c r="A181" s="55" t="s">
        <v>78</v>
      </c>
      <c r="B181" s="56">
        <f>G181</f>
        <v>1.06E-3</v>
      </c>
      <c r="C181" s="56">
        <f t="shared" si="11"/>
        <v>8.0999999999999996E-4</v>
      </c>
      <c r="D181" s="280">
        <f>B181-(((B181-C181)/(C175-B175))*(D175-B175))</f>
        <v>8.3343322727272729E-4</v>
      </c>
      <c r="E181" s="280"/>
      <c r="F181" s="57"/>
      <c r="G181" s="63">
        <f>IF(B175&lt;=F174,B171,IF(B175=F174,B171,IF(B175=C166,C171,IF(B175=D166,D171,IF(B175=E166,E171,IF(B175=F166,F171,IF(B175=G166,G171,IF(B175=H166,H171))))))))</f>
        <v>1.06E-3</v>
      </c>
      <c r="H181" s="63">
        <f>IF(C175&lt;=F174,B171,IF(C175=F174,B171,IF(C175=C166,C171,IF(C175=D166,D171,IF(C175=E166,E171,IF(C175=F166,F171,IF(C175=G166,G171,IF(C175=H166,H171))))))))</f>
        <v>8.0999999999999996E-4</v>
      </c>
      <c r="I181" s="57"/>
      <c r="J181" s="57"/>
      <c r="K181" s="50"/>
      <c r="L181" s="50"/>
      <c r="M181" s="50"/>
      <c r="N181" s="50"/>
    </row>
    <row r="182" spans="1:14" ht="18.75">
      <c r="A182" s="66"/>
      <c r="B182" s="67"/>
      <c r="C182" s="67"/>
      <c r="D182" s="68"/>
      <c r="E182" s="68"/>
      <c r="F182" s="57"/>
      <c r="G182" s="63"/>
      <c r="H182" s="63"/>
      <c r="I182" s="57"/>
      <c r="J182" s="57"/>
      <c r="K182" s="50"/>
      <c r="L182" s="50"/>
      <c r="M182" s="50"/>
      <c r="N182" s="50"/>
    </row>
    <row r="183" spans="1:14" ht="18.75">
      <c r="A183" s="104" t="s">
        <v>79</v>
      </c>
      <c r="B183" s="105"/>
      <c r="C183" s="105"/>
      <c r="D183" s="105"/>
      <c r="E183" s="105"/>
      <c r="F183" s="105"/>
      <c r="G183" s="105"/>
      <c r="H183" s="105"/>
      <c r="I183" s="105"/>
      <c r="J183" s="57"/>
      <c r="K183" s="50"/>
      <c r="L183" s="50"/>
      <c r="M183" s="50"/>
      <c r="N183" s="50"/>
    </row>
    <row r="184" spans="1:14" ht="18.75">
      <c r="A184" s="60" t="s">
        <v>71</v>
      </c>
      <c r="B184" s="60" t="s">
        <v>80</v>
      </c>
      <c r="C184" s="60" t="s">
        <v>81</v>
      </c>
      <c r="D184" s="271" t="s">
        <v>82</v>
      </c>
      <c r="E184" s="271"/>
      <c r="F184" s="106">
        <v>10</v>
      </c>
      <c r="G184" s="281" t="s">
        <v>106</v>
      </c>
      <c r="H184" s="281"/>
      <c r="I184" s="281"/>
      <c r="J184" s="57"/>
      <c r="K184" s="50"/>
      <c r="L184" s="50"/>
      <c r="M184" s="50"/>
      <c r="N184" s="50"/>
    </row>
    <row r="185" spans="1:14" ht="18.75">
      <c r="A185" s="269" t="s">
        <v>121</v>
      </c>
      <c r="B185" s="273">
        <f>C166</f>
        <v>20</v>
      </c>
      <c r="C185" s="273">
        <f>D166</f>
        <v>50</v>
      </c>
      <c r="D185" s="274">
        <f>G185/1000000000</f>
        <v>24.516749999999998</v>
      </c>
      <c r="E185" s="274"/>
      <c r="F185" s="106">
        <f>IF(D185&lt;F184,F184,IF(AND(D185&gt;F184,D185&lt;=C176),F184,IF(AND(D185&gt;C176,D185&lt;=D176),C176,IF(AND(D185&gt;D176,D185&lt;=E176),D176,IF(AND(D185&gt;E176,D185&lt;=F176),E176,IF(AND(D185&gt;F176,D185&lt;=G176),F176,IF(AND(D185&gt;G176,D185&lt;=H176),G176)))))))</f>
        <v>0</v>
      </c>
      <c r="G185" s="276">
        <f>'[1]2.1. CP DAU TU NHA O THAP TANG'!D4*1000</f>
        <v>24516750000</v>
      </c>
      <c r="H185" s="276"/>
      <c r="I185" s="276"/>
      <c r="J185" s="57"/>
      <c r="K185" s="50"/>
      <c r="L185" s="50"/>
      <c r="M185" s="50"/>
      <c r="N185" s="50"/>
    </row>
    <row r="186" spans="1:14" ht="18.75">
      <c r="A186" s="270"/>
      <c r="B186" s="270"/>
      <c r="C186" s="270"/>
      <c r="D186" s="277" t="s">
        <v>85</v>
      </c>
      <c r="E186" s="277"/>
      <c r="F186" s="105" t="str">
        <f>IF(D185&lt;F184,F184,IF(AND(D185&gt;F184,D185&lt;=C176),C176,IF(AND(D185&gt;C176,D185&lt;=D176),D176,IF(AND(D185&gt;D176,D185&lt;=E176),E176,IF(AND(D185&gt;E176,D185&lt;=F176),F176,IF(AND(D185&gt;F176,D185&lt;=G176),G176,IF(AND(D185&gt;G176,D185&lt;=H176),H176)))))))</f>
        <v>Tỷ lệ sau nội suy</v>
      </c>
      <c r="G186" s="278" t="s">
        <v>86</v>
      </c>
      <c r="H186" s="278"/>
      <c r="I186" s="278"/>
      <c r="J186" s="57"/>
      <c r="K186" s="50"/>
      <c r="L186" s="50"/>
      <c r="M186" s="50"/>
      <c r="N186" s="50"/>
    </row>
    <row r="187" spans="1:14" ht="18.75">
      <c r="A187" s="55" t="s">
        <v>74</v>
      </c>
      <c r="B187" s="56">
        <f>C167</f>
        <v>1.7899999999999999E-3</v>
      </c>
      <c r="C187" s="56">
        <f>D167</f>
        <v>1.3799999999999999E-3</v>
      </c>
      <c r="D187" s="280">
        <f>B187-(((B187-C187)/(C185-B185))*(D185-B185))</f>
        <v>1.7282710833333333E-3</v>
      </c>
      <c r="E187" s="280"/>
      <c r="F187" s="100">
        <f>D187</f>
        <v>1.7282710833333333E-3</v>
      </c>
      <c r="G187" s="105" t="b">
        <f>IF(B185&lt;=F184,B177,IF(B185=F184,B177,IF(B185=C176,C177,IF(B185=D176,D177,IF(B185=E176,E177,IF(B185=F176,F177,IF(B185=G176,G177,IF(B185=H176,H177))))))))</f>
        <v>0</v>
      </c>
      <c r="H187" s="105" t="b">
        <f>IF(C185&lt;=F184,B177,IF(C185=F184,B177,IF(C185=C176,C177,IF(C185=D176,D177,IF(C185=E176,E177,IF(C185=F176,F177,IF(C185=G176,G177,IF(C185=H176,H177))))))))</f>
        <v>0</v>
      </c>
      <c r="I187" s="105"/>
      <c r="J187" s="57"/>
      <c r="K187" s="50"/>
      <c r="L187" s="50"/>
      <c r="M187" s="50"/>
      <c r="N187" s="50"/>
    </row>
    <row r="188" spans="1:14" ht="18.75">
      <c r="A188" s="55" t="s">
        <v>75</v>
      </c>
      <c r="B188" s="56">
        <f t="shared" ref="B188:C191" si="12">C168</f>
        <v>2.0600000000000002E-3</v>
      </c>
      <c r="C188" s="56">
        <f t="shared" si="12"/>
        <v>1.58E-3</v>
      </c>
      <c r="D188" s="280">
        <f>B188-(((B188-C188)/(C185-B185))*(D185-B185))</f>
        <v>1.9877320000000003E-3</v>
      </c>
      <c r="E188" s="280"/>
      <c r="F188" s="105"/>
      <c r="G188" s="105" t="b">
        <f>IF(B185&lt;=F184,B178,IF(B185=F184,B178,IF(B185=C176,C178,IF(B185=D176,D178,IF(B185=E176,E178,IF(B185=F176,F178,IF(B185=G176,G178,IF(B185=H176,H178))))))))</f>
        <v>0</v>
      </c>
      <c r="H188" s="105" t="b">
        <f>IF(C185&lt;=F184,B178,IF(C185=F184,B178,IF(C185=C176,C178,IF(C185=D176,D178,IF(C185=E176,E178,IF(C185=F176,F178,IF(C185=G176,G178,IF(C185=H176,H178))))))))</f>
        <v>0</v>
      </c>
      <c r="I188" s="105"/>
      <c r="J188" s="57"/>
      <c r="K188" s="50"/>
      <c r="L188" s="50"/>
      <c r="M188" s="50"/>
      <c r="N188" s="50"/>
    </row>
    <row r="189" spans="1:14" ht="18.75">
      <c r="A189" s="55" t="s">
        <v>76</v>
      </c>
      <c r="B189" s="56">
        <f t="shared" si="12"/>
        <v>1.1800000000000001E-3</v>
      </c>
      <c r="C189" s="56">
        <f t="shared" si="12"/>
        <v>8.9999999999999998E-4</v>
      </c>
      <c r="D189" s="280">
        <f>B189-(((B189-C189)/(C185-B185))*(D185-B185))</f>
        <v>1.1378436666666667E-3</v>
      </c>
      <c r="E189" s="280"/>
      <c r="F189" s="105"/>
      <c r="G189" s="105" t="b">
        <f>IF(B185&lt;=F184,B179,IF(B185=F184,B179,IF(B185=C176,C179,IF(B185=D176,D179,IF(B185=E176,E179,IF(B185=F176,F179,IF(B185=G176,G179,IF(B185=H176,H179))))))))</f>
        <v>0</v>
      </c>
      <c r="H189" s="105" t="b">
        <f>IF(C185&lt;=F184,B179,IF(C185=F184,B179,IF(C185=C176,C179,IF(C185=D176,D179,IF(C185=E176,E179,IF(C185=F176,F179,IF(C185=G176,G179,IF(C185=H176,H179))))))))</f>
        <v>0</v>
      </c>
      <c r="I189" s="105"/>
      <c r="J189" s="57"/>
      <c r="K189" s="50"/>
      <c r="L189" s="50"/>
      <c r="M189" s="50"/>
      <c r="N189" s="50"/>
    </row>
    <row r="190" spans="1:14" ht="18.75">
      <c r="A190" s="55" t="s">
        <v>77</v>
      </c>
      <c r="B190" s="56">
        <f t="shared" si="12"/>
        <v>1.2999999999999999E-3</v>
      </c>
      <c r="C190" s="56">
        <f t="shared" si="12"/>
        <v>1E-3</v>
      </c>
      <c r="D190" s="280">
        <f>B190-(((B190-C190)/(C185-B185))*(D185-B185))</f>
        <v>1.2548324999999999E-3</v>
      </c>
      <c r="E190" s="280"/>
      <c r="F190" s="105"/>
      <c r="G190" s="105" t="b">
        <f>IF(B185&lt;=F184,B180,IF(B185=F184,B180,IF(B185=C176,C180,IF(B185=D176,D180,IF(B185=E176,E180,IF(B185=F176,F180,IF(B185=G176,G180,IF(B185=H176,H180))))))))</f>
        <v>0</v>
      </c>
      <c r="H190" s="105" t="b">
        <f>IF(C185&lt;=F184,B180,IF(C185=F184,B180,IF(C185=C176,C180,IF(C185=D176,D180,IF(C185=E176,E180,IF(C185=F176,F180,IF(C185=G176,G180,IF(C185=H176,H180))))))))</f>
        <v>0</v>
      </c>
      <c r="I190" s="105"/>
      <c r="J190" s="57"/>
      <c r="K190" s="50"/>
      <c r="L190" s="50"/>
      <c r="M190" s="50"/>
      <c r="N190" s="50"/>
    </row>
    <row r="191" spans="1:14" ht="18.75">
      <c r="A191" s="55" t="s">
        <v>78</v>
      </c>
      <c r="B191" s="56">
        <f t="shared" si="12"/>
        <v>1.3799999999999999E-3</v>
      </c>
      <c r="C191" s="56">
        <f t="shared" si="12"/>
        <v>1.06E-3</v>
      </c>
      <c r="D191" s="280">
        <f>B191-(((B191-C191)/(C185-B185))*(D185-B185))</f>
        <v>1.3318213333333333E-3</v>
      </c>
      <c r="E191" s="280"/>
      <c r="F191" s="105"/>
      <c r="G191" s="105" t="b">
        <f>IF(B185&lt;=F184,B181,IF(B185=F184,B181,IF(B185=C176,C181,IF(B185=D176,D181,IF(B185=E176,E181,IF(B185=F176,F181,IF(B185=G176,G181,IF(B185=H176,H181))))))))</f>
        <v>0</v>
      </c>
      <c r="H191" s="105" t="b">
        <f>IF(C185&lt;=F184,B181,IF(C185=F184,B181,IF(C185=C176,C181,IF(C185=D176,D181,IF(C185=E176,E181,IF(C185=F176,F181,IF(C185=G176,G181,IF(C185=H176,H181))))))))</f>
        <v>0</v>
      </c>
      <c r="I191" s="105"/>
      <c r="J191" s="57"/>
      <c r="K191" s="50"/>
      <c r="L191" s="50"/>
      <c r="M191" s="50"/>
      <c r="N191" s="50"/>
    </row>
    <row r="192" spans="1:14" ht="18.75">
      <c r="A192" s="66"/>
      <c r="B192" s="67"/>
      <c r="C192" s="67"/>
      <c r="D192" s="68"/>
      <c r="E192" s="68"/>
      <c r="F192" s="105"/>
      <c r="G192" s="105"/>
      <c r="H192" s="105"/>
      <c r="I192" s="105"/>
      <c r="J192" s="57"/>
      <c r="K192" s="50"/>
      <c r="L192" s="50"/>
      <c r="M192" s="50"/>
      <c r="N192" s="50"/>
    </row>
    <row r="193" spans="1:14" ht="18.75">
      <c r="A193" s="59" t="s">
        <v>79</v>
      </c>
      <c r="B193" s="57"/>
      <c r="C193" s="57"/>
      <c r="D193" s="57"/>
      <c r="E193" s="57"/>
      <c r="F193" s="105"/>
      <c r="G193" s="105"/>
      <c r="H193" s="105"/>
      <c r="I193" s="105"/>
      <c r="J193" s="57"/>
      <c r="K193" s="50"/>
      <c r="L193" s="50"/>
      <c r="M193" s="50"/>
      <c r="N193" s="50"/>
    </row>
    <row r="194" spans="1:14" ht="18.75">
      <c r="A194" s="60" t="s">
        <v>71</v>
      </c>
      <c r="B194" s="60" t="s">
        <v>80</v>
      </c>
      <c r="C194" s="60" t="s">
        <v>81</v>
      </c>
      <c r="D194" s="271" t="s">
        <v>82</v>
      </c>
      <c r="E194" s="271"/>
      <c r="F194" s="106">
        <v>10</v>
      </c>
      <c r="G194" s="281" t="s">
        <v>106</v>
      </c>
      <c r="H194" s="281"/>
      <c r="I194" s="281"/>
      <c r="J194" s="57"/>
      <c r="K194" s="50"/>
      <c r="L194" s="50"/>
      <c r="M194" s="50"/>
      <c r="N194" s="50"/>
    </row>
    <row r="195" spans="1:14" ht="18.75">
      <c r="A195" s="269" t="s">
        <v>121</v>
      </c>
      <c r="B195" s="273">
        <f>H186</f>
        <v>0</v>
      </c>
      <c r="C195" s="273">
        <f>I186</f>
        <v>0</v>
      </c>
      <c r="D195" s="274">
        <f>G195/1000000000</f>
        <v>8.1694200000000006</v>
      </c>
      <c r="E195" s="274"/>
      <c r="F195" s="106">
        <f>IF(D195&lt;F194,F194,IF(AND(D195&gt;F194,D195&lt;=C186),F194,IF(AND(D195&gt;C186,D195&lt;=D186),C186,IF(AND(D195&gt;D186,D195&lt;=E186),D186,IF(AND(D195&gt;E186,D195&lt;=F186),E186,IF(AND(D195&gt;F186,D195&lt;=G186),F186,IF(AND(D195&gt;G186,D195&lt;=H186),G186)))))))</f>
        <v>10</v>
      </c>
      <c r="G195" s="276">
        <f>'[2]2.2. XD HTKT'!D6</f>
        <v>8169420000</v>
      </c>
      <c r="H195" s="276"/>
      <c r="I195" s="276"/>
      <c r="J195" s="57"/>
      <c r="K195" s="50"/>
      <c r="L195" s="50"/>
      <c r="M195" s="50"/>
      <c r="N195" s="50"/>
    </row>
    <row r="196" spans="1:14" ht="18.75">
      <c r="A196" s="270"/>
      <c r="B196" s="270"/>
      <c r="C196" s="270"/>
      <c r="D196" s="277" t="s">
        <v>85</v>
      </c>
      <c r="E196" s="277"/>
      <c r="F196" s="105">
        <f>IF(D195&lt;F194,F194,IF(AND(D195&gt;F194,D195&lt;=C186),C186,IF(AND(D195&gt;C186,D195&lt;=D186),D186,IF(AND(D195&gt;D186,D195&lt;=E186),E186,IF(AND(D195&gt;E186,D195&lt;=F186),F186,IF(AND(D195&gt;F186,D195&lt;=G186),G186,IF(AND(D195&gt;G186,D195&lt;=H186),H186)))))))</f>
        <v>10</v>
      </c>
      <c r="G196" s="278" t="s">
        <v>86</v>
      </c>
      <c r="H196" s="278"/>
      <c r="I196" s="278"/>
      <c r="J196" s="57"/>
      <c r="K196" s="50"/>
      <c r="L196" s="50"/>
      <c r="M196" s="50"/>
      <c r="N196" s="50"/>
    </row>
    <row r="197" spans="1:14" ht="18.75">
      <c r="A197" s="55" t="s">
        <v>74</v>
      </c>
      <c r="B197" s="56">
        <f>G197</f>
        <v>1.7899999999999999E-3</v>
      </c>
      <c r="C197" s="56">
        <f>I187</f>
        <v>0</v>
      </c>
      <c r="D197" s="280" t="e">
        <f>B197-(((B197-C197)/(C195-B195))*(D195-B195))</f>
        <v>#DIV/0!</v>
      </c>
      <c r="E197" s="280"/>
      <c r="F197" s="108"/>
      <c r="G197" s="105">
        <f>IF(B195&lt;=F194,B187,IF(B195=F194,B187,IF(B195=C186,C187,IF(B195=D186,D187,IF(B195=E186,E187,IF(B195=F186,F187,IF(B195=G186,G187,IF(B195=H186,H187))))))))</f>
        <v>1.7899999999999999E-3</v>
      </c>
      <c r="H197" s="105">
        <f>IF(C195&lt;=F194,B187,IF(C195=F194,B187,IF(C195=C186,C187,IF(C195=D186,D187,IF(C195=E186,E187,IF(C195=F186,F187,IF(C195=G186,G187,IF(C195=H186,H187))))))))</f>
        <v>1.7899999999999999E-3</v>
      </c>
      <c r="I197" s="105"/>
      <c r="J197" s="57"/>
      <c r="K197" s="50"/>
      <c r="L197" s="50"/>
      <c r="M197" s="50"/>
      <c r="N197" s="50"/>
    </row>
    <row r="198" spans="1:14" ht="18.75">
      <c r="A198" s="55" t="s">
        <v>75</v>
      </c>
      <c r="B198" s="56">
        <f>G198</f>
        <v>2.0600000000000002E-3</v>
      </c>
      <c r="C198" s="56">
        <f>I188</f>
        <v>0</v>
      </c>
      <c r="D198" s="280" t="e">
        <f>B198-(((B198-C198)/(C195-B195))*(D195-B195))</f>
        <v>#DIV/0!</v>
      </c>
      <c r="E198" s="280"/>
      <c r="F198" s="105"/>
      <c r="G198" s="105">
        <f>IF(B195&lt;=F194,B188,IF(B195=F194,B188,IF(B195=C186,C188,IF(B195=D186,D188,IF(B195=E186,E188,IF(B195=F186,F188,IF(B195=G186,G188,IF(B195=H186,H188))))))))</f>
        <v>2.0600000000000002E-3</v>
      </c>
      <c r="H198" s="105">
        <f>IF(C195&lt;=F194,B188,IF(C195=F194,B188,IF(C195=C186,C188,IF(C195=D186,D188,IF(C195=E186,E188,IF(C195=F186,F188,IF(C195=G186,G188,IF(C195=H186,H188))))))))</f>
        <v>2.0600000000000002E-3</v>
      </c>
      <c r="I198" s="105"/>
      <c r="J198" s="57"/>
      <c r="K198" s="50"/>
      <c r="L198" s="50"/>
      <c r="M198" s="50"/>
      <c r="N198" s="50"/>
    </row>
    <row r="199" spans="1:14" ht="18.75">
      <c r="A199" s="55" t="s">
        <v>76</v>
      </c>
      <c r="B199" s="56">
        <f>G199</f>
        <v>1.1800000000000001E-3</v>
      </c>
      <c r="C199" s="56">
        <f>I189</f>
        <v>0</v>
      </c>
      <c r="D199" s="280" t="e">
        <f>B199-(((B199-C199)/(C195-B195))*(D195-B195))</f>
        <v>#DIV/0!</v>
      </c>
      <c r="E199" s="280"/>
      <c r="F199" s="105"/>
      <c r="G199" s="105">
        <f>IF(B195&lt;=F194,B189,IF(B195=F194,B189,IF(B195=C186,C189,IF(B195=D186,D189,IF(B195=E186,E189,IF(B195=F186,F189,IF(B195=G186,G189,IF(B195=H186,H189))))))))</f>
        <v>1.1800000000000001E-3</v>
      </c>
      <c r="H199" s="105">
        <f>IF(C195&lt;=F194,B189,IF(C195=F194,B189,IF(C195=C186,C189,IF(C195=D186,D189,IF(C195=E186,E189,IF(C195=F186,F189,IF(C195=G186,G189,IF(C195=H186,H189))))))))</f>
        <v>1.1800000000000001E-3</v>
      </c>
      <c r="I199" s="105"/>
      <c r="J199" s="57"/>
      <c r="K199" s="50"/>
      <c r="L199" s="50"/>
      <c r="M199" s="50"/>
      <c r="N199" s="50"/>
    </row>
    <row r="200" spans="1:14" ht="18.75">
      <c r="A200" s="55" t="s">
        <v>77</v>
      </c>
      <c r="B200" s="56">
        <f>G200</f>
        <v>1.2999999999999999E-3</v>
      </c>
      <c r="C200" s="56">
        <f>I190</f>
        <v>0</v>
      </c>
      <c r="D200" s="280" t="e">
        <f>B200-(((B200-C200)/(C195-B195))*(D195-B195))</f>
        <v>#DIV/0!</v>
      </c>
      <c r="E200" s="280"/>
      <c r="F200" s="105"/>
      <c r="G200" s="105">
        <f>IF(B195&lt;=F194,B190,IF(B195=F194,B190,IF(B195=C186,C190,IF(B195=D186,D190,IF(B195=E186,E190,IF(B195=F186,F190,IF(B195=G186,G190,IF(B195=H186,H190))))))))</f>
        <v>1.2999999999999999E-3</v>
      </c>
      <c r="H200" s="105">
        <f>IF(C195&lt;=F194,B190,IF(C195=F194,B190,IF(C195=C186,C190,IF(C195=D186,D190,IF(C195=E186,E190,IF(C195=F186,F190,IF(C195=G186,G190,IF(C195=H186,H190))))))))</f>
        <v>1.2999999999999999E-3</v>
      </c>
      <c r="I200" s="105"/>
      <c r="J200" s="57"/>
      <c r="K200" s="50"/>
      <c r="L200" s="50"/>
      <c r="M200" s="50"/>
      <c r="N200" s="50"/>
    </row>
    <row r="201" spans="1:14" ht="18.75">
      <c r="A201" s="55" t="s">
        <v>78</v>
      </c>
      <c r="B201" s="56">
        <f>G201</f>
        <v>1.3799999999999999E-3</v>
      </c>
      <c r="C201" s="56">
        <f>I191</f>
        <v>0</v>
      </c>
      <c r="D201" s="280" t="e">
        <f>B201-(((B201-C201)/(C195-B195))*(D195-B195))</f>
        <v>#DIV/0!</v>
      </c>
      <c r="E201" s="280"/>
      <c r="F201" s="101">
        <f>B171</f>
        <v>1.58E-3</v>
      </c>
      <c r="G201" s="105">
        <f>IF(B195&lt;=F194,B191,IF(B195=F194,B191,IF(B195=C186,C191,IF(B195=D186,D191,IF(B195=E186,E191,IF(B195=F186,F191,IF(B195=G186,G191,IF(B195=H186,H191))))))))</f>
        <v>1.3799999999999999E-3</v>
      </c>
      <c r="H201" s="105">
        <f>IF(C195&lt;=F194,B191,IF(C195=F194,B191,IF(C195=C186,C191,IF(C195=D186,D191,IF(C195=E186,E191,IF(C195=F186,F191,IF(C195=G186,G191,IF(C195=H186,H191))))))))</f>
        <v>1.3799999999999999E-3</v>
      </c>
      <c r="I201" s="105"/>
      <c r="J201" s="57"/>
      <c r="K201" s="50"/>
      <c r="L201" s="50"/>
      <c r="M201" s="50"/>
      <c r="N201" s="50"/>
    </row>
    <row r="202" spans="1:14" ht="18.75">
      <c r="A202" s="51" t="s">
        <v>122</v>
      </c>
      <c r="B202" s="52"/>
      <c r="C202" s="52"/>
      <c r="D202" s="52"/>
      <c r="E202" s="52"/>
      <c r="F202" s="52"/>
      <c r="G202" s="52"/>
      <c r="H202" s="52"/>
      <c r="I202" s="52"/>
      <c r="J202" s="52"/>
      <c r="K202" s="50"/>
      <c r="L202" s="50"/>
      <c r="M202" s="50"/>
      <c r="N202" s="50"/>
    </row>
    <row r="203" spans="1:14" ht="18.75">
      <c r="A203" s="269" t="s">
        <v>71</v>
      </c>
      <c r="B203" s="271" t="s">
        <v>110</v>
      </c>
      <c r="C203" s="271"/>
      <c r="D203" s="271"/>
      <c r="E203" s="271"/>
      <c r="F203" s="271"/>
      <c r="G203" s="271"/>
      <c r="H203" s="271"/>
      <c r="I203" s="271"/>
      <c r="J203" s="52"/>
      <c r="K203" s="50"/>
      <c r="L203" s="50"/>
      <c r="M203" s="50"/>
      <c r="N203" s="50"/>
    </row>
    <row r="204" spans="1:14" ht="18.75">
      <c r="A204" s="270"/>
      <c r="B204" s="53" t="s">
        <v>73</v>
      </c>
      <c r="C204" s="53">
        <v>20</v>
      </c>
      <c r="D204" s="53">
        <v>50</v>
      </c>
      <c r="E204" s="53">
        <v>100</v>
      </c>
      <c r="F204" s="53">
        <v>200</v>
      </c>
      <c r="G204" s="53">
        <v>500</v>
      </c>
      <c r="H204" s="53">
        <v>1000</v>
      </c>
      <c r="I204" s="53">
        <v>2000</v>
      </c>
      <c r="J204" s="54"/>
      <c r="K204" s="50"/>
      <c r="L204" s="50"/>
      <c r="M204" s="50"/>
      <c r="N204" s="50"/>
    </row>
    <row r="205" spans="1:14" ht="18.75">
      <c r="A205" s="55" t="s">
        <v>74</v>
      </c>
      <c r="B205" s="56">
        <v>2E-3</v>
      </c>
      <c r="C205" s="56">
        <v>1.75E-3</v>
      </c>
      <c r="D205" s="56">
        <v>1.33E-3</v>
      </c>
      <c r="E205" s="56">
        <v>1.0399999999999999E-3</v>
      </c>
      <c r="F205" s="56">
        <v>7.7999999999999999E-4</v>
      </c>
      <c r="G205" s="56">
        <v>5.8E-4</v>
      </c>
      <c r="H205" s="56">
        <v>4.8000000000000001E-4</v>
      </c>
      <c r="I205" s="56">
        <v>3.5E-4</v>
      </c>
      <c r="J205" s="57"/>
      <c r="K205" s="50"/>
      <c r="L205" s="50"/>
      <c r="M205" s="50"/>
      <c r="N205" s="50"/>
    </row>
    <row r="206" spans="1:14" ht="18.75">
      <c r="A206" s="55" t="s">
        <v>75</v>
      </c>
      <c r="B206" s="56">
        <v>2.31E-3</v>
      </c>
      <c r="C206" s="56">
        <v>2E-3</v>
      </c>
      <c r="D206" s="56">
        <v>1.5100000000000001E-3</v>
      </c>
      <c r="E206" s="56">
        <v>1.1800000000000001E-3</v>
      </c>
      <c r="F206" s="56">
        <v>8.9999999999999998E-4</v>
      </c>
      <c r="G206" s="56">
        <v>6.8999999999999997E-4</v>
      </c>
      <c r="H206" s="56">
        <v>5.1000000000000004E-4</v>
      </c>
      <c r="I206" s="56">
        <v>4.0999999999999999E-4</v>
      </c>
      <c r="J206" s="57"/>
      <c r="K206" s="50"/>
      <c r="L206" s="50"/>
      <c r="M206" s="50"/>
      <c r="N206" s="50"/>
    </row>
    <row r="207" spans="1:14" ht="18.75">
      <c r="A207" s="55" t="s">
        <v>76</v>
      </c>
      <c r="B207" s="56">
        <v>1.33E-3</v>
      </c>
      <c r="C207" s="56">
        <v>1.14E-3</v>
      </c>
      <c r="D207" s="56">
        <v>8.4999999999999995E-4</v>
      </c>
      <c r="E207" s="56">
        <v>6.8000000000000005E-4</v>
      </c>
      <c r="F207" s="56">
        <v>5.1000000000000004E-4</v>
      </c>
      <c r="G207" s="56">
        <v>3.8999999999999999E-4</v>
      </c>
      <c r="H207" s="56">
        <v>2.9999999999999997E-4</v>
      </c>
      <c r="I207" s="56">
        <v>2.5000000000000001E-4</v>
      </c>
      <c r="J207" s="57"/>
      <c r="K207" s="50"/>
      <c r="L207" s="50"/>
      <c r="M207" s="50"/>
      <c r="N207" s="50"/>
    </row>
    <row r="208" spans="1:14" ht="18.75">
      <c r="A208" s="55" t="s">
        <v>77</v>
      </c>
      <c r="B208" s="56">
        <v>1.4599999999999999E-3</v>
      </c>
      <c r="C208" s="56">
        <v>1.2600000000000001E-3</v>
      </c>
      <c r="D208" s="56">
        <v>9.5E-4</v>
      </c>
      <c r="E208" s="56">
        <v>7.5000000000000002E-4</v>
      </c>
      <c r="F208" s="56">
        <v>5.8E-4</v>
      </c>
      <c r="G208" s="56">
        <v>4.4000000000000002E-4</v>
      </c>
      <c r="H208" s="56">
        <v>3.3E-4</v>
      </c>
      <c r="I208" s="56">
        <v>2.7999999999999998E-4</v>
      </c>
      <c r="J208" s="57"/>
      <c r="K208" s="50"/>
      <c r="L208" s="50"/>
      <c r="M208" s="50"/>
      <c r="N208" s="50"/>
    </row>
    <row r="209" spans="1:14" ht="18.75">
      <c r="A209" s="55" t="s">
        <v>78</v>
      </c>
      <c r="B209" s="56">
        <v>1.5299999999999999E-3</v>
      </c>
      <c r="C209" s="56">
        <v>1.33E-3</v>
      </c>
      <c r="D209" s="56">
        <v>1.0300000000000001E-3</v>
      </c>
      <c r="E209" s="56">
        <v>7.7999999999999999E-4</v>
      </c>
      <c r="F209" s="56">
        <v>5.9000000000000003E-4</v>
      </c>
      <c r="G209" s="56">
        <v>4.6000000000000001E-4</v>
      </c>
      <c r="H209" s="56">
        <v>3.6000000000000002E-4</v>
      </c>
      <c r="I209" s="56">
        <v>2.9999999999999997E-4</v>
      </c>
      <c r="J209" s="57"/>
      <c r="K209" s="50"/>
      <c r="L209" s="50"/>
      <c r="M209" s="50"/>
      <c r="N209" s="50"/>
    </row>
    <row r="210" spans="1:14" ht="18.75">
      <c r="A210" s="58"/>
      <c r="B210" s="57"/>
      <c r="C210" s="57"/>
      <c r="D210" s="57"/>
      <c r="E210" s="57"/>
      <c r="F210" s="57"/>
      <c r="G210" s="57"/>
      <c r="H210" s="57"/>
      <c r="I210" s="57"/>
      <c r="J210" s="57"/>
      <c r="K210" s="50"/>
      <c r="L210" s="50"/>
      <c r="M210" s="50"/>
      <c r="N210" s="50"/>
    </row>
    <row r="211" spans="1:14" ht="18.75">
      <c r="A211" s="59" t="s">
        <v>79</v>
      </c>
      <c r="B211" s="57"/>
      <c r="C211" s="57"/>
      <c r="D211" s="57"/>
      <c r="E211" s="57"/>
      <c r="F211" s="57"/>
      <c r="G211" s="57"/>
      <c r="H211" s="57"/>
      <c r="I211" s="57"/>
      <c r="J211" s="57"/>
      <c r="K211" s="50"/>
      <c r="L211" s="50"/>
      <c r="M211" s="50"/>
      <c r="N211" s="50"/>
    </row>
    <row r="212" spans="1:14" ht="18.75">
      <c r="A212" s="60" t="s">
        <v>71</v>
      </c>
      <c r="B212" s="60" t="s">
        <v>80</v>
      </c>
      <c r="C212" s="60" t="s">
        <v>81</v>
      </c>
      <c r="D212" s="271" t="s">
        <v>82</v>
      </c>
      <c r="E212" s="271"/>
      <c r="F212" s="61">
        <v>10</v>
      </c>
      <c r="G212" s="271" t="s">
        <v>106</v>
      </c>
      <c r="H212" s="271"/>
      <c r="I212" s="271"/>
      <c r="J212" s="52"/>
      <c r="K212" s="50"/>
      <c r="L212" s="50"/>
      <c r="M212" s="50"/>
      <c r="N212" s="50"/>
    </row>
    <row r="213" spans="1:14" ht="18.75">
      <c r="A213" s="269" t="s">
        <v>121</v>
      </c>
      <c r="B213" s="273">
        <f>D204</f>
        <v>50</v>
      </c>
      <c r="C213" s="273">
        <f>E204</f>
        <v>100</v>
      </c>
      <c r="D213" s="274">
        <f>G213/1000000000</f>
        <v>95.31335454545453</v>
      </c>
      <c r="E213" s="274"/>
      <c r="F213" s="61">
        <f>IF(D213&lt;F212,F212,IF(AND(D213&gt;F212,D213&lt;=C204),F212,IF(AND(D213&gt;C204,D213&lt;=D204),C204,IF(AND(D213&gt;D204,D213&lt;=E204),D204,IF(AND(D213&gt;E204,D213&lt;=F204),E204,IF(AND(D213&gt;F204,D213&lt;=G204),F204,IF(AND(D213&gt;G204,D213&lt;=H204),G204)))))))</f>
        <v>50</v>
      </c>
      <c r="G213" s="275">
        <f>G13</f>
        <v>95313354545.454529</v>
      </c>
      <c r="H213" s="275"/>
      <c r="I213" s="275"/>
      <c r="J213" s="62"/>
      <c r="K213" s="50"/>
      <c r="L213" s="50"/>
      <c r="M213" s="50"/>
      <c r="N213" s="50"/>
    </row>
    <row r="214" spans="1:14" ht="18.75">
      <c r="A214" s="270"/>
      <c r="B214" s="270"/>
      <c r="C214" s="270"/>
      <c r="D214" s="277" t="s">
        <v>85</v>
      </c>
      <c r="E214" s="277"/>
      <c r="F214" s="63">
        <f>IF(D213&lt;F212,F212,IF(AND(D213&gt;F212,D213&lt;=C204),C204,IF(AND(D213&gt;C204,D213&lt;=D204),D204,IF(AND(D213&gt;D204,D213&lt;=E204),E204,IF(AND(D213&gt;E204,D213&lt;=F204),F204,IF(AND(D213&gt;F204,D213&lt;=G204),G204,IF(AND(D213&gt;G204,D213&lt;=H204),H204)))))))</f>
        <v>100</v>
      </c>
      <c r="G214" s="279" t="s">
        <v>86</v>
      </c>
      <c r="H214" s="279"/>
      <c r="I214" s="279"/>
      <c r="J214" s="64"/>
      <c r="K214" s="50"/>
      <c r="L214" s="50"/>
      <c r="M214" s="50"/>
      <c r="N214" s="50"/>
    </row>
    <row r="215" spans="1:14" ht="18.75">
      <c r="A215" s="55" t="s">
        <v>74</v>
      </c>
      <c r="B215" s="56">
        <f>G215</f>
        <v>1.33E-3</v>
      </c>
      <c r="C215" s="56">
        <f>E205</f>
        <v>1.0399999999999999E-3</v>
      </c>
      <c r="D215" s="280">
        <f>B215-(((B215-C215)/(C213-B213))*(D213-B213))</f>
        <v>1.0671825436363636E-3</v>
      </c>
      <c r="E215" s="280"/>
      <c r="F215" s="100">
        <f>D215</f>
        <v>1.0671825436363636E-3</v>
      </c>
      <c r="G215" s="63">
        <f>IF(B213&lt;=F212,B205,IF(B213=F212,B205,IF(B213=C204,C205,IF(B213=D204,D205,IF(B213=E204,E205,IF(B213=F204,F205,IF(B213=G204,G205,IF(B213=H204,H205))))))))</f>
        <v>1.33E-3</v>
      </c>
      <c r="H215" s="63">
        <f>IF(C213&lt;=F212,B205,IF(C213=F212,B205,IF(C213=C204,C205,IF(C213=D204,D205,IF(C213=E204,E205,IF(C213=F204,F205,IF(C213=G204,G205,IF(C213=H204,H205))))))))</f>
        <v>1.0399999999999999E-3</v>
      </c>
      <c r="I215" s="57"/>
      <c r="J215" s="57"/>
      <c r="K215" s="50"/>
      <c r="L215" s="50"/>
      <c r="M215" s="50"/>
      <c r="N215" s="50"/>
    </row>
    <row r="216" spans="1:14" ht="18.75">
      <c r="A216" s="55" t="s">
        <v>75</v>
      </c>
      <c r="B216" s="56">
        <f>G216</f>
        <v>1.5100000000000001E-3</v>
      </c>
      <c r="C216" s="56">
        <f t="shared" ref="C216:C219" si="13">E206</f>
        <v>1.1800000000000001E-3</v>
      </c>
      <c r="D216" s="280">
        <f>B216-(((B216-C216)/(C213-B213))*(D213-B213))</f>
        <v>1.2109318600000002E-3</v>
      </c>
      <c r="E216" s="280"/>
      <c r="F216" s="70">
        <f>D216</f>
        <v>1.2109318600000002E-3</v>
      </c>
      <c r="G216" s="63">
        <f>IF(B213&lt;=F212,B206,IF(B213=F212,B206,IF(B213=C204,C206,IF(B213=D204,D206,IF(B213=E204,E206,IF(B213=F204,F206,IF(B213=G204,G206,IF(B213=H204,H206))))))))</f>
        <v>1.5100000000000001E-3</v>
      </c>
      <c r="H216" s="63">
        <f>IF(C213&lt;=F212,B206,IF(C213=F212,B206,IF(C213=C204,C206,IF(C213=D204,D206,IF(C213=E204,E206,IF(C213=F204,F206,IF(C213=G204,G206,IF(C213=H204,H206))))))))</f>
        <v>1.1800000000000001E-3</v>
      </c>
      <c r="I216" s="57"/>
      <c r="J216" s="57"/>
      <c r="K216" s="50"/>
      <c r="L216" s="50"/>
      <c r="M216" s="50"/>
      <c r="N216" s="50"/>
    </row>
    <row r="217" spans="1:14" ht="18.75">
      <c r="A217" s="55" t="s">
        <v>76</v>
      </c>
      <c r="B217" s="56">
        <f>G217</f>
        <v>8.4999999999999995E-4</v>
      </c>
      <c r="C217" s="56">
        <f t="shared" si="13"/>
        <v>6.8000000000000005E-4</v>
      </c>
      <c r="D217" s="280">
        <f>B217-(((B217-C217)/(C213-B213))*(D213-B213))</f>
        <v>6.9593459454545458E-4</v>
      </c>
      <c r="E217" s="280"/>
      <c r="F217" s="57"/>
      <c r="G217" s="63">
        <f>IF(B213&lt;=F212,B207,IF(B213=F212,B207,IF(B213=C204,C207,IF(B213=D204,D207,IF(B213=E204,E207,IF(B213=F204,F207,IF(B213=G204,G207,IF(B213=H204,H207))))))))</f>
        <v>8.4999999999999995E-4</v>
      </c>
      <c r="H217" s="63">
        <f>IF(C213&lt;=F212,B207,IF(C213=F212,B207,IF(C213=C204,C207,IF(C213=D204,D207,IF(C213=E204,E207,IF(C213=F204,F207,IF(C213=G204,G207,IF(C213=H204,H207))))))))</f>
        <v>6.8000000000000005E-4</v>
      </c>
      <c r="I217" s="57"/>
      <c r="J217" s="57"/>
      <c r="K217" s="50"/>
      <c r="L217" s="50"/>
      <c r="M217" s="50"/>
      <c r="N217" s="50"/>
    </row>
    <row r="218" spans="1:14" ht="18.75">
      <c r="A218" s="55" t="s">
        <v>77</v>
      </c>
      <c r="B218" s="56">
        <f>G218</f>
        <v>9.5E-4</v>
      </c>
      <c r="C218" s="56">
        <f t="shared" si="13"/>
        <v>7.5000000000000002E-4</v>
      </c>
      <c r="D218" s="280">
        <f>B218-(((B218-C218)/(C213-B213))*(D213-B213))</f>
        <v>7.6874658181818191E-4</v>
      </c>
      <c r="E218" s="280"/>
      <c r="F218" s="57"/>
      <c r="G218" s="63">
        <f>IF(B213&lt;=F212,B208,IF(B213=F212,B208,IF(B213=C204,C208,IF(B213=D204,D208,IF(B213=E204,E208,IF(B213=F204,F208,IF(B213=G204,G208,IF(B213=H204,H208))))))))</f>
        <v>9.5E-4</v>
      </c>
      <c r="H218" s="63">
        <f>IF(C213&lt;=F212,B208,IF(C213=F212,B208,IF(C213=C204,C208,IF(C213=D204,D208,IF(C213=E204,E208,IF(C213=F204,F208,IF(C213=G204,G208,IF(C213=H204,H208))))))))</f>
        <v>7.5000000000000002E-4</v>
      </c>
      <c r="I218" s="57"/>
      <c r="J218" s="57"/>
      <c r="K218" s="50"/>
      <c r="L218" s="50"/>
      <c r="M218" s="50"/>
      <c r="N218" s="50"/>
    </row>
    <row r="219" spans="1:14" ht="18.75">
      <c r="A219" s="55" t="s">
        <v>78</v>
      </c>
      <c r="B219" s="56">
        <f>G219</f>
        <v>1.0300000000000001E-3</v>
      </c>
      <c r="C219" s="56">
        <f t="shared" si="13"/>
        <v>7.7999999999999999E-4</v>
      </c>
      <c r="D219" s="280">
        <f>B219-(((B219-C219)/(C213-B213))*(D213-B213))</f>
        <v>8.0343322727272732E-4</v>
      </c>
      <c r="E219" s="280"/>
      <c r="F219" s="57"/>
      <c r="G219" s="63">
        <f>IF(B213&lt;=F212,B209,IF(B213=F212,B209,IF(B213=C204,C209,IF(B213=D204,D209,IF(B213=E204,E209,IF(B213=F204,F209,IF(B213=G204,G209,IF(B213=H204,H209))))))))</f>
        <v>1.0300000000000001E-3</v>
      </c>
      <c r="H219" s="63">
        <f>IF(C213&lt;=F212,B209,IF(C213=F212,B209,IF(C213=C204,C209,IF(C213=D204,D209,IF(C213=E204,E209,IF(C213=F204,F209,IF(C213=G204,G209,IF(C213=H204,H209))))))))</f>
        <v>7.7999999999999999E-4</v>
      </c>
      <c r="I219" s="57"/>
      <c r="J219" s="57"/>
      <c r="K219" s="50"/>
      <c r="L219" s="50"/>
      <c r="M219" s="50"/>
      <c r="N219" s="50"/>
    </row>
    <row r="220" spans="1:14" ht="18.75">
      <c r="A220" s="66"/>
      <c r="B220" s="67"/>
      <c r="C220" s="67"/>
      <c r="D220" s="68"/>
      <c r="E220" s="68"/>
      <c r="F220" s="57"/>
      <c r="G220" s="63"/>
      <c r="H220" s="63"/>
      <c r="I220" s="57"/>
      <c r="J220" s="57"/>
      <c r="K220" s="50"/>
      <c r="L220" s="50"/>
      <c r="M220" s="50"/>
      <c r="N220" s="50"/>
    </row>
    <row r="221" spans="1:14" ht="18.75">
      <c r="A221" s="104" t="s">
        <v>79</v>
      </c>
      <c r="B221" s="105"/>
      <c r="C221" s="105"/>
      <c r="D221" s="105"/>
      <c r="E221" s="105"/>
      <c r="F221" s="105"/>
      <c r="G221" s="105"/>
      <c r="H221" s="105"/>
      <c r="I221" s="105"/>
      <c r="J221" s="57"/>
      <c r="K221" s="50"/>
      <c r="L221" s="50"/>
      <c r="M221" s="50"/>
      <c r="N221" s="50"/>
    </row>
    <row r="222" spans="1:14" ht="18.75">
      <c r="A222" s="60" t="s">
        <v>71</v>
      </c>
      <c r="B222" s="60" t="s">
        <v>80</v>
      </c>
      <c r="C222" s="60" t="s">
        <v>81</v>
      </c>
      <c r="D222" s="271" t="s">
        <v>82</v>
      </c>
      <c r="E222" s="271"/>
      <c r="F222" s="106">
        <v>10</v>
      </c>
      <c r="G222" s="281" t="s">
        <v>106</v>
      </c>
      <c r="H222" s="281"/>
      <c r="I222" s="281"/>
      <c r="J222" s="57"/>
      <c r="K222" s="50"/>
      <c r="L222" s="50"/>
      <c r="M222" s="50"/>
      <c r="N222" s="50"/>
    </row>
    <row r="223" spans="1:14" ht="18.75">
      <c r="A223" s="269" t="s">
        <v>121</v>
      </c>
      <c r="B223" s="273">
        <f>C204</f>
        <v>20</v>
      </c>
      <c r="C223" s="273">
        <f>D204</f>
        <v>50</v>
      </c>
      <c r="D223" s="274">
        <f>G223/1000000000</f>
        <v>24.516749999999998</v>
      </c>
      <c r="E223" s="274"/>
      <c r="F223" s="106">
        <f>IF(D223&lt;F222,F222,IF(AND(D223&gt;F222,D223&lt;=C214),F222,IF(AND(D223&gt;C214,D223&lt;=D214),C214,IF(AND(D223&gt;D214,D223&lt;=E214),D214,IF(AND(D223&gt;E214,D223&lt;=F214),E214,IF(AND(D223&gt;F214,D223&lt;=G214),F214,IF(AND(D223&gt;G214,D223&lt;=H214),G214)))))))</f>
        <v>0</v>
      </c>
      <c r="G223" s="276">
        <f>'[1]2.1. CP DAU TU NHA O THAP TANG'!D4*1000</f>
        <v>24516750000</v>
      </c>
      <c r="H223" s="276"/>
      <c r="I223" s="276"/>
      <c r="J223" s="57"/>
      <c r="K223" s="50"/>
      <c r="L223" s="50"/>
      <c r="M223" s="50"/>
      <c r="N223" s="50"/>
    </row>
    <row r="224" spans="1:14" ht="18.75">
      <c r="A224" s="270"/>
      <c r="B224" s="270"/>
      <c r="C224" s="270"/>
      <c r="D224" s="277" t="s">
        <v>85</v>
      </c>
      <c r="E224" s="277"/>
      <c r="F224" s="105" t="str">
        <f>IF(D223&lt;F222,F222,IF(AND(D223&gt;F222,D223&lt;=C214),C214,IF(AND(D223&gt;C214,D223&lt;=D214),D214,IF(AND(D223&gt;D214,D223&lt;=E214),E214,IF(AND(D223&gt;E214,D223&lt;=F214),F214,IF(AND(D223&gt;F214,D223&lt;=G214),G214,IF(AND(D223&gt;G214,D223&lt;=H214),H214)))))))</f>
        <v>Tỷ lệ sau nội suy</v>
      </c>
      <c r="G224" s="278" t="s">
        <v>86</v>
      </c>
      <c r="H224" s="278"/>
      <c r="I224" s="278"/>
      <c r="J224" s="57"/>
      <c r="K224" s="50"/>
      <c r="L224" s="50"/>
      <c r="M224" s="50"/>
      <c r="N224" s="50"/>
    </row>
    <row r="225" spans="1:14" ht="18.75">
      <c r="A225" s="55" t="s">
        <v>74</v>
      </c>
      <c r="B225" s="56">
        <f>C205</f>
        <v>1.75E-3</v>
      </c>
      <c r="C225" s="56">
        <f>D205</f>
        <v>1.33E-3</v>
      </c>
      <c r="D225" s="280">
        <f>B225-(((B225-C225)/(C223-B223))*(D223-B223))</f>
        <v>1.6867655E-3</v>
      </c>
      <c r="E225" s="280"/>
      <c r="F225" s="100">
        <f>D225</f>
        <v>1.6867655E-3</v>
      </c>
      <c r="G225" s="105" t="b">
        <f>IF(B223&lt;=F222,B215,IF(B223=F222,B215,IF(B223=C214,C215,IF(B223=D214,D215,IF(B223=E214,E215,IF(B223=F214,F215,IF(B223=G214,G215,IF(B223=H214,H215))))))))</f>
        <v>0</v>
      </c>
      <c r="H225" s="105" t="b">
        <f>IF(C223&lt;=F222,B215,IF(C223=F222,B215,IF(C223=C214,C215,IF(C223=D214,D215,IF(C223=E214,E215,IF(C223=F214,F215,IF(C223=G214,G215,IF(C223=H214,H215))))))))</f>
        <v>0</v>
      </c>
      <c r="I225" s="105"/>
      <c r="J225" s="57"/>
      <c r="K225" s="50"/>
      <c r="L225" s="50"/>
      <c r="M225" s="50"/>
      <c r="N225" s="50"/>
    </row>
    <row r="226" spans="1:14" ht="18.75">
      <c r="A226" s="55" t="s">
        <v>75</v>
      </c>
      <c r="B226" s="56">
        <f t="shared" ref="B226:C229" si="14">C206</f>
        <v>2E-3</v>
      </c>
      <c r="C226" s="56">
        <f t="shared" si="14"/>
        <v>1.5100000000000001E-3</v>
      </c>
      <c r="D226" s="280">
        <f>B226-(((B226-C226)/(C223-B223))*(D223-B223))</f>
        <v>1.9262264166666667E-3</v>
      </c>
      <c r="E226" s="280"/>
      <c r="F226" s="105"/>
      <c r="G226" s="105" t="b">
        <f>IF(B223&lt;=F222,B216,IF(B223=F222,B216,IF(B223=C214,C216,IF(B223=D214,D216,IF(B223=E214,E216,IF(B223=F214,F216,IF(B223=G214,G216,IF(B223=H214,H216))))))))</f>
        <v>0</v>
      </c>
      <c r="H226" s="105" t="b">
        <f>IF(C223&lt;=F222,B216,IF(C223=F222,B216,IF(C223=C214,C216,IF(C223=D214,D216,IF(C223=E214,E216,IF(C223=F214,F216,IF(C223=G214,G216,IF(C223=H214,H216))))))))</f>
        <v>0</v>
      </c>
      <c r="I226" s="105"/>
      <c r="J226" s="57"/>
      <c r="K226" s="50"/>
      <c r="L226" s="50"/>
      <c r="M226" s="50"/>
      <c r="N226" s="50"/>
    </row>
    <row r="227" spans="1:14" ht="18.75">
      <c r="A227" s="55" t="s">
        <v>76</v>
      </c>
      <c r="B227" s="56">
        <f t="shared" si="14"/>
        <v>1.14E-3</v>
      </c>
      <c r="C227" s="56">
        <f t="shared" si="14"/>
        <v>8.4999999999999995E-4</v>
      </c>
      <c r="D227" s="280">
        <f>B227-(((B227-C227)/(C223-B223))*(D223-B223))</f>
        <v>1.0963380833333334E-3</v>
      </c>
      <c r="E227" s="280"/>
      <c r="F227" s="105"/>
      <c r="G227" s="105" t="b">
        <f>IF(B223&lt;=F222,B217,IF(B223=F222,B217,IF(B223=C214,C217,IF(B223=D214,D217,IF(B223=E214,E217,IF(B223=F214,F217,IF(B223=G214,G217,IF(B223=H214,H217))))))))</f>
        <v>0</v>
      </c>
      <c r="H227" s="105" t="b">
        <f>IF(C223&lt;=F222,B217,IF(C223=F222,B217,IF(C223=C214,C217,IF(C223=D214,D217,IF(C223=E214,E217,IF(C223=F214,F217,IF(C223=G214,G217,IF(C223=H214,H217))))))))</f>
        <v>0</v>
      </c>
      <c r="I227" s="105"/>
      <c r="J227" s="57"/>
      <c r="K227" s="50"/>
      <c r="L227" s="50"/>
      <c r="M227" s="50"/>
      <c r="N227" s="50"/>
    </row>
    <row r="228" spans="1:14" ht="18.75">
      <c r="A228" s="55" t="s">
        <v>77</v>
      </c>
      <c r="B228" s="56">
        <f t="shared" si="14"/>
        <v>1.2600000000000001E-3</v>
      </c>
      <c r="C228" s="56">
        <f t="shared" si="14"/>
        <v>9.5E-4</v>
      </c>
      <c r="D228" s="280">
        <f>B228-(((B228-C228)/(C223-B223))*(D223-B223))</f>
        <v>1.2133269166666666E-3</v>
      </c>
      <c r="E228" s="280"/>
      <c r="F228" s="105"/>
      <c r="G228" s="105" t="b">
        <f>IF(B223&lt;=F222,B218,IF(B223=F222,B218,IF(B223=C214,C218,IF(B223=D214,D218,IF(B223=E214,E218,IF(B223=F214,F218,IF(B223=G214,G218,IF(B223=H214,H218))))))))</f>
        <v>0</v>
      </c>
      <c r="H228" s="105" t="b">
        <f>IF(C223&lt;=F222,B218,IF(C223=F222,B218,IF(C223=C214,C218,IF(C223=D214,D218,IF(C223=E214,E218,IF(C223=F214,F218,IF(C223=G214,G218,IF(C223=H214,H218))))))))</f>
        <v>0</v>
      </c>
      <c r="I228" s="105"/>
      <c r="J228" s="57"/>
      <c r="K228" s="50"/>
      <c r="L228" s="50"/>
      <c r="M228" s="50"/>
      <c r="N228" s="50"/>
    </row>
    <row r="229" spans="1:14" ht="18.75">
      <c r="A229" s="55" t="s">
        <v>78</v>
      </c>
      <c r="B229" s="56">
        <f t="shared" si="14"/>
        <v>1.33E-3</v>
      </c>
      <c r="C229" s="56">
        <f t="shared" si="14"/>
        <v>1.0300000000000001E-3</v>
      </c>
      <c r="D229" s="280">
        <f>B229-(((B229-C229)/(C223-B223))*(D223-B223))</f>
        <v>1.2848325E-3</v>
      </c>
      <c r="E229" s="280"/>
      <c r="F229" s="105"/>
      <c r="G229" s="105" t="b">
        <f>IF(B223&lt;=F222,B219,IF(B223=F222,B219,IF(B223=C214,C219,IF(B223=D214,D219,IF(B223=E214,E219,IF(B223=F214,F219,IF(B223=G214,G219,IF(B223=H214,H219))))))))</f>
        <v>0</v>
      </c>
      <c r="H229" s="105" t="b">
        <f>IF(C223&lt;=F222,B219,IF(C223=F222,B219,IF(C223=C214,C219,IF(C223=D214,D219,IF(C223=E214,E219,IF(C223=F214,F219,IF(C223=G214,G219,IF(C223=H214,H219))))))))</f>
        <v>0</v>
      </c>
      <c r="I229" s="105"/>
      <c r="J229" s="57"/>
      <c r="K229" s="50"/>
      <c r="L229" s="50"/>
      <c r="M229" s="50"/>
      <c r="N229" s="50"/>
    </row>
    <row r="230" spans="1:14" ht="18.75">
      <c r="A230" s="66"/>
      <c r="B230" s="67"/>
      <c r="C230" s="67"/>
      <c r="D230" s="68"/>
      <c r="E230" s="68"/>
      <c r="F230" s="105"/>
      <c r="G230" s="105"/>
      <c r="H230" s="105"/>
      <c r="I230" s="105"/>
      <c r="J230" s="57"/>
      <c r="K230" s="50"/>
      <c r="L230" s="50"/>
      <c r="M230" s="50"/>
      <c r="N230" s="50"/>
    </row>
    <row r="231" spans="1:14" ht="18.75">
      <c r="A231" s="59" t="s">
        <v>79</v>
      </c>
      <c r="B231" s="57"/>
      <c r="C231" s="57"/>
      <c r="D231" s="57"/>
      <c r="E231" s="57"/>
      <c r="F231" s="105"/>
      <c r="G231" s="105"/>
      <c r="H231" s="105"/>
      <c r="I231" s="105"/>
      <c r="J231" s="57"/>
      <c r="K231" s="50"/>
      <c r="L231" s="50"/>
      <c r="M231" s="50"/>
      <c r="N231" s="50"/>
    </row>
    <row r="232" spans="1:14" ht="18.75">
      <c r="A232" s="60" t="s">
        <v>71</v>
      </c>
      <c r="B232" s="60" t="s">
        <v>80</v>
      </c>
      <c r="C232" s="60" t="s">
        <v>81</v>
      </c>
      <c r="D232" s="271" t="s">
        <v>82</v>
      </c>
      <c r="E232" s="271"/>
      <c r="F232" s="106">
        <v>10</v>
      </c>
      <c r="G232" s="281" t="s">
        <v>106</v>
      </c>
      <c r="H232" s="281"/>
      <c r="I232" s="281"/>
      <c r="J232" s="57"/>
      <c r="K232" s="50"/>
      <c r="L232" s="50"/>
      <c r="M232" s="50"/>
      <c r="N232" s="50"/>
    </row>
    <row r="233" spans="1:14" ht="18.75">
      <c r="A233" s="269" t="s">
        <v>121</v>
      </c>
      <c r="B233" s="273">
        <f>H224</f>
        <v>0</v>
      </c>
      <c r="C233" s="273">
        <f>I224</f>
        <v>0</v>
      </c>
      <c r="D233" s="274">
        <f>G233/1000000000</f>
        <v>8.1694200000000006</v>
      </c>
      <c r="E233" s="274"/>
      <c r="F233" s="106">
        <f>IF(D233&lt;F232,F232,IF(AND(D233&gt;F232,D233&lt;=C224),F232,IF(AND(D233&gt;C224,D233&lt;=D224),C224,IF(AND(D233&gt;D224,D233&lt;=E224),D224,IF(AND(D233&gt;E224,D233&lt;=F224),E224,IF(AND(D233&gt;F224,D233&lt;=G224),F224,IF(AND(D233&gt;G224,D233&lt;=H224),G224)))))))</f>
        <v>10</v>
      </c>
      <c r="G233" s="276">
        <f>'[2]2.2. XD HTKT'!D6</f>
        <v>8169420000</v>
      </c>
      <c r="H233" s="276"/>
      <c r="I233" s="276"/>
      <c r="J233" s="57"/>
      <c r="K233" s="50"/>
      <c r="L233" s="50"/>
      <c r="M233" s="50"/>
      <c r="N233" s="50"/>
    </row>
    <row r="234" spans="1:14" ht="18.75">
      <c r="A234" s="270"/>
      <c r="B234" s="270"/>
      <c r="C234" s="270"/>
      <c r="D234" s="277" t="s">
        <v>85</v>
      </c>
      <c r="E234" s="277"/>
      <c r="F234" s="105">
        <f>IF(D233&lt;F232,F232,IF(AND(D233&gt;F232,D233&lt;=C224),C224,IF(AND(D233&gt;C224,D233&lt;=D224),D224,IF(AND(D233&gt;D224,D233&lt;=E224),E224,IF(AND(D233&gt;E224,D233&lt;=F224),F224,IF(AND(D233&gt;F224,D233&lt;=G224),G224,IF(AND(D233&gt;G224,D233&lt;=H224),H224)))))))</f>
        <v>10</v>
      </c>
      <c r="G234" s="278" t="s">
        <v>86</v>
      </c>
      <c r="H234" s="278"/>
      <c r="I234" s="278"/>
      <c r="J234" s="57"/>
      <c r="K234" s="50"/>
      <c r="L234" s="50"/>
      <c r="M234" s="50"/>
      <c r="N234" s="50"/>
    </row>
    <row r="235" spans="1:14" ht="18.75">
      <c r="A235" s="55" t="s">
        <v>74</v>
      </c>
      <c r="B235" s="56">
        <f>G235</f>
        <v>1.75E-3</v>
      </c>
      <c r="C235" s="56">
        <f>I225</f>
        <v>0</v>
      </c>
      <c r="D235" s="280" t="e">
        <f>B235-(((B235-C235)/(C233-B233))*(D233-B233))</f>
        <v>#DIV/0!</v>
      </c>
      <c r="E235" s="280"/>
      <c r="F235" s="108"/>
      <c r="G235" s="105">
        <f>IF(B233&lt;=F232,B225,IF(B233=F232,B225,IF(B233=C224,C225,IF(B233=D224,D225,IF(B233=E224,E225,IF(B233=F224,F225,IF(B233=G224,G225,IF(B233=H224,H225))))))))</f>
        <v>1.75E-3</v>
      </c>
      <c r="H235" s="105">
        <f>IF(C233&lt;=F232,B225,IF(C233=F232,B225,IF(C233=C224,C225,IF(C233=D224,D225,IF(C233=E224,E225,IF(C233=F224,F225,IF(C233=G224,G225,IF(C233=H224,H225))))))))</f>
        <v>1.75E-3</v>
      </c>
      <c r="I235" s="105"/>
      <c r="J235" s="57"/>
      <c r="K235" s="50"/>
      <c r="L235" s="50"/>
      <c r="M235" s="50"/>
      <c r="N235" s="50"/>
    </row>
    <row r="236" spans="1:14" ht="18.75">
      <c r="A236" s="55" t="s">
        <v>75</v>
      </c>
      <c r="B236" s="56">
        <f>G236</f>
        <v>2E-3</v>
      </c>
      <c r="C236" s="56">
        <f>I226</f>
        <v>0</v>
      </c>
      <c r="D236" s="280" t="e">
        <f>B236-(((B236-C236)/(C233-B233))*(D233-B233))</f>
        <v>#DIV/0!</v>
      </c>
      <c r="E236" s="280"/>
      <c r="F236" s="105"/>
      <c r="G236" s="105">
        <f>IF(B233&lt;=F232,B226,IF(B233=F232,B226,IF(B233=C224,C226,IF(B233=D224,D226,IF(B233=E224,E226,IF(B233=F224,F226,IF(B233=G224,G226,IF(B233=H224,H226))))))))</f>
        <v>2E-3</v>
      </c>
      <c r="H236" s="105">
        <f>IF(C233&lt;=F232,B226,IF(C233=F232,B226,IF(C233=C224,C226,IF(C233=D224,D226,IF(C233=E224,E226,IF(C233=F224,F226,IF(C233=G224,G226,IF(C233=H224,H226))))))))</f>
        <v>2E-3</v>
      </c>
      <c r="I236" s="105"/>
      <c r="J236" s="57"/>
      <c r="K236" s="50"/>
      <c r="L236" s="50"/>
      <c r="M236" s="50"/>
      <c r="N236" s="50"/>
    </row>
    <row r="237" spans="1:14" ht="18.75">
      <c r="A237" s="55" t="s">
        <v>76</v>
      </c>
      <c r="B237" s="56">
        <f>G237</f>
        <v>1.14E-3</v>
      </c>
      <c r="C237" s="56">
        <f>I227</f>
        <v>0</v>
      </c>
      <c r="D237" s="280" t="e">
        <f>B237-(((B237-C237)/(C233-B233))*(D233-B233))</f>
        <v>#DIV/0!</v>
      </c>
      <c r="E237" s="280"/>
      <c r="F237" s="105"/>
      <c r="G237" s="105">
        <f>IF(B233&lt;=F232,B227,IF(B233=F232,B227,IF(B233=C224,C227,IF(B233=D224,D227,IF(B233=E224,E227,IF(B233=F224,F227,IF(B233=G224,G227,IF(B233=H224,H227))))))))</f>
        <v>1.14E-3</v>
      </c>
      <c r="H237" s="105">
        <f>IF(C233&lt;=F232,B227,IF(C233=F232,B227,IF(C233=C224,C227,IF(C233=D224,D227,IF(C233=E224,E227,IF(C233=F224,F227,IF(C233=G224,G227,IF(C233=H224,H227))))))))</f>
        <v>1.14E-3</v>
      </c>
      <c r="I237" s="105"/>
      <c r="J237" s="57"/>
      <c r="K237" s="50"/>
      <c r="L237" s="50"/>
      <c r="M237" s="50"/>
      <c r="N237" s="50"/>
    </row>
    <row r="238" spans="1:14" ht="18.75">
      <c r="A238" s="55" t="s">
        <v>77</v>
      </c>
      <c r="B238" s="56">
        <f>G238</f>
        <v>1.2600000000000001E-3</v>
      </c>
      <c r="C238" s="56">
        <f>I228</f>
        <v>0</v>
      </c>
      <c r="D238" s="280" t="e">
        <f>B238-(((B238-C238)/(C233-B233))*(D233-B233))</f>
        <v>#DIV/0!</v>
      </c>
      <c r="E238" s="280"/>
      <c r="F238" s="105"/>
      <c r="G238" s="105">
        <f>IF(B233&lt;=F232,B228,IF(B233=F232,B228,IF(B233=C224,C228,IF(B233=D224,D228,IF(B233=E224,E228,IF(B233=F224,F228,IF(B233=G224,G228,IF(B233=H224,H228))))))))</f>
        <v>1.2600000000000001E-3</v>
      </c>
      <c r="H238" s="105">
        <f>IF(C233&lt;=F232,B228,IF(C233=F232,B228,IF(C233=C224,C228,IF(C233=D224,D228,IF(C233=E224,E228,IF(C233=F224,F228,IF(C233=G224,G228,IF(C233=H224,H228))))))))</f>
        <v>1.2600000000000001E-3</v>
      </c>
      <c r="I238" s="105"/>
      <c r="J238" s="57"/>
      <c r="K238" s="50"/>
      <c r="L238" s="50"/>
      <c r="M238" s="50"/>
      <c r="N238" s="50"/>
    </row>
    <row r="239" spans="1:14" ht="18.75">
      <c r="A239" s="55" t="s">
        <v>78</v>
      </c>
      <c r="B239" s="56">
        <f>G239</f>
        <v>1.33E-3</v>
      </c>
      <c r="C239" s="56">
        <f>I229</f>
        <v>0</v>
      </c>
      <c r="D239" s="280" t="e">
        <f>B239-(((B239-C239)/(C233-B233))*(D233-B233))</f>
        <v>#DIV/0!</v>
      </c>
      <c r="E239" s="280"/>
      <c r="F239" s="101">
        <f>B209</f>
        <v>1.5299999999999999E-3</v>
      </c>
      <c r="G239" s="105">
        <f>IF(B233&lt;=F232,B229,IF(B233=F232,B229,IF(B233=C224,C229,IF(B233=D224,D229,IF(B233=E224,E229,IF(B233=F224,F229,IF(B233=G224,G229,IF(B233=H224,H229))))))))</f>
        <v>1.33E-3</v>
      </c>
      <c r="H239" s="105">
        <f>IF(C233&lt;=F232,B229,IF(C233=F232,B229,IF(C233=C224,C229,IF(C233=D224,D229,IF(C233=E224,E229,IF(C233=F224,F229,IF(C233=G224,G229,IF(C233=H224,H229))))))))</f>
        <v>1.33E-3</v>
      </c>
      <c r="I239" s="105"/>
      <c r="J239" s="57"/>
      <c r="K239" s="50"/>
      <c r="L239" s="50"/>
      <c r="M239" s="50"/>
      <c r="N239" s="50"/>
    </row>
    <row r="240" spans="1:14" ht="18.75">
      <c r="A240" s="66"/>
      <c r="B240" s="67"/>
      <c r="C240" s="67"/>
      <c r="D240" s="68"/>
      <c r="E240" s="68"/>
      <c r="F240" s="105"/>
      <c r="G240" s="105"/>
      <c r="H240" s="105"/>
      <c r="I240" s="105"/>
      <c r="J240" s="57"/>
      <c r="K240" s="50"/>
      <c r="L240" s="50"/>
      <c r="M240" s="50"/>
      <c r="N240" s="50"/>
    </row>
    <row r="241" spans="1:14" ht="18.75">
      <c r="A241" s="58"/>
      <c r="B241" s="57"/>
      <c r="C241" s="57"/>
      <c r="D241" s="57"/>
      <c r="E241" s="57"/>
      <c r="F241" s="57"/>
      <c r="G241" s="57"/>
      <c r="H241" s="57"/>
      <c r="I241" s="57"/>
      <c r="J241" s="57"/>
      <c r="K241" s="50"/>
      <c r="L241" s="50"/>
      <c r="M241" s="50"/>
      <c r="N241" s="50"/>
    </row>
    <row r="242" spans="1:14" ht="18.75">
      <c r="A242" s="51" t="s">
        <v>123</v>
      </c>
      <c r="B242" s="52"/>
      <c r="C242" s="52"/>
      <c r="D242" s="52"/>
      <c r="E242" s="52"/>
      <c r="F242" s="52"/>
      <c r="G242" s="52"/>
      <c r="H242" s="52"/>
      <c r="I242" s="52"/>
      <c r="J242" s="52"/>
      <c r="K242" s="50"/>
      <c r="L242" s="50"/>
      <c r="M242" s="50"/>
      <c r="N242" s="50"/>
    </row>
    <row r="243" spans="1:14" ht="18.75">
      <c r="A243" s="269" t="s">
        <v>71</v>
      </c>
      <c r="B243" s="271" t="s">
        <v>110</v>
      </c>
      <c r="C243" s="271"/>
      <c r="D243" s="271"/>
      <c r="E243" s="271"/>
      <c r="F243" s="271"/>
      <c r="G243" s="271"/>
      <c r="H243" s="271"/>
      <c r="I243" s="271"/>
      <c r="J243" s="52"/>
      <c r="K243" s="50"/>
      <c r="L243" s="50"/>
      <c r="M243" s="50"/>
      <c r="N243" s="50"/>
    </row>
    <row r="244" spans="1:14" ht="18.75">
      <c r="A244" s="270"/>
      <c r="B244" s="53" t="s">
        <v>120</v>
      </c>
      <c r="C244" s="53">
        <v>20</v>
      </c>
      <c r="D244" s="53">
        <v>50</v>
      </c>
      <c r="E244" s="53">
        <v>100</v>
      </c>
      <c r="F244" s="53">
        <v>200</v>
      </c>
      <c r="G244" s="53">
        <v>500</v>
      </c>
      <c r="H244" s="53">
        <v>1000</v>
      </c>
      <c r="I244" s="53">
        <v>2000</v>
      </c>
      <c r="J244" s="54"/>
      <c r="K244" s="50"/>
      <c r="L244" s="50"/>
      <c r="M244" s="50"/>
      <c r="N244" s="50"/>
    </row>
    <row r="245" spans="1:14" ht="18.75">
      <c r="A245" s="55" t="s">
        <v>74</v>
      </c>
      <c r="B245" s="56">
        <v>3.3700000000000002E-3</v>
      </c>
      <c r="C245" s="56">
        <v>2.7000000000000001E-3</v>
      </c>
      <c r="D245" s="56">
        <v>1.5200000000000001E-3</v>
      </c>
      <c r="E245" s="56">
        <v>9.8999999999999999E-4</v>
      </c>
      <c r="F245" s="56">
        <v>5.9000000000000003E-4</v>
      </c>
      <c r="G245" s="56">
        <v>4.2999999999999999E-4</v>
      </c>
      <c r="H245" s="56">
        <v>2.9999999999999997E-4</v>
      </c>
      <c r="I245" s="56">
        <v>2.5999999999999998E-4</v>
      </c>
      <c r="J245" s="57"/>
      <c r="K245" s="50"/>
      <c r="L245" s="50"/>
      <c r="M245" s="50"/>
      <c r="N245" s="50"/>
    </row>
    <row r="246" spans="1:14" ht="18.75">
      <c r="A246" s="55" t="s">
        <v>75</v>
      </c>
      <c r="B246" s="56">
        <v>4.3899999999999998E-3</v>
      </c>
      <c r="C246" s="56">
        <v>3.0300000000000001E-3</v>
      </c>
      <c r="D246" s="56">
        <v>1.6900000000000001E-3</v>
      </c>
      <c r="E246" s="56">
        <v>1.15E-3</v>
      </c>
      <c r="F246" s="56">
        <v>7.3999999999999999E-4</v>
      </c>
      <c r="G246" s="56">
        <v>5.2999999999999998E-4</v>
      </c>
      <c r="H246" s="56">
        <v>4.0000000000000002E-4</v>
      </c>
      <c r="I246" s="56">
        <v>3.4000000000000002E-4</v>
      </c>
      <c r="J246" s="57"/>
      <c r="K246" s="50"/>
      <c r="L246" s="50"/>
      <c r="M246" s="50"/>
      <c r="N246" s="50"/>
    </row>
    <row r="247" spans="1:14" ht="18.75">
      <c r="A247" s="55" t="s">
        <v>76</v>
      </c>
      <c r="B247" s="56">
        <v>2.7000000000000001E-3</v>
      </c>
      <c r="C247" s="56">
        <v>1.8500000000000001E-3</v>
      </c>
      <c r="D247" s="56">
        <v>1.1800000000000001E-3</v>
      </c>
      <c r="E247" s="56">
        <v>6.9999999999999999E-4</v>
      </c>
      <c r="F247" s="56">
        <v>4.4999999999999999E-4</v>
      </c>
      <c r="G247" s="56">
        <v>3.5E-4</v>
      </c>
      <c r="H247" s="56">
        <v>2.2000000000000001E-4</v>
      </c>
      <c r="I247" s="56">
        <v>1.9000000000000001E-4</v>
      </c>
      <c r="J247" s="57"/>
      <c r="K247" s="50"/>
      <c r="L247" s="50"/>
      <c r="M247" s="50"/>
      <c r="N247" s="50"/>
    </row>
    <row r="248" spans="1:14" ht="18.75">
      <c r="A248" s="55" t="s">
        <v>77</v>
      </c>
      <c r="B248" s="56">
        <v>2.82E-3</v>
      </c>
      <c r="C248" s="56">
        <v>2.3600000000000001E-3</v>
      </c>
      <c r="D248" s="56">
        <v>1.2999999999999999E-3</v>
      </c>
      <c r="E248" s="56">
        <v>7.3999999999999999E-4</v>
      </c>
      <c r="F248" s="56">
        <v>4.6999999999999999E-4</v>
      </c>
      <c r="G248" s="56">
        <v>3.6999999999999999E-4</v>
      </c>
      <c r="H248" s="56">
        <v>2.4000000000000001E-4</v>
      </c>
      <c r="I248" s="56">
        <v>2.1000000000000001E-4</v>
      </c>
      <c r="J248" s="57"/>
      <c r="K248" s="50"/>
      <c r="L248" s="50"/>
      <c r="M248" s="50"/>
      <c r="N248" s="50"/>
    </row>
    <row r="249" spans="1:14" ht="18.75">
      <c r="A249" s="55" t="s">
        <v>78</v>
      </c>
      <c r="B249" s="56">
        <v>3.0300000000000001E-3</v>
      </c>
      <c r="C249" s="56">
        <v>2.5400000000000002E-3</v>
      </c>
      <c r="D249" s="56">
        <v>1.3500000000000001E-3</v>
      </c>
      <c r="E249" s="56">
        <v>8.3000000000000001E-4</v>
      </c>
      <c r="F249" s="56">
        <v>4.8999999999999998E-4</v>
      </c>
      <c r="G249" s="56">
        <v>4.0000000000000002E-4</v>
      </c>
      <c r="H249" s="56">
        <v>2.5999999999999998E-4</v>
      </c>
      <c r="I249" s="56">
        <v>2.2000000000000001E-4</v>
      </c>
      <c r="J249" s="57"/>
      <c r="K249" s="50"/>
      <c r="L249" s="50"/>
      <c r="M249" s="50"/>
      <c r="N249" s="50"/>
    </row>
    <row r="250" spans="1:14" ht="18.75">
      <c r="A250" s="58"/>
      <c r="B250" s="57"/>
      <c r="C250" s="57"/>
      <c r="D250" s="57"/>
      <c r="E250" s="57"/>
      <c r="F250" s="57"/>
      <c r="G250" s="57"/>
      <c r="H250" s="57"/>
      <c r="I250" s="57"/>
      <c r="J250" s="57"/>
      <c r="K250" s="50"/>
      <c r="L250" s="50"/>
      <c r="M250" s="50"/>
      <c r="N250" s="50"/>
    </row>
    <row r="251" spans="1:14" ht="18.75">
      <c r="A251" s="59" t="s">
        <v>79</v>
      </c>
      <c r="B251" s="57"/>
      <c r="C251" s="57"/>
      <c r="D251" s="57"/>
      <c r="E251" s="57"/>
      <c r="F251" s="57"/>
      <c r="G251" s="57"/>
      <c r="H251" s="57"/>
      <c r="I251" s="57"/>
      <c r="J251" s="57"/>
      <c r="K251" s="50"/>
      <c r="L251" s="50"/>
      <c r="M251" s="50"/>
      <c r="N251" s="50"/>
    </row>
    <row r="252" spans="1:14" ht="18.75">
      <c r="A252" s="60" t="s">
        <v>71</v>
      </c>
      <c r="B252" s="60" t="s">
        <v>80</v>
      </c>
      <c r="C252" s="60" t="s">
        <v>81</v>
      </c>
      <c r="D252" s="271" t="s">
        <v>82</v>
      </c>
      <c r="E252" s="271"/>
      <c r="F252" s="61">
        <v>10</v>
      </c>
      <c r="G252" s="271" t="s">
        <v>106</v>
      </c>
      <c r="H252" s="271"/>
      <c r="I252" s="271"/>
      <c r="J252" s="52"/>
      <c r="K252" s="50"/>
      <c r="L252" s="50"/>
      <c r="M252" s="50"/>
      <c r="N252" s="50"/>
    </row>
    <row r="253" spans="1:14" ht="18.75">
      <c r="A253" s="269" t="s">
        <v>121</v>
      </c>
      <c r="B253" s="273">
        <f>D244</f>
        <v>50</v>
      </c>
      <c r="C253" s="273">
        <f>E244</f>
        <v>100</v>
      </c>
      <c r="D253" s="274">
        <f>G253/1000000000</f>
        <v>95.31335454545453</v>
      </c>
      <c r="E253" s="274"/>
      <c r="F253" s="61">
        <f>IF(D253&lt;F252,F252,IF(AND(D253&gt;F252,D253&lt;=C244),F252,IF(AND(D253&gt;C244,D253&lt;=D244),C244,IF(AND(D253&gt;D244,D253&lt;=E244),D244,IF(AND(D253&gt;E244,D253&lt;=F244),E244,IF(AND(D253&gt;F244,D253&lt;=G244),F244,IF(AND(D253&gt;G244,D253&lt;=H244),G244)))))))</f>
        <v>50</v>
      </c>
      <c r="G253" s="275">
        <f>G213</f>
        <v>95313354545.454529</v>
      </c>
      <c r="H253" s="275"/>
      <c r="I253" s="275"/>
      <c r="J253" s="62"/>
      <c r="K253" s="50"/>
      <c r="L253" s="50"/>
      <c r="M253" s="50"/>
      <c r="N253" s="50"/>
    </row>
    <row r="254" spans="1:14" ht="18.75">
      <c r="A254" s="270"/>
      <c r="B254" s="270"/>
      <c r="C254" s="270"/>
      <c r="D254" s="277" t="s">
        <v>85</v>
      </c>
      <c r="E254" s="277"/>
      <c r="F254" s="63">
        <f>IF(D253&lt;F252,F252,IF(AND(D253&gt;F252,D253&lt;=C244),C244,IF(AND(D253&gt;C244,D253&lt;=D244),D244,IF(AND(D253&gt;D244,D253&lt;=E244),E244,IF(AND(D253&gt;E244,D253&lt;=F244),F244,IF(AND(D253&gt;F244,D253&lt;=G244),G244,IF(AND(D253&gt;G244,D253&lt;=H244),H244)))))))</f>
        <v>100</v>
      </c>
      <c r="G254" s="279" t="s">
        <v>86</v>
      </c>
      <c r="H254" s="279"/>
      <c r="I254" s="279"/>
      <c r="J254" s="64"/>
      <c r="K254" s="50"/>
      <c r="L254" s="50"/>
      <c r="M254" s="50"/>
      <c r="N254" s="50"/>
    </row>
    <row r="255" spans="1:14" ht="18.75">
      <c r="A255" s="55" t="s">
        <v>74</v>
      </c>
      <c r="B255" s="56">
        <f>G255</f>
        <v>1.5200000000000001E-3</v>
      </c>
      <c r="C255" s="56">
        <f>E245</f>
        <v>9.8999999999999999E-4</v>
      </c>
      <c r="D255" s="280">
        <f>B255-(((B255-C255)/(C253-B253))*(D253-B253))</f>
        <v>1.0396784418181819E-3</v>
      </c>
      <c r="E255" s="280"/>
      <c r="F255" s="100">
        <f>D255</f>
        <v>1.0396784418181819E-3</v>
      </c>
      <c r="G255" s="63">
        <f>IF(B253&lt;=F252,B245,IF(B253=F252,B245,IF(B253=C244,C245,IF(B253=D244,D245,IF(B253=E244,E245,IF(B253=F244,F245,IF(B253=G244,G245,IF(B253=H244,H245))))))))</f>
        <v>1.5200000000000001E-3</v>
      </c>
      <c r="H255" s="63">
        <f>IF(C253&lt;=F252,B245,IF(C253=F252,B245,IF(C253=C244,C245,IF(C253=D244,D245,IF(C253=E244,E245,IF(C253=F244,F245,IF(C253=G244,G245,IF(C253=H244,H245))))))))</f>
        <v>9.8999999999999999E-4</v>
      </c>
      <c r="I255" s="57"/>
      <c r="J255" s="57"/>
      <c r="K255" s="50"/>
      <c r="L255" s="50"/>
      <c r="M255" s="50"/>
      <c r="N255" s="50"/>
    </row>
    <row r="256" spans="1:14" ht="18.75">
      <c r="A256" s="55" t="s">
        <v>75</v>
      </c>
      <c r="B256" s="56">
        <f>G256</f>
        <v>1.6900000000000001E-3</v>
      </c>
      <c r="C256" s="56">
        <f t="shared" ref="C256:C259" si="15">E246</f>
        <v>1.15E-3</v>
      </c>
      <c r="D256" s="280">
        <f>B256-(((B256-C256)/(C253-B253))*(D253-B253))</f>
        <v>1.200615770909091E-3</v>
      </c>
      <c r="E256" s="280"/>
      <c r="F256" s="70">
        <f>D256</f>
        <v>1.200615770909091E-3</v>
      </c>
      <c r="G256" s="63">
        <f>IF(B253&lt;=F252,B246,IF(B253=F252,B246,IF(B253=C244,C246,IF(B253=D244,D246,IF(B253=E244,E246,IF(B253=F244,F246,IF(B253=G244,G246,IF(B253=H244,H246))))))))</f>
        <v>1.6900000000000001E-3</v>
      </c>
      <c r="H256" s="63">
        <f>IF(C253&lt;=F252,B246,IF(C253=F252,B246,IF(C253=C244,C246,IF(C253=D244,D246,IF(C253=E244,E246,IF(C253=F244,F246,IF(C253=G244,G246,IF(C253=H244,H246))))))))</f>
        <v>1.15E-3</v>
      </c>
      <c r="I256" s="57"/>
      <c r="J256" s="57"/>
      <c r="K256" s="50"/>
      <c r="L256" s="50"/>
      <c r="M256" s="50"/>
      <c r="N256" s="50"/>
    </row>
    <row r="257" spans="1:14" ht="18.75">
      <c r="A257" s="55" t="s">
        <v>76</v>
      </c>
      <c r="B257" s="56">
        <f>G257</f>
        <v>1.1800000000000001E-3</v>
      </c>
      <c r="C257" s="56">
        <f t="shared" si="15"/>
        <v>6.9999999999999999E-4</v>
      </c>
      <c r="D257" s="280">
        <f>B257-(((B257-C257)/(C253-B253))*(D253-B253))</f>
        <v>7.4499179636363646E-4</v>
      </c>
      <c r="E257" s="280"/>
      <c r="F257" s="57"/>
      <c r="G257" s="63">
        <f>IF(B253&lt;=F252,B247,IF(B253=F252,B247,IF(B253=C244,C247,IF(B253=D244,D247,IF(B253=E244,E247,IF(B253=F244,F247,IF(B253=G244,G247,IF(B253=H244,H247))))))))</f>
        <v>1.1800000000000001E-3</v>
      </c>
      <c r="H257" s="63">
        <f>IF(C253&lt;=F252,B247,IF(C253=F252,B247,IF(C253=C244,C247,IF(C253=D244,D247,IF(C253=E244,E247,IF(C253=F244,F247,IF(C253=G244,G247,IF(C253=H244,H247))))))))</f>
        <v>6.9999999999999999E-4</v>
      </c>
      <c r="I257" s="57"/>
      <c r="J257" s="57"/>
      <c r="K257" s="50"/>
      <c r="L257" s="50"/>
      <c r="M257" s="50"/>
      <c r="N257" s="50"/>
    </row>
    <row r="258" spans="1:14" ht="18.75">
      <c r="A258" s="55" t="s">
        <v>77</v>
      </c>
      <c r="B258" s="56">
        <f>G258</f>
        <v>1.2999999999999999E-3</v>
      </c>
      <c r="C258" s="56">
        <f t="shared" si="15"/>
        <v>7.3999999999999999E-4</v>
      </c>
      <c r="D258" s="280">
        <f>B258-(((B258-C258)/(C253-B253))*(D253-B253))</f>
        <v>7.9249042909090926E-4</v>
      </c>
      <c r="E258" s="280"/>
      <c r="F258" s="57"/>
      <c r="G258" s="63">
        <f>IF(B253&lt;=F252,B248,IF(B253=F252,B248,IF(B253=C244,C248,IF(B253=D244,D248,IF(B253=E244,E248,IF(B253=F244,F248,IF(B253=G244,G248,IF(B253=H244,H248))))))))</f>
        <v>1.2999999999999999E-3</v>
      </c>
      <c r="H258" s="63">
        <f>IF(C253&lt;=F252,B248,IF(C253=F252,B248,IF(C253=C244,C248,IF(C253=D244,D248,IF(C253=E244,E248,IF(C253=F244,F248,IF(C253=G244,G248,IF(C253=H244,H248))))))))</f>
        <v>7.3999999999999999E-4</v>
      </c>
      <c r="I258" s="57"/>
      <c r="J258" s="57"/>
      <c r="K258" s="50"/>
      <c r="L258" s="50"/>
      <c r="M258" s="50"/>
      <c r="N258" s="50"/>
    </row>
    <row r="259" spans="1:14" ht="18.75">
      <c r="A259" s="55" t="s">
        <v>78</v>
      </c>
      <c r="B259" s="56">
        <f>G259</f>
        <v>1.3500000000000001E-3</v>
      </c>
      <c r="C259" s="56">
        <f t="shared" si="15"/>
        <v>8.3000000000000001E-4</v>
      </c>
      <c r="D259" s="280">
        <f>B259-(((B259-C259)/(C253-B253))*(D253-B253))</f>
        <v>8.7874111272727288E-4</v>
      </c>
      <c r="E259" s="280"/>
      <c r="F259" s="57"/>
      <c r="G259" s="63">
        <f>IF(B253&lt;=F252,B249,IF(B253=F252,B249,IF(B253=C244,C249,IF(B253=D244,D249,IF(B253=E244,E249,IF(B253=F244,F249,IF(B253=G244,G249,IF(B253=H244,H249))))))))</f>
        <v>1.3500000000000001E-3</v>
      </c>
      <c r="H259" s="63">
        <f>IF(C253&lt;=F252,B249,IF(C253=F252,B249,IF(C253=C244,C249,IF(C253=D244,D249,IF(C253=E244,E249,IF(C253=F244,F249,IF(C253=G244,G249,IF(C253=H244,H249))))))))</f>
        <v>8.3000000000000001E-4</v>
      </c>
      <c r="I259" s="57"/>
      <c r="J259" s="57"/>
      <c r="K259" s="50"/>
      <c r="L259" s="50"/>
      <c r="M259" s="50"/>
      <c r="N259" s="50"/>
    </row>
    <row r="260" spans="1:14" ht="18.75">
      <c r="A260" s="66"/>
      <c r="B260" s="67"/>
      <c r="C260" s="67"/>
      <c r="D260" s="68"/>
      <c r="E260" s="68"/>
      <c r="F260" s="57"/>
      <c r="G260" s="63"/>
      <c r="H260" s="63"/>
      <c r="I260" s="57"/>
      <c r="J260" s="57"/>
      <c r="K260" s="50"/>
      <c r="L260" s="50"/>
      <c r="M260" s="50"/>
      <c r="N260" s="50"/>
    </row>
    <row r="261" spans="1:14" ht="18.75">
      <c r="A261" s="104" t="s">
        <v>79</v>
      </c>
      <c r="B261" s="105"/>
      <c r="C261" s="105"/>
      <c r="D261" s="105"/>
      <c r="E261" s="105"/>
      <c r="F261" s="105"/>
      <c r="G261" s="105"/>
      <c r="H261" s="105"/>
      <c r="I261" s="105"/>
      <c r="J261" s="57"/>
      <c r="K261" s="50"/>
      <c r="L261" s="50"/>
      <c r="M261" s="50"/>
      <c r="N261" s="50"/>
    </row>
    <row r="262" spans="1:14" ht="18.75">
      <c r="A262" s="60" t="s">
        <v>71</v>
      </c>
      <c r="B262" s="60" t="s">
        <v>80</v>
      </c>
      <c r="C262" s="60" t="s">
        <v>81</v>
      </c>
      <c r="D262" s="271" t="s">
        <v>82</v>
      </c>
      <c r="E262" s="271"/>
      <c r="F262" s="106">
        <v>10</v>
      </c>
      <c r="G262" s="281" t="s">
        <v>106</v>
      </c>
      <c r="H262" s="281"/>
      <c r="I262" s="281"/>
      <c r="J262" s="57"/>
      <c r="K262" s="50"/>
      <c r="L262" s="50"/>
      <c r="M262" s="50"/>
      <c r="N262" s="50"/>
    </row>
    <row r="263" spans="1:14" ht="18.75">
      <c r="A263" s="269" t="s">
        <v>121</v>
      </c>
      <c r="B263" s="273">
        <f>C244</f>
        <v>20</v>
      </c>
      <c r="C263" s="273">
        <f>D244</f>
        <v>50</v>
      </c>
      <c r="D263" s="274">
        <f>G263/1000000000</f>
        <v>24.516749999999998</v>
      </c>
      <c r="E263" s="274"/>
      <c r="F263" s="106">
        <f>IF(D263&lt;F262,F262,IF(AND(D263&gt;F262,D263&lt;=C254),F262,IF(AND(D263&gt;C254,D263&lt;=D254),C254,IF(AND(D263&gt;D254,D263&lt;=E254),D254,IF(AND(D263&gt;E254,D263&lt;=F254),E254,IF(AND(D263&gt;F254,D263&lt;=G254),F254,IF(AND(D263&gt;G254,D263&lt;=H254),G254)))))))</f>
        <v>0</v>
      </c>
      <c r="G263" s="276">
        <f>'[1]2.1. CP DAU TU NHA O THAP TANG'!D4*1000</f>
        <v>24516750000</v>
      </c>
      <c r="H263" s="276"/>
      <c r="I263" s="276"/>
      <c r="J263" s="57"/>
      <c r="K263" s="50"/>
      <c r="L263" s="50"/>
      <c r="M263" s="50"/>
      <c r="N263" s="50"/>
    </row>
    <row r="264" spans="1:14" ht="18.75">
      <c r="A264" s="270"/>
      <c r="B264" s="270"/>
      <c r="C264" s="270"/>
      <c r="D264" s="277" t="s">
        <v>85</v>
      </c>
      <c r="E264" s="277"/>
      <c r="F264" s="105" t="str">
        <f>IF(D263&lt;F262,F262,IF(AND(D263&gt;F262,D263&lt;=C254),C254,IF(AND(D263&gt;C254,D263&lt;=D254),D254,IF(AND(D263&gt;D254,D263&lt;=E254),E254,IF(AND(D263&gt;E254,D263&lt;=F254),F254,IF(AND(D263&gt;F254,D263&lt;=G254),G254,IF(AND(D263&gt;G254,D263&lt;=H254),H254)))))))</f>
        <v>Tỷ lệ sau nội suy</v>
      </c>
      <c r="G264" s="278" t="s">
        <v>86</v>
      </c>
      <c r="H264" s="278"/>
      <c r="I264" s="278"/>
      <c r="J264" s="57"/>
      <c r="K264" s="50"/>
      <c r="L264" s="50"/>
      <c r="M264" s="50"/>
      <c r="N264" s="50"/>
    </row>
    <row r="265" spans="1:14" ht="18.75">
      <c r="A265" s="55" t="s">
        <v>74</v>
      </c>
      <c r="B265" s="56">
        <f>C245</f>
        <v>2.7000000000000001E-3</v>
      </c>
      <c r="C265" s="56">
        <f>D245</f>
        <v>1.5200000000000001E-3</v>
      </c>
      <c r="D265" s="280">
        <f>B265-(((B265-C265)/(C263-B263))*(D263-B263))</f>
        <v>2.522341166666667E-3</v>
      </c>
      <c r="E265" s="280"/>
      <c r="F265" s="100">
        <f>D265</f>
        <v>2.522341166666667E-3</v>
      </c>
      <c r="G265" s="105" t="b">
        <f>IF(B263&lt;=F262,B255,IF(B263=F262,B255,IF(B263=C254,C255,IF(B263=D254,D255,IF(B263=E254,E255,IF(B263=F254,F255,IF(B263=G254,G255,IF(B263=H254,H255))))))))</f>
        <v>0</v>
      </c>
      <c r="H265" s="105" t="b">
        <f>IF(C263&lt;=F262,B255,IF(C263=F262,B255,IF(C263=C254,C255,IF(C263=D254,D255,IF(C263=E254,E255,IF(C263=F254,F255,IF(C263=G254,G255,IF(C263=H254,H255))))))))</f>
        <v>0</v>
      </c>
      <c r="I265" s="105"/>
      <c r="J265" s="57"/>
      <c r="K265" s="50"/>
      <c r="L265" s="50"/>
      <c r="M265" s="50"/>
      <c r="N265" s="50"/>
    </row>
    <row r="266" spans="1:14" ht="18.75">
      <c r="A266" s="55" t="s">
        <v>75</v>
      </c>
      <c r="B266" s="56">
        <f t="shared" ref="B266:C269" si="16">C246</f>
        <v>3.0300000000000001E-3</v>
      </c>
      <c r="C266" s="56">
        <f t="shared" si="16"/>
        <v>1.6900000000000001E-3</v>
      </c>
      <c r="D266" s="280">
        <f>B266-(((B266-C266)/(C263-B263))*(D263-B263))</f>
        <v>2.8282518333333337E-3</v>
      </c>
      <c r="E266" s="280"/>
      <c r="F266" s="105"/>
      <c r="G266" s="105" t="b">
        <f>IF(B263&lt;=F262,B256,IF(B263=F262,B256,IF(B263=C254,C256,IF(B263=D254,D256,IF(B263=E254,E256,IF(B263=F254,F256,IF(B263=G254,G256,IF(B263=H254,H256))))))))</f>
        <v>0</v>
      </c>
      <c r="H266" s="105" t="b">
        <f>IF(C263&lt;=F262,B256,IF(C263=F262,B256,IF(C263=C254,C256,IF(C263=D254,D256,IF(C263=E254,E256,IF(C263=F254,F256,IF(C263=G254,G256,IF(C263=H254,H256))))))))</f>
        <v>0</v>
      </c>
      <c r="I266" s="105"/>
      <c r="J266" s="57"/>
      <c r="K266" s="50"/>
      <c r="L266" s="50"/>
      <c r="M266" s="50"/>
      <c r="N266" s="50"/>
    </row>
    <row r="267" spans="1:14" ht="18.75">
      <c r="A267" s="55" t="s">
        <v>76</v>
      </c>
      <c r="B267" s="56">
        <f t="shared" si="16"/>
        <v>1.8500000000000001E-3</v>
      </c>
      <c r="C267" s="56">
        <f t="shared" si="16"/>
        <v>1.1800000000000001E-3</v>
      </c>
      <c r="D267" s="280">
        <f>B267-(((B267-C267)/(C263-B263))*(D263-B263))</f>
        <v>1.7491259166666669E-3</v>
      </c>
      <c r="E267" s="280"/>
      <c r="F267" s="105"/>
      <c r="G267" s="105" t="b">
        <f>IF(B263&lt;=F262,B257,IF(B263=F262,B257,IF(B263=C254,C257,IF(B263=D254,D257,IF(B263=E254,E257,IF(B263=F254,F257,IF(B263=G254,G257,IF(B263=H254,H257))))))))</f>
        <v>0</v>
      </c>
      <c r="H267" s="105" t="b">
        <f>IF(C263&lt;=F262,B257,IF(C263=F262,B257,IF(C263=C254,C257,IF(C263=D254,D257,IF(C263=E254,E257,IF(C263=F254,F257,IF(C263=G254,G257,IF(C263=H254,H257))))))))</f>
        <v>0</v>
      </c>
      <c r="I267" s="105"/>
      <c r="J267" s="57"/>
      <c r="K267" s="50"/>
      <c r="L267" s="50"/>
      <c r="M267" s="50"/>
      <c r="N267" s="50"/>
    </row>
    <row r="268" spans="1:14" ht="18.75">
      <c r="A268" s="55" t="s">
        <v>77</v>
      </c>
      <c r="B268" s="56">
        <f t="shared" si="16"/>
        <v>2.3600000000000001E-3</v>
      </c>
      <c r="C268" s="56">
        <f t="shared" si="16"/>
        <v>1.2999999999999999E-3</v>
      </c>
      <c r="D268" s="280">
        <f>B268-(((B268-C268)/(C263-B263))*(D263-B263))</f>
        <v>2.2004081666666666E-3</v>
      </c>
      <c r="E268" s="280"/>
      <c r="F268" s="105"/>
      <c r="G268" s="105" t="b">
        <f>IF(B263&lt;=F262,B258,IF(B263=F262,B258,IF(B263=C254,C258,IF(B263=D254,D258,IF(B263=E254,E258,IF(B263=F254,F258,IF(B263=G254,G258,IF(B263=H254,H258))))))))</f>
        <v>0</v>
      </c>
      <c r="H268" s="105" t="b">
        <f>IF(C263&lt;=F262,B258,IF(C263=F262,B258,IF(C263=C254,C258,IF(C263=D254,D258,IF(C263=E254,E258,IF(C263=F254,F258,IF(C263=G254,G258,IF(C263=H254,H258))))))))</f>
        <v>0</v>
      </c>
      <c r="I268" s="105"/>
      <c r="J268" s="57"/>
      <c r="K268" s="50"/>
      <c r="L268" s="50"/>
      <c r="M268" s="50"/>
      <c r="N268" s="50"/>
    </row>
    <row r="269" spans="1:14" ht="18.75">
      <c r="A269" s="55" t="s">
        <v>78</v>
      </c>
      <c r="B269" s="56">
        <f t="shared" si="16"/>
        <v>2.5400000000000002E-3</v>
      </c>
      <c r="C269" s="56">
        <f t="shared" si="16"/>
        <v>1.3500000000000001E-3</v>
      </c>
      <c r="D269" s="280">
        <f>B269-(((B269-C269)/(C263-B263))*(D263-B263))</f>
        <v>2.3608355833333334E-3</v>
      </c>
      <c r="E269" s="280"/>
      <c r="F269" s="105"/>
      <c r="G269" s="105" t="b">
        <f>IF(B263&lt;=F262,B259,IF(B263=F262,B259,IF(B263=C254,C259,IF(B263=D254,D259,IF(B263=E254,E259,IF(B263=F254,F259,IF(B263=G254,G259,IF(B263=H254,H259))))))))</f>
        <v>0</v>
      </c>
      <c r="H269" s="105" t="b">
        <f>IF(C263&lt;=F262,B259,IF(C263=F262,B259,IF(C263=C254,C259,IF(C263=D254,D259,IF(C263=E254,E259,IF(C263=F254,F259,IF(C263=G254,G259,IF(C263=H254,H259))))))))</f>
        <v>0</v>
      </c>
      <c r="I269" s="105"/>
      <c r="J269" s="57"/>
      <c r="K269" s="50"/>
      <c r="L269" s="50"/>
      <c r="M269" s="50"/>
      <c r="N269" s="50"/>
    </row>
    <row r="270" spans="1:14" ht="18.75">
      <c r="A270" s="66"/>
      <c r="B270" s="67"/>
      <c r="C270" s="67"/>
      <c r="D270" s="68"/>
      <c r="E270" s="68"/>
      <c r="F270" s="105"/>
      <c r="G270" s="105"/>
      <c r="H270" s="105"/>
      <c r="I270" s="105"/>
      <c r="J270" s="57"/>
      <c r="K270" s="50"/>
      <c r="L270" s="50"/>
      <c r="M270" s="50"/>
      <c r="N270" s="50"/>
    </row>
    <row r="271" spans="1:14" ht="18.75">
      <c r="A271" s="59" t="s">
        <v>79</v>
      </c>
      <c r="B271" s="57"/>
      <c r="C271" s="57"/>
      <c r="D271" s="57"/>
      <c r="E271" s="57"/>
      <c r="F271" s="105"/>
      <c r="G271" s="105"/>
      <c r="H271" s="105"/>
      <c r="I271" s="105"/>
      <c r="J271" s="57"/>
      <c r="K271" s="50"/>
      <c r="L271" s="50"/>
      <c r="M271" s="50"/>
      <c r="N271" s="50"/>
    </row>
    <row r="272" spans="1:14" ht="18.75">
      <c r="A272" s="60" t="s">
        <v>71</v>
      </c>
      <c r="B272" s="60" t="s">
        <v>80</v>
      </c>
      <c r="C272" s="60" t="s">
        <v>81</v>
      </c>
      <c r="D272" s="271" t="s">
        <v>82</v>
      </c>
      <c r="E272" s="271"/>
      <c r="F272" s="106">
        <v>10</v>
      </c>
      <c r="G272" s="281" t="s">
        <v>106</v>
      </c>
      <c r="H272" s="281"/>
      <c r="I272" s="281"/>
      <c r="J272" s="57"/>
      <c r="K272" s="50"/>
      <c r="L272" s="50"/>
      <c r="M272" s="50"/>
      <c r="N272" s="50"/>
    </row>
    <row r="273" spans="1:14" ht="18.75">
      <c r="A273" s="269" t="s">
        <v>121</v>
      </c>
      <c r="B273" s="273">
        <f>H254</f>
        <v>0</v>
      </c>
      <c r="C273" s="273">
        <f>I254</f>
        <v>0</v>
      </c>
      <c r="D273" s="274">
        <f>G273/1000000000</f>
        <v>8.1694200000000006</v>
      </c>
      <c r="E273" s="274"/>
      <c r="F273" s="106">
        <f>IF(D273&lt;F272,F272,IF(AND(D273&gt;F272,D273&lt;=C254),F272,IF(AND(D273&gt;C254,D273&lt;=D254),C254,IF(AND(D273&gt;D254,D273&lt;=E254),D254,IF(AND(D273&gt;E254,D273&lt;=F254),E254,IF(AND(D273&gt;F254,D273&lt;=G254),F254,IF(AND(D273&gt;G254,D273&lt;=H254),G254)))))))</f>
        <v>10</v>
      </c>
      <c r="G273" s="276">
        <f>'[2]2.2. XD HTKT'!D6</f>
        <v>8169420000</v>
      </c>
      <c r="H273" s="276"/>
      <c r="I273" s="276"/>
      <c r="J273" s="57"/>
      <c r="K273" s="50"/>
      <c r="L273" s="50"/>
      <c r="M273" s="50"/>
      <c r="N273" s="50"/>
    </row>
    <row r="274" spans="1:14" ht="18.75">
      <c r="A274" s="270"/>
      <c r="B274" s="270"/>
      <c r="C274" s="270"/>
      <c r="D274" s="277" t="s">
        <v>85</v>
      </c>
      <c r="E274" s="277"/>
      <c r="F274" s="105">
        <f>IF(D273&lt;F272,F272,IF(AND(D273&gt;F272,D273&lt;=C254),C254,IF(AND(D273&gt;C254,D273&lt;=D254),D254,IF(AND(D273&gt;D254,D273&lt;=E254),E254,IF(AND(D273&gt;E254,D273&lt;=F254),F254,IF(AND(D273&gt;F254,D273&lt;=G254),G254,IF(AND(D273&gt;G254,D273&lt;=H254),H254)))))))</f>
        <v>10</v>
      </c>
      <c r="G274" s="278" t="s">
        <v>86</v>
      </c>
      <c r="H274" s="278"/>
      <c r="I274" s="278"/>
      <c r="J274" s="57"/>
      <c r="K274" s="50"/>
      <c r="L274" s="50"/>
      <c r="M274" s="50"/>
      <c r="N274" s="50"/>
    </row>
    <row r="275" spans="1:14" ht="18.75">
      <c r="A275" s="55" t="s">
        <v>74</v>
      </c>
      <c r="B275" s="56">
        <f>G275</f>
        <v>1.5200000000000001E-3</v>
      </c>
      <c r="C275" s="56">
        <f>I255</f>
        <v>0</v>
      </c>
      <c r="D275" s="280" t="e">
        <f>B275-(((B275-C275)/(C273-B273))*(D273-B273))</f>
        <v>#DIV/0!</v>
      </c>
      <c r="E275" s="280"/>
      <c r="F275" s="108"/>
      <c r="G275" s="105">
        <f>IF(B273&lt;=F272,B255,IF(B273=F272,B255,IF(B273=C254,C255,IF(B273=D254,D255,IF(B273=E254,E255,IF(B273=F254,F255,IF(B273=G254,G255,IF(B273=H254,H255))))))))</f>
        <v>1.5200000000000001E-3</v>
      </c>
      <c r="H275" s="105">
        <f>IF(C273&lt;=F272,B255,IF(C273=F272,B255,IF(C273=C254,C255,IF(C273=D254,D255,IF(C273=E254,E255,IF(C273=F254,F255,IF(C273=G254,G255,IF(C273=H254,H255))))))))</f>
        <v>1.5200000000000001E-3</v>
      </c>
      <c r="I275" s="105"/>
      <c r="J275" s="57"/>
      <c r="K275" s="50"/>
      <c r="L275" s="50"/>
      <c r="M275" s="50"/>
      <c r="N275" s="50"/>
    </row>
    <row r="276" spans="1:14" ht="18.75">
      <c r="A276" s="55" t="s">
        <v>75</v>
      </c>
      <c r="B276" s="56">
        <f>G276</f>
        <v>1.6900000000000001E-3</v>
      </c>
      <c r="C276" s="56">
        <f>I256</f>
        <v>0</v>
      </c>
      <c r="D276" s="280" t="e">
        <f>B276-(((B276-C276)/(C273-B273))*(D273-B273))</f>
        <v>#DIV/0!</v>
      </c>
      <c r="E276" s="280"/>
      <c r="F276" s="105"/>
      <c r="G276" s="105">
        <f>IF(B273&lt;=F272,B256,IF(B273=F272,B256,IF(B273=C254,C256,IF(B273=D254,D256,IF(B273=E254,E256,IF(B273=F254,F256,IF(B273=G254,G256,IF(B273=H254,H256))))))))</f>
        <v>1.6900000000000001E-3</v>
      </c>
      <c r="H276" s="105">
        <f>IF(C273&lt;=F272,B256,IF(C273=F272,B256,IF(C273=C254,C256,IF(C273=D254,D256,IF(C273=E254,E256,IF(C273=F254,F256,IF(C273=G254,G256,IF(C273=H254,H256))))))))</f>
        <v>1.6900000000000001E-3</v>
      </c>
      <c r="I276" s="105"/>
      <c r="J276" s="57"/>
      <c r="K276" s="50"/>
      <c r="L276" s="50"/>
      <c r="M276" s="50"/>
      <c r="N276" s="50"/>
    </row>
    <row r="277" spans="1:14" ht="18.75">
      <c r="A277" s="55" t="s">
        <v>76</v>
      </c>
      <c r="B277" s="56">
        <f>G277</f>
        <v>1.1800000000000001E-3</v>
      </c>
      <c r="C277" s="56">
        <f>I257</f>
        <v>0</v>
      </c>
      <c r="D277" s="280" t="e">
        <f>B277-(((B277-C277)/(C273-B273))*(D273-B273))</f>
        <v>#DIV/0!</v>
      </c>
      <c r="E277" s="280"/>
      <c r="F277" s="105"/>
      <c r="G277" s="105">
        <f>IF(B273&lt;=F272,B257,IF(B273=F272,B257,IF(B273=C254,C257,IF(B273=D254,D257,IF(B273=E254,E257,IF(B273=F254,F257,IF(B273=G254,G257,IF(B273=H254,H257))))))))</f>
        <v>1.1800000000000001E-3</v>
      </c>
      <c r="H277" s="105">
        <f>IF(C273&lt;=F272,B257,IF(C273=F272,B257,IF(C273=C254,C257,IF(C273=D254,D257,IF(C273=E254,E257,IF(C273=F254,F257,IF(C273=G254,G257,IF(C273=H254,H257))))))))</f>
        <v>1.1800000000000001E-3</v>
      </c>
      <c r="I277" s="105"/>
      <c r="J277" s="57"/>
      <c r="K277" s="50"/>
      <c r="L277" s="50"/>
      <c r="M277" s="50"/>
      <c r="N277" s="50"/>
    </row>
    <row r="278" spans="1:14" ht="18.75">
      <c r="A278" s="55" t="s">
        <v>77</v>
      </c>
      <c r="B278" s="56">
        <f>G278</f>
        <v>1.2999999999999999E-3</v>
      </c>
      <c r="C278" s="56">
        <f>I258</f>
        <v>0</v>
      </c>
      <c r="D278" s="280" t="e">
        <f>B278-(((B278-C278)/(C273-B273))*(D273-B273))</f>
        <v>#DIV/0!</v>
      </c>
      <c r="E278" s="280"/>
      <c r="F278" s="105"/>
      <c r="G278" s="105">
        <f>IF(B273&lt;=F272,B258,IF(B273=F272,B258,IF(B273=C254,C258,IF(B273=D254,D258,IF(B273=E254,E258,IF(B273=F254,F258,IF(B273=G254,G258,IF(B273=H254,H258))))))))</f>
        <v>1.2999999999999999E-3</v>
      </c>
      <c r="H278" s="105">
        <f>IF(C273&lt;=F272,B258,IF(C273=F272,B258,IF(C273=C254,C258,IF(C273=D254,D258,IF(C273=E254,E258,IF(C273=F254,F258,IF(C273=G254,G258,IF(C273=H254,H258))))))))</f>
        <v>1.2999999999999999E-3</v>
      </c>
      <c r="I278" s="105"/>
      <c r="J278" s="57"/>
      <c r="K278" s="50"/>
      <c r="L278" s="50"/>
      <c r="M278" s="50"/>
      <c r="N278" s="50"/>
    </row>
    <row r="279" spans="1:14" ht="18.75">
      <c r="A279" s="55" t="s">
        <v>78</v>
      </c>
      <c r="B279" s="56">
        <f>G279</f>
        <v>1.3500000000000001E-3</v>
      </c>
      <c r="C279" s="56">
        <f>I259</f>
        <v>0</v>
      </c>
      <c r="D279" s="280" t="e">
        <f>B279-(((B279-C279)/(C273-B273))*(D273-B273))</f>
        <v>#DIV/0!</v>
      </c>
      <c r="E279" s="280"/>
      <c r="F279" s="101">
        <f>B249</f>
        <v>3.0300000000000001E-3</v>
      </c>
      <c r="G279" s="105">
        <f>IF(B273&lt;=F272,B259,IF(B273=F272,B259,IF(B273=C254,C259,IF(B273=D254,D259,IF(B273=E254,E259,IF(B273=F254,F259,IF(B273=G254,G259,IF(B273=H254,H259))))))))</f>
        <v>1.3500000000000001E-3</v>
      </c>
      <c r="H279" s="105">
        <f>IF(C273&lt;=F272,B259,IF(C273=F272,B259,IF(C273=C254,C259,IF(C273=D254,D259,IF(C273=E254,E259,IF(C273=F254,F259,IF(C273=G254,G259,IF(C273=H254,H259))))))))</f>
        <v>1.3500000000000001E-3</v>
      </c>
      <c r="I279" s="105"/>
      <c r="J279" s="57"/>
      <c r="K279" s="50"/>
      <c r="L279" s="50"/>
      <c r="M279" s="50"/>
      <c r="N279" s="50"/>
    </row>
    <row r="280" spans="1:14" ht="18.75">
      <c r="A280" s="58"/>
      <c r="B280" s="57"/>
      <c r="C280" s="57"/>
      <c r="D280" s="57"/>
      <c r="E280" s="57"/>
      <c r="F280" s="57"/>
      <c r="G280" s="57"/>
      <c r="H280" s="57"/>
      <c r="I280" s="57"/>
      <c r="J280" s="57"/>
      <c r="K280" s="50"/>
      <c r="L280" s="50"/>
      <c r="M280" s="50"/>
      <c r="N280" s="50"/>
    </row>
    <row r="281" spans="1:14" ht="18.75">
      <c r="A281" s="51" t="s">
        <v>124</v>
      </c>
      <c r="B281" s="52"/>
      <c r="C281" s="52"/>
      <c r="D281" s="52"/>
      <c r="E281" s="52"/>
      <c r="F281" s="52"/>
      <c r="G281" s="52"/>
      <c r="H281" s="52"/>
      <c r="I281" s="52"/>
      <c r="J281" s="52"/>
      <c r="K281" s="50"/>
      <c r="L281" s="50"/>
      <c r="M281" s="50"/>
      <c r="N281" s="50"/>
    </row>
    <row r="282" spans="1:14" ht="18.75">
      <c r="A282" s="269" t="s">
        <v>71</v>
      </c>
      <c r="B282" s="271" t="s">
        <v>125</v>
      </c>
      <c r="C282" s="271"/>
      <c r="D282" s="271"/>
      <c r="E282" s="271"/>
      <c r="F282" s="271"/>
      <c r="G282" s="271"/>
      <c r="H282" s="271"/>
      <c r="I282" s="271"/>
      <c r="J282" s="52"/>
      <c r="K282" s="50"/>
      <c r="L282" s="50"/>
      <c r="M282" s="50"/>
      <c r="N282" s="50"/>
    </row>
    <row r="283" spans="1:14" ht="18.75">
      <c r="A283" s="270"/>
      <c r="B283" s="53" t="s">
        <v>120</v>
      </c>
      <c r="C283" s="53">
        <v>20</v>
      </c>
      <c r="D283" s="53">
        <v>50</v>
      </c>
      <c r="E283" s="53">
        <v>100</v>
      </c>
      <c r="F283" s="53">
        <v>200</v>
      </c>
      <c r="G283" s="53">
        <v>500</v>
      </c>
      <c r="H283" s="53">
        <v>1000</v>
      </c>
      <c r="I283" s="53">
        <v>2000</v>
      </c>
      <c r="J283" s="54"/>
      <c r="K283" s="50"/>
      <c r="L283" s="50"/>
      <c r="M283" s="50"/>
      <c r="N283" s="50"/>
    </row>
    <row r="284" spans="1:14" ht="18.75">
      <c r="A284" s="55" t="s">
        <v>74</v>
      </c>
      <c r="B284" s="56">
        <v>2.8700000000000002E-3</v>
      </c>
      <c r="C284" s="56">
        <v>2.7000000000000001E-3</v>
      </c>
      <c r="D284" s="56">
        <v>1.42E-3</v>
      </c>
      <c r="E284" s="56">
        <v>8.8999999999999995E-4</v>
      </c>
      <c r="F284" s="56">
        <v>7.9000000000000001E-4</v>
      </c>
      <c r="G284" s="56">
        <v>6.6E-4</v>
      </c>
      <c r="H284" s="56">
        <v>4.4999999999999999E-4</v>
      </c>
      <c r="I284" s="56">
        <v>3.5E-4</v>
      </c>
      <c r="J284" s="57"/>
      <c r="K284" s="50"/>
      <c r="L284" s="50"/>
      <c r="M284" s="50"/>
      <c r="N284" s="50"/>
    </row>
    <row r="285" spans="1:14" ht="18.75">
      <c r="A285" s="55" t="s">
        <v>75</v>
      </c>
      <c r="B285" s="56">
        <v>4.3899999999999998E-3</v>
      </c>
      <c r="C285" s="56">
        <v>3.9500000000000004E-3</v>
      </c>
      <c r="D285" s="56">
        <v>2.2399999999999998E-3</v>
      </c>
      <c r="E285" s="56">
        <v>1.41E-3</v>
      </c>
      <c r="F285" s="56">
        <v>1.2199999999999999E-3</v>
      </c>
      <c r="G285" s="56">
        <v>1E-3</v>
      </c>
      <c r="H285" s="56">
        <v>6.8000000000000005E-4</v>
      </c>
      <c r="I285" s="56">
        <v>5.4000000000000001E-4</v>
      </c>
      <c r="J285" s="57"/>
      <c r="K285" s="50"/>
      <c r="L285" s="50"/>
      <c r="M285" s="50"/>
      <c r="N285" s="50"/>
    </row>
    <row r="286" spans="1:14" ht="18.75">
      <c r="A286" s="55" t="s">
        <v>76</v>
      </c>
      <c r="B286" s="56">
        <v>2.0400000000000001E-3</v>
      </c>
      <c r="C286" s="56">
        <v>1.7899999999999999E-3</v>
      </c>
      <c r="D286" s="56">
        <v>1.0300000000000001E-3</v>
      </c>
      <c r="E286" s="56">
        <v>6.6E-4</v>
      </c>
      <c r="F286" s="56">
        <v>5.8E-4</v>
      </c>
      <c r="G286" s="56">
        <v>4.6000000000000001E-4</v>
      </c>
      <c r="H286" s="56">
        <v>3.2000000000000003E-4</v>
      </c>
      <c r="I286" s="56">
        <v>2.5999999999999998E-4</v>
      </c>
      <c r="J286" s="57"/>
      <c r="K286" s="50"/>
      <c r="L286" s="50"/>
      <c r="M286" s="50"/>
      <c r="N286" s="50"/>
    </row>
    <row r="287" spans="1:14" ht="18.75">
      <c r="A287" s="55" t="s">
        <v>77</v>
      </c>
      <c r="B287" s="56">
        <v>2.1900000000000001E-3</v>
      </c>
      <c r="C287" s="56">
        <v>1.91E-3</v>
      </c>
      <c r="D287" s="56">
        <v>1.1000000000000001E-3</v>
      </c>
      <c r="E287" s="56">
        <v>6.9999999999999999E-4</v>
      </c>
      <c r="F287" s="56">
        <v>6.0999999999999997E-4</v>
      </c>
      <c r="G287" s="56">
        <v>4.8999999999999998E-4</v>
      </c>
      <c r="H287" s="56">
        <v>4.0000000000000002E-4</v>
      </c>
      <c r="I287" s="56">
        <v>2.9999999999999997E-4</v>
      </c>
      <c r="J287" s="57"/>
      <c r="K287" s="50"/>
      <c r="L287" s="50"/>
      <c r="M287" s="50"/>
      <c r="N287" s="50"/>
    </row>
    <row r="288" spans="1:14" ht="18.75">
      <c r="A288" s="55" t="s">
        <v>78</v>
      </c>
      <c r="B288" s="56">
        <v>2.3600000000000001E-3</v>
      </c>
      <c r="C288" s="56">
        <v>2.0300000000000001E-3</v>
      </c>
      <c r="D288" s="56">
        <v>1.2199999999999999E-3</v>
      </c>
      <c r="E288" s="56">
        <v>7.9000000000000001E-4</v>
      </c>
      <c r="F288" s="56">
        <v>6.8000000000000005E-4</v>
      </c>
      <c r="G288" s="56">
        <v>5.5999999999999995E-4</v>
      </c>
      <c r="H288" s="56">
        <v>4.4000000000000002E-4</v>
      </c>
      <c r="I288" s="56">
        <v>3.4000000000000002E-4</v>
      </c>
      <c r="J288" s="57"/>
      <c r="K288" s="50"/>
      <c r="L288" s="50"/>
      <c r="M288" s="50"/>
      <c r="N288" s="50"/>
    </row>
    <row r="289" spans="1:14" ht="18.75">
      <c r="A289" s="58"/>
      <c r="B289" s="57"/>
      <c r="C289" s="57"/>
      <c r="D289" s="57"/>
      <c r="E289" s="57"/>
      <c r="F289" s="57"/>
      <c r="G289" s="57"/>
      <c r="H289" s="57"/>
      <c r="I289" s="57"/>
      <c r="J289" s="57"/>
      <c r="K289" s="50"/>
      <c r="L289" s="50"/>
      <c r="M289" s="50"/>
      <c r="N289" s="50"/>
    </row>
    <row r="290" spans="1:14" ht="18.75">
      <c r="A290" s="59" t="s">
        <v>79</v>
      </c>
      <c r="B290" s="57"/>
      <c r="C290" s="57"/>
      <c r="D290" s="57"/>
      <c r="E290" s="57"/>
      <c r="F290" s="57"/>
      <c r="G290" s="57"/>
      <c r="H290" s="57"/>
      <c r="I290" s="57"/>
      <c r="J290" s="57"/>
      <c r="K290" s="50"/>
      <c r="L290" s="50"/>
      <c r="M290" s="50"/>
      <c r="N290" s="50"/>
    </row>
    <row r="291" spans="1:14" ht="18.75">
      <c r="A291" s="60" t="s">
        <v>71</v>
      </c>
      <c r="B291" s="60" t="s">
        <v>80</v>
      </c>
      <c r="C291" s="60" t="s">
        <v>81</v>
      </c>
      <c r="D291" s="271" t="s">
        <v>82</v>
      </c>
      <c r="E291" s="271"/>
      <c r="F291" s="61">
        <v>10</v>
      </c>
      <c r="G291" s="271" t="s">
        <v>106</v>
      </c>
      <c r="H291" s="271"/>
      <c r="I291" s="271"/>
      <c r="J291" s="52"/>
      <c r="K291" s="50"/>
      <c r="L291" s="50"/>
      <c r="M291" s="50"/>
      <c r="N291" s="50"/>
    </row>
    <row r="292" spans="1:14" ht="18.75">
      <c r="A292" s="269" t="s">
        <v>126</v>
      </c>
      <c r="B292" s="269">
        <f>F292</f>
        <v>10</v>
      </c>
      <c r="C292" s="269">
        <f>F293</f>
        <v>20</v>
      </c>
      <c r="D292" s="274">
        <f>G292/1000000000</f>
        <v>13.135563636363637</v>
      </c>
      <c r="E292" s="274"/>
      <c r="F292" s="61">
        <f>IF(D292&lt;F291,F291,IF(AND(D292&gt;F291,D292&lt;=C283),F291,IF(AND(D292&gt;C283,D292&lt;=D283),C283,IF(AND(D292&gt;D283,D292&lt;=E283),D283,IF(AND(D292&gt;E283,D292&lt;=F283),E283,IF(AND(D292&gt;F283,D292&lt;=G283),F283,IF(AND(D292&gt;G283,D292&lt;=H283),G283)))))))</f>
        <v>10</v>
      </c>
      <c r="G292" s="275">
        <f>'[1]2.2. CP DAU TU NHA CAO TANG'!D5*1000</f>
        <v>13135563636.363636</v>
      </c>
      <c r="H292" s="275"/>
      <c r="I292" s="275"/>
      <c r="J292" s="62"/>
      <c r="K292" s="50"/>
      <c r="L292" s="50"/>
      <c r="M292" s="50"/>
      <c r="N292" s="50"/>
    </row>
    <row r="293" spans="1:14" ht="18.75">
      <c r="A293" s="270"/>
      <c r="B293" s="270"/>
      <c r="C293" s="270"/>
      <c r="D293" s="277" t="s">
        <v>85</v>
      </c>
      <c r="E293" s="277"/>
      <c r="F293" s="63">
        <f>IF(D292&lt;F291,F291,IF(AND(D292&gt;F291,D292&lt;=C283),C283,IF(AND(D292&gt;C283,D292&lt;=D283),D283,IF(AND(D292&gt;D283,D292&lt;=E283),E283,IF(AND(D292&gt;E283,D292&lt;=F283),F283,IF(AND(D292&gt;F283,D292&lt;=G283),G283,IF(AND(D292&gt;G283,D292&lt;=H283),H283)))))))</f>
        <v>20</v>
      </c>
      <c r="G293" s="279" t="s">
        <v>86</v>
      </c>
      <c r="H293" s="279"/>
      <c r="I293" s="279"/>
      <c r="J293" s="64"/>
      <c r="K293" s="50"/>
      <c r="L293" s="50"/>
      <c r="M293" s="50"/>
      <c r="N293" s="50"/>
    </row>
    <row r="294" spans="1:14" ht="18.75">
      <c r="A294" s="55" t="s">
        <v>74</v>
      </c>
      <c r="B294" s="56">
        <f t="shared" ref="B294:C298" si="17">G294</f>
        <v>2.8700000000000002E-3</v>
      </c>
      <c r="C294" s="56">
        <f t="shared" si="17"/>
        <v>2.7000000000000001E-3</v>
      </c>
      <c r="D294" s="280">
        <f>B294-(((B294-C294)/(C292-B292))*(D292-B292))</f>
        <v>2.8166954181818183E-3</v>
      </c>
      <c r="E294" s="280"/>
      <c r="F294" s="100">
        <f>D294</f>
        <v>2.8166954181818183E-3</v>
      </c>
      <c r="G294" s="63">
        <f>IF(B292&lt;=F291,B284,IF(B292=F291,B284,IF(B292=C283,C284,IF(B292=D283,D284,IF(B292=E283,E284,IF(B292=F283,F284,IF(B292=G283,G284,IF(B292=H283,H284))))))))</f>
        <v>2.8700000000000002E-3</v>
      </c>
      <c r="H294" s="63">
        <f>IF(C292&lt;=F291,B284,IF(C292=F291,B284,IF(C292=C283,C284,IF(C292=D283,D284,IF(C292=E283,E284,IF(C292=F283,F284,IF(C292=G283,G284,IF(C292=H283,H284))))))))</f>
        <v>2.7000000000000001E-3</v>
      </c>
      <c r="I294" s="57"/>
      <c r="J294" s="57"/>
      <c r="K294" s="50"/>
      <c r="L294" s="50"/>
      <c r="M294" s="50"/>
      <c r="N294" s="50"/>
    </row>
    <row r="295" spans="1:14" ht="18.75">
      <c r="A295" s="55" t="s">
        <v>75</v>
      </c>
      <c r="B295" s="56">
        <f t="shared" si="17"/>
        <v>4.3899999999999998E-3</v>
      </c>
      <c r="C295" s="56">
        <f t="shared" si="17"/>
        <v>3.9500000000000004E-3</v>
      </c>
      <c r="D295" s="280">
        <f>B295-(((B295-C295)/(C292-B292))*(D292-B292))</f>
        <v>4.2520351999999996E-3</v>
      </c>
      <c r="E295" s="280"/>
      <c r="F295" s="99"/>
      <c r="G295" s="63">
        <f>IF(B292&lt;=F291,B285,IF(B292=F291,B285,IF(B292=C283,C285,IF(B292=D283,D285,IF(B292=E283,E285,IF(B292=F283,F285,IF(B292=G283,G285,IF(B292=H283,H285))))))))</f>
        <v>4.3899999999999998E-3</v>
      </c>
      <c r="H295" s="63">
        <f>IF(C292&lt;=F291,B285,IF(C292=F291,B285,IF(C292=C283,C285,IF(C292=D283,D285,IF(C292=E283,E285,IF(C292=F283,F285,IF(C292=G283,G285,IF(C292=H283,H285))))))))</f>
        <v>3.9500000000000004E-3</v>
      </c>
      <c r="I295" s="57"/>
      <c r="J295" s="57"/>
      <c r="K295" s="50"/>
      <c r="L295" s="50"/>
      <c r="M295" s="50"/>
      <c r="N295" s="50"/>
    </row>
    <row r="296" spans="1:14" ht="18.75">
      <c r="A296" s="55" t="s">
        <v>76</v>
      </c>
      <c r="B296" s="56">
        <f t="shared" si="17"/>
        <v>2.0400000000000001E-3</v>
      </c>
      <c r="C296" s="56">
        <f t="shared" si="17"/>
        <v>1.7899999999999999E-3</v>
      </c>
      <c r="D296" s="280">
        <f>B296-(((B296-C296)/(C292-B292))*(D292-B292))</f>
        <v>1.9616109090909092E-3</v>
      </c>
      <c r="E296" s="280"/>
      <c r="F296" s="57"/>
      <c r="G296" s="63">
        <f>IF(B292&lt;=F291,B286,IF(B292=F291,B286,IF(B292=C283,C286,IF(B292=D283,D286,IF(B292=E283,E286,IF(B292=F283,F286,IF(B292=G283,G286,IF(B292=H283,H286))))))))</f>
        <v>2.0400000000000001E-3</v>
      </c>
      <c r="H296" s="63">
        <f>IF(C292&lt;=F291,B286,IF(C292=F291,B286,IF(C292=C283,C286,IF(C292=D283,D286,IF(C292=E283,E286,IF(C292=F283,F286,IF(C292=G283,G286,IF(C292=H283,H286))))))))</f>
        <v>1.7899999999999999E-3</v>
      </c>
      <c r="I296" s="57"/>
      <c r="J296" s="57"/>
      <c r="K296" s="50"/>
      <c r="L296" s="50"/>
      <c r="M296" s="50"/>
      <c r="N296" s="50"/>
    </row>
    <row r="297" spans="1:14" ht="18.75">
      <c r="A297" s="55" t="s">
        <v>77</v>
      </c>
      <c r="B297" s="56">
        <f t="shared" si="17"/>
        <v>2.1900000000000001E-3</v>
      </c>
      <c r="C297" s="56">
        <f t="shared" si="17"/>
        <v>1.91E-3</v>
      </c>
      <c r="D297" s="280">
        <f>B297-(((B297-C297)/(C292-B292))*(D292-B292))</f>
        <v>2.1022042181818184E-3</v>
      </c>
      <c r="E297" s="280"/>
      <c r="F297" s="57"/>
      <c r="G297" s="63">
        <f>IF(B292&lt;=F291,B287,IF(B292=F291,B287,IF(B292=C283,C287,IF(B292=D283,D287,IF(B292=E283,E287,IF(B292=F283,F287,IF(B292=G283,G287,IF(B292=H283,H287))))))))</f>
        <v>2.1900000000000001E-3</v>
      </c>
      <c r="H297" s="63">
        <f>IF(C292&lt;=F291,B287,IF(C292=F291,B287,IF(C292=C283,C287,IF(C292=D283,D287,IF(C292=E283,E287,IF(C292=F283,F287,IF(C292=G283,G287,IF(C292=H283,H287))))))))</f>
        <v>1.91E-3</v>
      </c>
      <c r="I297" s="57"/>
      <c r="J297" s="57"/>
      <c r="K297" s="50"/>
      <c r="L297" s="50"/>
      <c r="M297" s="50"/>
      <c r="N297" s="50"/>
    </row>
    <row r="298" spans="1:14" ht="18.75">
      <c r="A298" s="55" t="s">
        <v>78</v>
      </c>
      <c r="B298" s="56">
        <f t="shared" si="17"/>
        <v>2.3600000000000001E-3</v>
      </c>
      <c r="C298" s="56">
        <f t="shared" si="17"/>
        <v>2.0300000000000001E-3</v>
      </c>
      <c r="D298" s="280">
        <f>B298-(((B298-C298)/(C292-B292))*(D292-B292))</f>
        <v>2.2565264000000002E-3</v>
      </c>
      <c r="E298" s="280"/>
      <c r="F298" s="57"/>
      <c r="G298" s="63">
        <f>IF(B292&lt;=F291,B288,IF(B292=F291,B288,IF(B292=C283,C288,IF(B292=D283,D288,IF(B292=E283,E288,IF(B292=F283,F288,IF(B292=G283,G288,IF(B292=H283,H288))))))))</f>
        <v>2.3600000000000001E-3</v>
      </c>
      <c r="H298" s="63">
        <f>IF(C292&lt;=F291,B288,IF(C292=F291,B288,IF(C292=C283,C288,IF(C292=D283,D288,IF(C292=E283,E288,IF(C292=F283,F288,IF(C292=G283,G288,IF(C292=H283,H288))))))))</f>
        <v>2.0300000000000001E-3</v>
      </c>
      <c r="I298" s="57"/>
      <c r="J298" s="57"/>
      <c r="K298" s="50"/>
      <c r="L298" s="50"/>
      <c r="M298" s="50"/>
      <c r="N298" s="50"/>
    </row>
    <row r="299" spans="1:14" ht="18.75">
      <c r="A299" s="58"/>
      <c r="B299" s="57"/>
      <c r="C299" s="57"/>
      <c r="D299" s="57"/>
      <c r="E299" s="57"/>
      <c r="F299" s="57"/>
      <c r="G299" s="57"/>
      <c r="H299" s="57"/>
      <c r="I299" s="57"/>
      <c r="J299" s="57"/>
      <c r="K299" s="50"/>
      <c r="L299" s="50"/>
      <c r="M299" s="50"/>
      <c r="N299" s="50"/>
    </row>
    <row r="300" spans="1:14" ht="18.75">
      <c r="A300" s="51" t="s">
        <v>127</v>
      </c>
      <c r="B300" s="52"/>
      <c r="C300" s="52"/>
      <c r="D300" s="52"/>
      <c r="E300" s="52"/>
      <c r="F300" s="52"/>
      <c r="G300" s="52"/>
      <c r="H300" s="52"/>
      <c r="I300" s="52"/>
      <c r="J300" s="52"/>
      <c r="K300" s="50"/>
      <c r="L300" s="50"/>
      <c r="M300" s="50"/>
      <c r="N300" s="50"/>
    </row>
    <row r="301" spans="1:14" ht="18.75">
      <c r="A301" s="269" t="s">
        <v>71</v>
      </c>
      <c r="B301" s="271" t="s">
        <v>110</v>
      </c>
      <c r="C301" s="271"/>
      <c r="D301" s="271"/>
      <c r="E301" s="271"/>
      <c r="F301" s="271"/>
      <c r="G301" s="271"/>
      <c r="H301" s="271"/>
      <c r="I301" s="271"/>
      <c r="J301" s="52"/>
      <c r="K301" s="50"/>
      <c r="L301" s="50"/>
      <c r="M301" s="50"/>
      <c r="N301" s="50"/>
    </row>
    <row r="302" spans="1:14" ht="18.75">
      <c r="A302" s="270"/>
      <c r="B302" s="53" t="s">
        <v>120</v>
      </c>
      <c r="C302" s="53">
        <v>20</v>
      </c>
      <c r="D302" s="53">
        <v>50</v>
      </c>
      <c r="E302" s="53">
        <v>100</v>
      </c>
      <c r="F302" s="53">
        <v>200</v>
      </c>
      <c r="G302" s="53">
        <v>500</v>
      </c>
      <c r="H302" s="53">
        <v>1000</v>
      </c>
      <c r="I302" s="53">
        <v>2000</v>
      </c>
      <c r="J302" s="54"/>
      <c r="K302" s="50"/>
      <c r="L302" s="50"/>
      <c r="M302" s="50"/>
      <c r="N302" s="50"/>
    </row>
    <row r="303" spans="1:14" ht="18.75">
      <c r="A303" s="55" t="s">
        <v>74</v>
      </c>
      <c r="B303" s="56">
        <v>2.6280000000000001E-2</v>
      </c>
      <c r="C303" s="56">
        <v>2.282E-2</v>
      </c>
      <c r="D303" s="56">
        <v>1.9480000000000001E-2</v>
      </c>
      <c r="E303" s="56">
        <v>1.512E-2</v>
      </c>
      <c r="F303" s="56">
        <v>1.2670000000000001E-2</v>
      </c>
      <c r="G303" s="56">
        <v>9.7400000000000004E-3</v>
      </c>
      <c r="H303" s="56">
        <v>6.5300000000000002E-3</v>
      </c>
      <c r="I303" s="56">
        <v>5.8900000000000003E-3</v>
      </c>
      <c r="J303" s="57"/>
      <c r="K303" s="50"/>
      <c r="L303" s="50"/>
      <c r="M303" s="50"/>
      <c r="N303" s="50"/>
    </row>
    <row r="304" spans="1:14" ht="18.75">
      <c r="A304" s="55" t="s">
        <v>75</v>
      </c>
      <c r="B304" s="56">
        <v>2.8060000000000002E-2</v>
      </c>
      <c r="C304" s="56">
        <v>2.5100000000000001E-2</v>
      </c>
      <c r="D304" s="56">
        <v>2.0469999999999999E-2</v>
      </c>
      <c r="E304" s="56">
        <v>1.7000000000000001E-2</v>
      </c>
      <c r="F304" s="56">
        <v>1.3140000000000001E-2</v>
      </c>
      <c r="G304" s="56">
        <v>1.0659999999999999E-2</v>
      </c>
      <c r="H304" s="56">
        <v>6.7400000000000003E-3</v>
      </c>
      <c r="I304" s="56">
        <v>6.0699999999999999E-3</v>
      </c>
      <c r="J304" s="57"/>
      <c r="K304" s="50"/>
      <c r="L304" s="50"/>
      <c r="M304" s="50"/>
      <c r="N304" s="50"/>
    </row>
    <row r="305" spans="1:14" ht="18.75">
      <c r="A305" s="55" t="s">
        <v>76</v>
      </c>
      <c r="B305" s="56">
        <v>2.562E-2</v>
      </c>
      <c r="C305" s="56">
        <v>2.1600000000000001E-2</v>
      </c>
      <c r="D305" s="56">
        <v>1.8849999999999999E-2</v>
      </c>
      <c r="E305" s="56">
        <v>1.405E-2</v>
      </c>
      <c r="F305" s="56">
        <v>1.043E-2</v>
      </c>
      <c r="G305" s="56">
        <v>8.2199999999999999E-3</v>
      </c>
      <c r="H305" s="56">
        <v>5.9899999999999997E-3</v>
      </c>
      <c r="I305" s="56">
        <v>5.3899999999999998E-3</v>
      </c>
      <c r="J305" s="57"/>
      <c r="K305" s="50"/>
      <c r="L305" s="50"/>
      <c r="M305" s="50"/>
      <c r="N305" s="50"/>
    </row>
    <row r="306" spans="1:14" ht="18.75">
      <c r="A306" s="55" t="s">
        <v>77</v>
      </c>
      <c r="B306" s="56">
        <v>2.0789999999999999E-2</v>
      </c>
      <c r="C306" s="56">
        <v>1.8339999999999999E-2</v>
      </c>
      <c r="D306" s="56">
        <v>1.66E-2</v>
      </c>
      <c r="E306" s="56">
        <v>1.2659999999999999E-2</v>
      </c>
      <c r="F306" s="56">
        <v>9.7400000000000004E-3</v>
      </c>
      <c r="G306" s="56">
        <v>7.79E-3</v>
      </c>
      <c r="H306" s="56">
        <v>5.1799999999999997E-3</v>
      </c>
      <c r="I306" s="56">
        <v>4.6600000000000001E-3</v>
      </c>
      <c r="J306" s="57"/>
      <c r="K306" s="50"/>
      <c r="L306" s="50"/>
      <c r="M306" s="50"/>
      <c r="N306" s="50"/>
    </row>
    <row r="307" spans="1:14" ht="18.75">
      <c r="A307" s="55" t="s">
        <v>78</v>
      </c>
      <c r="B307" s="56">
        <v>2.053E-2</v>
      </c>
      <c r="C307" s="56">
        <v>1.805E-2</v>
      </c>
      <c r="D307" s="56">
        <v>1.5879999999999998E-2</v>
      </c>
      <c r="E307" s="56">
        <v>1.1979999999999999E-2</v>
      </c>
      <c r="F307" s="56">
        <v>9.3600000000000003E-3</v>
      </c>
      <c r="G307" s="56">
        <v>7.4799999999999997E-3</v>
      </c>
      <c r="H307" s="56">
        <v>4.7800000000000004E-3</v>
      </c>
      <c r="I307" s="56">
        <v>4.3099999999999996E-3</v>
      </c>
      <c r="J307" s="57"/>
      <c r="K307" s="50"/>
      <c r="L307" s="50"/>
      <c r="M307" s="50"/>
      <c r="N307" s="50"/>
    </row>
    <row r="308" spans="1:14" ht="18.75">
      <c r="A308" s="58"/>
      <c r="B308" s="57"/>
      <c r="C308" s="57"/>
      <c r="D308" s="57"/>
      <c r="E308" s="57"/>
      <c r="F308" s="57"/>
      <c r="G308" s="57"/>
      <c r="H308" s="57"/>
      <c r="I308" s="57"/>
      <c r="J308" s="57"/>
      <c r="K308" s="50"/>
      <c r="L308" s="50"/>
      <c r="M308" s="50"/>
      <c r="N308" s="50"/>
    </row>
    <row r="309" spans="1:14" ht="18.75">
      <c r="A309" s="59" t="s">
        <v>79</v>
      </c>
      <c r="B309" s="57"/>
      <c r="C309" s="57"/>
      <c r="D309" s="57"/>
      <c r="E309" s="57"/>
      <c r="F309" s="57"/>
      <c r="G309" s="57"/>
      <c r="H309" s="57"/>
      <c r="I309" s="57"/>
      <c r="J309" s="57"/>
      <c r="K309" s="50"/>
      <c r="L309" s="50"/>
      <c r="M309" s="50"/>
      <c r="N309" s="50"/>
    </row>
    <row r="310" spans="1:14" ht="18.75">
      <c r="A310" s="60" t="s">
        <v>71</v>
      </c>
      <c r="B310" s="60" t="s">
        <v>80</v>
      </c>
      <c r="C310" s="60" t="s">
        <v>81</v>
      </c>
      <c r="D310" s="271" t="s">
        <v>82</v>
      </c>
      <c r="E310" s="271"/>
      <c r="F310" s="61">
        <v>10</v>
      </c>
      <c r="G310" s="271" t="s">
        <v>106</v>
      </c>
      <c r="H310" s="271"/>
      <c r="I310" s="271"/>
      <c r="J310" s="52"/>
      <c r="K310" s="50"/>
      <c r="L310" s="50"/>
      <c r="M310" s="50"/>
      <c r="N310" s="50"/>
    </row>
    <row r="311" spans="1:14" ht="18.75">
      <c r="A311" s="269" t="s">
        <v>121</v>
      </c>
      <c r="B311" s="273">
        <f>D302</f>
        <v>50</v>
      </c>
      <c r="C311" s="273">
        <f>E302</f>
        <v>100</v>
      </c>
      <c r="D311" s="274">
        <f>G311/1000000000</f>
        <v>95.31335454545453</v>
      </c>
      <c r="E311" s="274"/>
      <c r="F311" s="61">
        <f>IF(D311&lt;F310,F310,IF(AND(D311&gt;F310,D311&lt;=C302),F310,IF(AND(D311&gt;C302,D311&lt;=D302),C302,IF(AND(D311&gt;D302,D311&lt;=E302),D302,IF(AND(D311&gt;E302,D311&lt;=F302),E302,IF(AND(D311&gt;F302,D311&lt;=G302),F302,IF(AND(D311&gt;G302,D311&lt;=H302),G302)))))))</f>
        <v>50</v>
      </c>
      <c r="G311" s="275">
        <f>G253</f>
        <v>95313354545.454529</v>
      </c>
      <c r="H311" s="275"/>
      <c r="I311" s="275"/>
      <c r="J311" s="62"/>
      <c r="K311" s="50"/>
      <c r="L311" s="50"/>
      <c r="M311" s="50"/>
      <c r="N311" s="50"/>
    </row>
    <row r="312" spans="1:14" ht="18.75">
      <c r="A312" s="270"/>
      <c r="B312" s="270"/>
      <c r="C312" s="270"/>
      <c r="D312" s="277" t="s">
        <v>85</v>
      </c>
      <c r="E312" s="277"/>
      <c r="F312" s="63">
        <f>IF(D311&lt;F310,F310,IF(AND(D311&gt;F310,D311&lt;=C302),C302,IF(AND(D311&gt;C302,D311&lt;=D302),D302,IF(AND(D311&gt;D302,D311&lt;=E302),E302,IF(AND(D311&gt;E302,D311&lt;=F302),F302,IF(AND(D311&gt;F302,D311&lt;=G302),G302,IF(AND(D311&gt;G302,D311&lt;=H302),H302)))))))</f>
        <v>100</v>
      </c>
      <c r="G312" s="279" t="s">
        <v>86</v>
      </c>
      <c r="H312" s="279"/>
      <c r="I312" s="279"/>
      <c r="J312" s="64"/>
      <c r="K312" s="50"/>
      <c r="L312" s="50"/>
      <c r="M312" s="50"/>
      <c r="N312" s="50"/>
    </row>
    <row r="313" spans="1:14" ht="18.75">
      <c r="A313" s="55" t="s">
        <v>74</v>
      </c>
      <c r="B313" s="56">
        <f>G313</f>
        <v>1.9480000000000001E-2</v>
      </c>
      <c r="C313" s="56">
        <f>E303</f>
        <v>1.512E-2</v>
      </c>
      <c r="D313" s="280">
        <f>B313-(((B313-C313)/(C311-B311))*(D311-B311))</f>
        <v>1.5528675483636366E-2</v>
      </c>
      <c r="E313" s="280"/>
      <c r="F313" s="100">
        <f>D313</f>
        <v>1.5528675483636366E-2</v>
      </c>
      <c r="G313" s="63">
        <f>IF(B311&lt;=F310,B303,IF(B311=F310,B303,IF(B311=C302,C303,IF(B311=D302,D303,IF(B311=E302,E303,IF(B311=F302,F303,IF(B311=G302,G303,IF(B311=H302,H303))))))))</f>
        <v>1.9480000000000001E-2</v>
      </c>
      <c r="H313" s="63">
        <f>IF(C311&lt;=F310,B303,IF(C311=F310,B303,IF(C311=C302,C303,IF(C311=D302,D303,IF(C311=E302,E303,IF(C311=F302,F303,IF(C311=G302,G303,IF(C311=H302,H303))))))))</f>
        <v>1.512E-2</v>
      </c>
      <c r="I313" s="57"/>
      <c r="J313" s="57"/>
      <c r="K313" s="50"/>
      <c r="L313" s="50"/>
      <c r="M313" s="50"/>
      <c r="N313" s="50"/>
    </row>
    <row r="314" spans="1:14" ht="18.75">
      <c r="A314" s="55" t="s">
        <v>75</v>
      </c>
      <c r="B314" s="56">
        <f>G314</f>
        <v>2.0469999999999999E-2</v>
      </c>
      <c r="C314" s="56">
        <f t="shared" ref="C314:C317" si="18">E304</f>
        <v>1.7000000000000001E-2</v>
      </c>
      <c r="D314" s="280">
        <f>B314-(((B314-C314)/(C311-B311))*(D311-B311))</f>
        <v>1.7325253194545455E-2</v>
      </c>
      <c r="E314" s="280"/>
      <c r="F314" s="70">
        <f>D314</f>
        <v>1.7325253194545455E-2</v>
      </c>
      <c r="G314" s="63">
        <f>IF(B311&lt;=F310,B304,IF(B311=F310,B304,IF(B311=C302,C304,IF(B311=D302,D304,IF(B311=E302,E304,IF(B311=F302,F304,IF(B311=G302,G304,IF(B311=H302,H304))))))))</f>
        <v>2.0469999999999999E-2</v>
      </c>
      <c r="H314" s="63">
        <f>IF(C311&lt;=F310,B304,IF(C311=F310,B304,IF(C311=C302,C304,IF(C311=D302,D304,IF(C311=E302,E304,IF(C311=F302,F304,IF(C311=G302,G304,IF(C311=H302,H304))))))))</f>
        <v>1.7000000000000001E-2</v>
      </c>
      <c r="I314" s="57"/>
      <c r="J314" s="57"/>
      <c r="K314" s="50"/>
      <c r="L314" s="50"/>
      <c r="M314" s="50"/>
      <c r="N314" s="50"/>
    </row>
    <row r="315" spans="1:14" ht="18.75">
      <c r="A315" s="55" t="s">
        <v>76</v>
      </c>
      <c r="B315" s="56">
        <f>G315</f>
        <v>1.8849999999999999E-2</v>
      </c>
      <c r="C315" s="56">
        <f t="shared" si="18"/>
        <v>1.405E-2</v>
      </c>
      <c r="D315" s="280">
        <f>B315-(((B315-C315)/(C311-B311))*(D311-B311))</f>
        <v>1.4499917963636366E-2</v>
      </c>
      <c r="E315" s="280"/>
      <c r="F315" s="57"/>
      <c r="G315" s="63">
        <f>IF(B311&lt;=F310,B305,IF(B311=F310,B305,IF(B311=C302,C305,IF(B311=D302,D305,IF(B311=E302,E305,IF(B311=F302,F305,IF(B311=G302,G305,IF(B311=H302,H305))))))))</f>
        <v>1.8849999999999999E-2</v>
      </c>
      <c r="H315" s="63">
        <f>IF(C311&lt;=F310,B305,IF(C311=F310,B305,IF(C311=C302,C305,IF(C311=D302,D305,IF(C311=E302,E305,IF(C311=F302,F305,IF(C311=G302,G305,IF(C311=H302,H305))))))))</f>
        <v>1.405E-2</v>
      </c>
      <c r="I315" s="57"/>
      <c r="J315" s="57"/>
      <c r="K315" s="50"/>
      <c r="L315" s="50"/>
      <c r="M315" s="50"/>
      <c r="N315" s="50"/>
    </row>
    <row r="316" spans="1:14" ht="18.75">
      <c r="A316" s="55" t="s">
        <v>77</v>
      </c>
      <c r="B316" s="56">
        <f>G316</f>
        <v>1.66E-2</v>
      </c>
      <c r="C316" s="56">
        <f t="shared" si="18"/>
        <v>1.2659999999999999E-2</v>
      </c>
      <c r="D316" s="280">
        <f>B316-(((B316-C316)/(C311-B311))*(D311-B311))</f>
        <v>1.3029307661818182E-2</v>
      </c>
      <c r="E316" s="280"/>
      <c r="F316" s="57"/>
      <c r="G316" s="63">
        <f>IF(B311&lt;=F310,B306,IF(B311=F310,B306,IF(B311=C302,C306,IF(B311=D302,D306,IF(B311=E302,E306,IF(B311=F302,F306,IF(B311=G302,G306,IF(B311=H302,H306))))))))</f>
        <v>1.66E-2</v>
      </c>
      <c r="H316" s="63">
        <f>IF(C311&lt;=F310,B306,IF(C311=F310,B306,IF(C311=C302,C306,IF(C311=D302,D306,IF(C311=E302,E306,IF(C311=F302,F306,IF(C311=G302,G306,IF(C311=H302,H306))))))))</f>
        <v>1.2659999999999999E-2</v>
      </c>
      <c r="I316" s="57"/>
      <c r="J316" s="57"/>
      <c r="K316" s="50"/>
      <c r="L316" s="50"/>
      <c r="M316" s="50"/>
      <c r="N316" s="50"/>
    </row>
    <row r="317" spans="1:14" ht="18.75">
      <c r="A317" s="55" t="s">
        <v>78</v>
      </c>
      <c r="B317" s="56">
        <f>G317</f>
        <v>1.5879999999999998E-2</v>
      </c>
      <c r="C317" s="56">
        <f t="shared" si="18"/>
        <v>1.1979999999999999E-2</v>
      </c>
      <c r="D317" s="280">
        <f>B317-(((B317-C317)/(C311-B311))*(D311-B311))</f>
        <v>1.2345558345454546E-2</v>
      </c>
      <c r="E317" s="280"/>
      <c r="F317" s="57"/>
      <c r="G317" s="63">
        <f>IF(B311&lt;=F310,B307,IF(B311=F310,B307,IF(B311=C302,C307,IF(B311=D302,D307,IF(B311=E302,E307,IF(B311=F302,F307,IF(B311=G302,G307,IF(B311=H302,H307))))))))</f>
        <v>1.5879999999999998E-2</v>
      </c>
      <c r="H317" s="63">
        <f>IF(C311&lt;=F310,B307,IF(C311=F310,B307,IF(C311=C302,C307,IF(C311=D302,D307,IF(C311=E302,E307,IF(C311=F302,F307,IF(C311=G302,G307,IF(C311=H302,H307))))))))</f>
        <v>1.1979999999999999E-2</v>
      </c>
      <c r="I317" s="57"/>
      <c r="J317" s="57"/>
      <c r="K317" s="50"/>
      <c r="L317" s="50"/>
      <c r="M317" s="50"/>
      <c r="N317" s="50"/>
    </row>
    <row r="318" spans="1:14" ht="18.75">
      <c r="A318" s="66"/>
      <c r="B318" s="67"/>
      <c r="C318" s="67"/>
      <c r="D318" s="68"/>
      <c r="E318" s="68"/>
      <c r="F318" s="57"/>
      <c r="G318" s="63"/>
      <c r="H318" s="63"/>
      <c r="I318" s="57"/>
      <c r="J318" s="57"/>
      <c r="K318" s="50"/>
      <c r="L318" s="50"/>
      <c r="M318" s="50"/>
      <c r="N318" s="50"/>
    </row>
    <row r="319" spans="1:14" ht="18.75">
      <c r="A319" s="104" t="s">
        <v>79</v>
      </c>
      <c r="B319" s="105"/>
      <c r="C319" s="105"/>
      <c r="D319" s="105"/>
      <c r="E319" s="105"/>
      <c r="F319" s="105"/>
      <c r="G319" s="105"/>
      <c r="H319" s="105"/>
      <c r="I319" s="105"/>
      <c r="J319" s="57"/>
      <c r="K319" s="50"/>
      <c r="L319" s="50"/>
      <c r="M319" s="50"/>
      <c r="N319" s="50"/>
    </row>
    <row r="320" spans="1:14" ht="18.75">
      <c r="A320" s="60" t="s">
        <v>71</v>
      </c>
      <c r="B320" s="60" t="s">
        <v>80</v>
      </c>
      <c r="C320" s="60" t="s">
        <v>81</v>
      </c>
      <c r="D320" s="271" t="s">
        <v>82</v>
      </c>
      <c r="E320" s="271"/>
      <c r="F320" s="106">
        <v>10</v>
      </c>
      <c r="G320" s="281" t="s">
        <v>106</v>
      </c>
      <c r="H320" s="281"/>
      <c r="I320" s="281"/>
      <c r="J320" s="57"/>
      <c r="K320" s="50"/>
      <c r="L320" s="50"/>
      <c r="M320" s="50"/>
      <c r="N320" s="50"/>
    </row>
    <row r="321" spans="1:14" ht="18.75">
      <c r="A321" s="269" t="s">
        <v>121</v>
      </c>
      <c r="B321" s="273">
        <f>C302</f>
        <v>20</v>
      </c>
      <c r="C321" s="273">
        <f>D302</f>
        <v>50</v>
      </c>
      <c r="D321" s="274">
        <f>G321/1000000000</f>
        <v>24.516749999999998</v>
      </c>
      <c r="E321" s="274"/>
      <c r="F321" s="106">
        <f>IF(D321&lt;F320,F320,IF(AND(D321&gt;F320,D321&lt;=C312),F320,IF(AND(D321&gt;C312,D321&lt;=D312),C312,IF(AND(D321&gt;D312,D321&lt;=E312),D312,IF(AND(D321&gt;E312,D321&lt;=F312),E312,IF(AND(D321&gt;F312,D321&lt;=G312),F312,IF(AND(D321&gt;G312,D321&lt;=H312),G312)))))))</f>
        <v>0</v>
      </c>
      <c r="G321" s="276">
        <f>'[1]2.1. CP DAU TU NHA O THAP TANG'!D4*1000</f>
        <v>24516750000</v>
      </c>
      <c r="H321" s="276"/>
      <c r="I321" s="276"/>
      <c r="J321" s="57"/>
      <c r="K321" s="50"/>
      <c r="L321" s="50"/>
      <c r="M321" s="50"/>
      <c r="N321" s="50"/>
    </row>
    <row r="322" spans="1:14" ht="18.75">
      <c r="A322" s="270"/>
      <c r="B322" s="270"/>
      <c r="C322" s="270"/>
      <c r="D322" s="277" t="s">
        <v>85</v>
      </c>
      <c r="E322" s="277"/>
      <c r="F322" s="105" t="str">
        <f>IF(D321&lt;F320,F320,IF(AND(D321&gt;F320,D321&lt;=C312),C312,IF(AND(D321&gt;C312,D321&lt;=D312),D312,IF(AND(D321&gt;D312,D321&lt;=E312),E312,IF(AND(D321&gt;E312,D321&lt;=F312),F312,IF(AND(D321&gt;F312,D321&lt;=G312),G312,IF(AND(D321&gt;G312,D321&lt;=H312),H312)))))))</f>
        <v>Tỷ lệ sau nội suy</v>
      </c>
      <c r="G322" s="278" t="s">
        <v>86</v>
      </c>
      <c r="H322" s="278"/>
      <c r="I322" s="278"/>
      <c r="J322" s="57"/>
      <c r="K322" s="50"/>
      <c r="L322" s="50"/>
      <c r="M322" s="50"/>
      <c r="N322" s="50"/>
    </row>
    <row r="323" spans="1:14" ht="18.75">
      <c r="A323" s="55" t="s">
        <v>74</v>
      </c>
      <c r="B323" s="56">
        <f t="shared" ref="B323:C327" si="19">C303</f>
        <v>2.282E-2</v>
      </c>
      <c r="C323" s="56">
        <f t="shared" si="19"/>
        <v>1.9480000000000001E-2</v>
      </c>
      <c r="D323" s="280">
        <f>B323-(((B323-C323)/(C321-B321))*(D321-B321))</f>
        <v>2.2317135166666668E-2</v>
      </c>
      <c r="E323" s="280"/>
      <c r="F323" s="100">
        <f>D323</f>
        <v>2.2317135166666668E-2</v>
      </c>
      <c r="G323" s="105" t="b">
        <f>IF(B321&lt;=F320,B313,IF(B321=F320,B313,IF(B321=C312,C313,IF(B321=D312,D313,IF(B321=E312,E313,IF(B321=F312,F313,IF(B321=G312,G313,IF(B321=H312,H313))))))))</f>
        <v>0</v>
      </c>
      <c r="H323" s="105" t="b">
        <f>IF(C321&lt;=F320,B313,IF(C321=F320,B313,IF(C321=C312,C313,IF(C321=D312,D313,IF(C321=E312,E313,IF(C321=F312,F313,IF(C321=G312,G313,IF(C321=H312,H313))))))))</f>
        <v>0</v>
      </c>
      <c r="I323" s="105"/>
      <c r="J323" s="57"/>
      <c r="K323" s="50"/>
      <c r="L323" s="50"/>
      <c r="M323" s="50"/>
      <c r="N323" s="50"/>
    </row>
    <row r="324" spans="1:14" ht="18.75">
      <c r="A324" s="55" t="s">
        <v>75</v>
      </c>
      <c r="B324" s="56">
        <f t="shared" si="19"/>
        <v>2.5100000000000001E-2</v>
      </c>
      <c r="C324" s="56">
        <f t="shared" si="19"/>
        <v>2.0469999999999999E-2</v>
      </c>
      <c r="D324" s="280">
        <f>B324-(((B324-C324)/(C321-B321))*(D321-B321))</f>
        <v>2.4402914916666667E-2</v>
      </c>
      <c r="E324" s="280"/>
      <c r="F324" s="105"/>
      <c r="G324" s="105" t="b">
        <f>IF(B321&lt;=F320,B314,IF(B321=F320,B314,IF(B321=C312,C314,IF(B321=D312,D314,IF(B321=E312,E314,IF(B321=F312,F314,IF(B321=G312,G314,IF(B321=H312,H314))))))))</f>
        <v>0</v>
      </c>
      <c r="H324" s="105" t="b">
        <f>IF(C321&lt;=F320,B314,IF(C321=F320,B314,IF(C321=C312,C314,IF(C321=D312,D314,IF(C321=E312,E314,IF(C321=F312,F314,IF(C321=G312,G314,IF(C321=H312,H314))))))))</f>
        <v>0</v>
      </c>
      <c r="I324" s="105"/>
      <c r="J324" s="57"/>
      <c r="K324" s="50"/>
      <c r="L324" s="50"/>
      <c r="M324" s="50"/>
      <c r="N324" s="50"/>
    </row>
    <row r="325" spans="1:14" ht="18.75">
      <c r="A325" s="55" t="s">
        <v>76</v>
      </c>
      <c r="B325" s="56">
        <f t="shared" si="19"/>
        <v>2.1600000000000001E-2</v>
      </c>
      <c r="C325" s="56">
        <f t="shared" si="19"/>
        <v>1.8849999999999999E-2</v>
      </c>
      <c r="D325" s="280">
        <f>B325-(((B325-C325)/(C321-B321))*(D321-B321))</f>
        <v>2.1185964583333335E-2</v>
      </c>
      <c r="E325" s="280"/>
      <c r="F325" s="105"/>
      <c r="G325" s="105" t="b">
        <f>IF(B321&lt;=F320,B315,IF(B321=F320,B315,IF(B321=C312,C315,IF(B321=D312,D315,IF(B321=E312,E315,IF(B321=F312,F315,IF(B321=G312,G315,IF(B321=H312,H315))))))))</f>
        <v>0</v>
      </c>
      <c r="H325" s="105" t="b">
        <f>IF(C321&lt;=F320,B315,IF(C321=F320,B315,IF(C321=C312,C315,IF(C321=D312,D315,IF(C321=E312,E315,IF(C321=F312,F315,IF(C321=G312,G315,IF(C321=H312,H315))))))))</f>
        <v>0</v>
      </c>
      <c r="I325" s="105"/>
      <c r="J325" s="57"/>
      <c r="K325" s="50"/>
      <c r="L325" s="50"/>
      <c r="M325" s="50"/>
      <c r="N325" s="50"/>
    </row>
    <row r="326" spans="1:14" ht="18.75">
      <c r="A326" s="55" t="s">
        <v>77</v>
      </c>
      <c r="B326" s="56">
        <f t="shared" si="19"/>
        <v>1.8339999999999999E-2</v>
      </c>
      <c r="C326" s="56">
        <f t="shared" si="19"/>
        <v>1.66E-2</v>
      </c>
      <c r="D326" s="280">
        <f>B326-(((B326-C326)/(C321-B321))*(D321-B321))</f>
        <v>1.8078028499999999E-2</v>
      </c>
      <c r="E326" s="280"/>
      <c r="F326" s="105"/>
      <c r="G326" s="105" t="b">
        <f>IF(B321&lt;=F320,B316,IF(B321=F320,B316,IF(B321=C312,C316,IF(B321=D312,D316,IF(B321=E312,E316,IF(B321=F312,F316,IF(B321=G312,G316,IF(B321=H312,H316))))))))</f>
        <v>0</v>
      </c>
      <c r="H326" s="105" t="b">
        <f>IF(C321&lt;=F320,B316,IF(C321=F320,B316,IF(C321=C312,C316,IF(C321=D312,D316,IF(C321=E312,E316,IF(C321=F312,F316,IF(C321=G312,G316,IF(C321=H312,H316))))))))</f>
        <v>0</v>
      </c>
      <c r="I326" s="105"/>
      <c r="J326" s="57"/>
      <c r="K326" s="50"/>
      <c r="L326" s="50"/>
      <c r="M326" s="50"/>
      <c r="N326" s="50"/>
    </row>
    <row r="327" spans="1:14" ht="18.75">
      <c r="A327" s="55" t="s">
        <v>78</v>
      </c>
      <c r="B327" s="56">
        <f t="shared" si="19"/>
        <v>1.805E-2</v>
      </c>
      <c r="C327" s="56">
        <f t="shared" si="19"/>
        <v>1.5879999999999998E-2</v>
      </c>
      <c r="D327" s="280">
        <f>B327-(((B327-C327)/(C321-B321))*(D321-B321))</f>
        <v>1.7723288416666667E-2</v>
      </c>
      <c r="E327" s="280"/>
      <c r="F327" s="105"/>
      <c r="G327" s="105" t="b">
        <f>IF(B321&lt;=F320,B317,IF(B321=F320,B317,IF(B321=C312,C317,IF(B321=D312,D317,IF(B321=E312,E317,IF(B321=F312,F317,IF(B321=G312,G317,IF(B321=H312,H317))))))))</f>
        <v>0</v>
      </c>
      <c r="H327" s="105" t="b">
        <f>IF(C321&lt;=F320,B317,IF(C321=F320,B317,IF(C321=C312,C317,IF(C321=D312,D317,IF(C321=E312,E317,IF(C321=F312,F317,IF(C321=G312,G317,IF(C321=H312,H317))))))))</f>
        <v>0</v>
      </c>
      <c r="I327" s="105"/>
      <c r="J327" s="57"/>
      <c r="K327" s="50"/>
      <c r="L327" s="50"/>
      <c r="M327" s="50"/>
      <c r="N327" s="50"/>
    </row>
    <row r="328" spans="1:14" ht="18.75">
      <c r="A328" s="66"/>
      <c r="B328" s="67"/>
      <c r="C328" s="67"/>
      <c r="D328" s="68"/>
      <c r="E328" s="68"/>
      <c r="F328" s="105"/>
      <c r="G328" s="105"/>
      <c r="H328" s="105"/>
      <c r="I328" s="105"/>
      <c r="J328" s="57"/>
      <c r="K328" s="50"/>
      <c r="L328" s="50"/>
      <c r="M328" s="50"/>
      <c r="N328" s="50"/>
    </row>
    <row r="329" spans="1:14" ht="18.75">
      <c r="A329" s="59" t="s">
        <v>79</v>
      </c>
      <c r="B329" s="57"/>
      <c r="C329" s="57"/>
      <c r="D329" s="57"/>
      <c r="E329" s="57"/>
      <c r="F329" s="105"/>
      <c r="G329" s="105"/>
      <c r="H329" s="105"/>
      <c r="I329" s="105"/>
      <c r="J329" s="57"/>
      <c r="K329" s="50"/>
      <c r="L329" s="50"/>
      <c r="M329" s="50"/>
      <c r="N329" s="50"/>
    </row>
    <row r="330" spans="1:14" ht="18.75">
      <c r="A330" s="60" t="s">
        <v>71</v>
      </c>
      <c r="B330" s="60" t="s">
        <v>80</v>
      </c>
      <c r="C330" s="60" t="s">
        <v>81</v>
      </c>
      <c r="D330" s="271" t="s">
        <v>82</v>
      </c>
      <c r="E330" s="271"/>
      <c r="F330" s="106">
        <v>10</v>
      </c>
      <c r="G330" s="281" t="s">
        <v>106</v>
      </c>
      <c r="H330" s="281"/>
      <c r="I330" s="281"/>
      <c r="J330" s="57"/>
      <c r="K330" s="50"/>
      <c r="L330" s="50"/>
      <c r="M330" s="50"/>
      <c r="N330" s="50"/>
    </row>
    <row r="331" spans="1:14" ht="18.75">
      <c r="A331" s="269" t="s">
        <v>121</v>
      </c>
      <c r="B331" s="273">
        <f>H322</f>
        <v>0</v>
      </c>
      <c r="C331" s="273">
        <f>I322</f>
        <v>0</v>
      </c>
      <c r="D331" s="274">
        <f>G331/1000000000</f>
        <v>8.1694200000000006</v>
      </c>
      <c r="E331" s="274"/>
      <c r="F331" s="106">
        <f>IF(D331&lt;F330,F330,IF(AND(D331&gt;F330,D331&lt;=C322),F330,IF(AND(D331&gt;C322,D331&lt;=D322),C322,IF(AND(D331&gt;D322,D331&lt;=E322),D322,IF(AND(D331&gt;E322,D331&lt;=F322),E322,IF(AND(D331&gt;F322,D331&lt;=G322),F322,IF(AND(D331&gt;G322,D331&lt;=H322),G322)))))))</f>
        <v>10</v>
      </c>
      <c r="G331" s="276">
        <f>'[2]2.2. XD HTKT'!D6</f>
        <v>8169420000</v>
      </c>
      <c r="H331" s="276"/>
      <c r="I331" s="276"/>
      <c r="J331" s="57"/>
      <c r="K331" s="50"/>
      <c r="L331" s="50"/>
      <c r="M331" s="50"/>
      <c r="N331" s="50"/>
    </row>
    <row r="332" spans="1:14" ht="18.75">
      <c r="A332" s="270"/>
      <c r="B332" s="270"/>
      <c r="C332" s="270"/>
      <c r="D332" s="277" t="s">
        <v>85</v>
      </c>
      <c r="E332" s="277"/>
      <c r="F332" s="105">
        <f>IF(D331&lt;F330,F330,IF(AND(D331&gt;F330,D331&lt;=C322),C322,IF(AND(D331&gt;C322,D331&lt;=D322),D322,IF(AND(D331&gt;D322,D331&lt;=E322),E322,IF(AND(D331&gt;E322,D331&lt;=F322),F322,IF(AND(D331&gt;F322,D331&lt;=G322),G322,IF(AND(D331&gt;G322,D331&lt;=H322),H322)))))))</f>
        <v>10</v>
      </c>
      <c r="G332" s="278" t="s">
        <v>86</v>
      </c>
      <c r="H332" s="278"/>
      <c r="I332" s="278"/>
      <c r="J332" s="57"/>
      <c r="K332" s="50"/>
      <c r="L332" s="50"/>
      <c r="M332" s="50"/>
      <c r="N332" s="50"/>
    </row>
    <row r="333" spans="1:14" ht="18.75">
      <c r="A333" s="55" t="s">
        <v>74</v>
      </c>
      <c r="B333" s="56">
        <f>G333</f>
        <v>2.282E-2</v>
      </c>
      <c r="C333" s="56">
        <f>I323</f>
        <v>0</v>
      </c>
      <c r="D333" s="280" t="e">
        <f>B333-(((B333-C333)/(C331-B331))*(D331-B331))</f>
        <v>#DIV/0!</v>
      </c>
      <c r="E333" s="280"/>
      <c r="F333" s="108"/>
      <c r="G333" s="105">
        <f>IF(B331&lt;=F330,B323,IF(B331=F330,B323,IF(B331=C322,C323,IF(B331=D322,D323,IF(B331=E322,E323,IF(B331=F322,F323,IF(B331=G322,G323,IF(B331=H322,H323))))))))</f>
        <v>2.282E-2</v>
      </c>
      <c r="H333" s="105">
        <f>IF(C331&lt;=F330,B323,IF(C331=F330,B323,IF(C331=C322,C323,IF(C331=D322,D323,IF(C331=E322,E323,IF(C331=F322,F323,IF(C331=G322,G323,IF(C331=H322,H323))))))))</f>
        <v>2.282E-2</v>
      </c>
      <c r="I333" s="105"/>
      <c r="J333" s="57"/>
      <c r="K333" s="50"/>
      <c r="L333" s="50"/>
      <c r="M333" s="50"/>
      <c r="N333" s="50"/>
    </row>
    <row r="334" spans="1:14" ht="18.75">
      <c r="A334" s="55" t="s">
        <v>75</v>
      </c>
      <c r="B334" s="56">
        <f>G334</f>
        <v>2.5100000000000001E-2</v>
      </c>
      <c r="C334" s="56">
        <f>I324</f>
        <v>0</v>
      </c>
      <c r="D334" s="280" t="e">
        <f>B334-(((B334-C334)/(C331-B331))*(D331-B331))</f>
        <v>#DIV/0!</v>
      </c>
      <c r="E334" s="280"/>
      <c r="F334" s="105"/>
      <c r="G334" s="105">
        <f>IF(B331&lt;=F330,B324,IF(B331=F330,B324,IF(B331=C322,C324,IF(B331=D322,D324,IF(B331=E322,E324,IF(B331=F322,F324,IF(B331=G322,G324,IF(B331=H322,H324))))))))</f>
        <v>2.5100000000000001E-2</v>
      </c>
      <c r="H334" s="105">
        <f>IF(C331&lt;=F330,B324,IF(C331=F330,B324,IF(C331=C322,C324,IF(C331=D322,D324,IF(C331=E322,E324,IF(C331=F322,F324,IF(C331=G322,G324,IF(C331=H322,H324))))))))</f>
        <v>2.5100000000000001E-2</v>
      </c>
      <c r="I334" s="105"/>
      <c r="J334" s="57"/>
      <c r="K334" s="50"/>
      <c r="L334" s="50"/>
      <c r="M334" s="50"/>
      <c r="N334" s="50"/>
    </row>
    <row r="335" spans="1:14" ht="18.75">
      <c r="A335" s="55" t="s">
        <v>76</v>
      </c>
      <c r="B335" s="56">
        <f>G335</f>
        <v>2.1600000000000001E-2</v>
      </c>
      <c r="C335" s="56">
        <f>I325</f>
        <v>0</v>
      </c>
      <c r="D335" s="280" t="e">
        <f>B335-(((B335-C335)/(C331-B331))*(D331-B331))</f>
        <v>#DIV/0!</v>
      </c>
      <c r="E335" s="280"/>
      <c r="F335" s="105"/>
      <c r="G335" s="105">
        <f>IF(B331&lt;=F330,B325,IF(B331=F330,B325,IF(B331=C322,C325,IF(B331=D322,D325,IF(B331=E322,E325,IF(B331=F322,F325,IF(B331=G322,G325,IF(B331=H322,H325))))))))</f>
        <v>2.1600000000000001E-2</v>
      </c>
      <c r="H335" s="105">
        <f>IF(C331&lt;=F330,B325,IF(C331=F330,B325,IF(C331=C322,C325,IF(C331=D322,D325,IF(C331=E322,E325,IF(C331=F322,F325,IF(C331=G322,G325,IF(C331=H322,H325))))))))</f>
        <v>2.1600000000000001E-2</v>
      </c>
      <c r="I335" s="105"/>
      <c r="J335" s="57"/>
      <c r="K335" s="50"/>
      <c r="L335" s="50"/>
      <c r="M335" s="50"/>
      <c r="N335" s="50"/>
    </row>
    <row r="336" spans="1:14" ht="18.75">
      <c r="A336" s="55" t="s">
        <v>77</v>
      </c>
      <c r="B336" s="56">
        <f>G336</f>
        <v>1.8339999999999999E-2</v>
      </c>
      <c r="C336" s="56">
        <f>I326</f>
        <v>0</v>
      </c>
      <c r="D336" s="280" t="e">
        <f>B336-(((B336-C336)/(C331-B331))*(D331-B331))</f>
        <v>#DIV/0!</v>
      </c>
      <c r="E336" s="280"/>
      <c r="F336" s="105"/>
      <c r="G336" s="105">
        <f>IF(B331&lt;=F330,B326,IF(B331=F330,B326,IF(B331=C322,C326,IF(B331=D322,D326,IF(B331=E322,E326,IF(B331=F322,F326,IF(B331=G322,G326,IF(B331=H322,H326))))))))</f>
        <v>1.8339999999999999E-2</v>
      </c>
      <c r="H336" s="105">
        <f>IF(C331&lt;=F330,B326,IF(C331=F330,B326,IF(C331=C322,C326,IF(C331=D322,D326,IF(C331=E322,E326,IF(C331=F322,F326,IF(C331=G322,G326,IF(C331=H322,H326))))))))</f>
        <v>1.8339999999999999E-2</v>
      </c>
      <c r="I336" s="105"/>
      <c r="J336" s="57"/>
      <c r="K336" s="50"/>
      <c r="L336" s="50"/>
      <c r="M336" s="50"/>
      <c r="N336" s="50"/>
    </row>
    <row r="337" spans="1:14" ht="18.75">
      <c r="A337" s="55" t="s">
        <v>78</v>
      </c>
      <c r="B337" s="56">
        <f>G337</f>
        <v>1.805E-2</v>
      </c>
      <c r="C337" s="56">
        <f>I327</f>
        <v>0</v>
      </c>
      <c r="D337" s="280" t="e">
        <f>B337-(((B337-C337)/(C331-B331))*(D331-B331))</f>
        <v>#DIV/0!</v>
      </c>
      <c r="E337" s="280"/>
      <c r="F337" s="101">
        <f>B307</f>
        <v>2.053E-2</v>
      </c>
      <c r="G337" s="105">
        <f>IF(B331&lt;=F330,B327,IF(B331=F330,B327,IF(B331=C322,C327,IF(B331=D322,D327,IF(B331=E322,E327,IF(B331=F322,F327,IF(B331=G322,G327,IF(B331=H322,H327))))))))</f>
        <v>1.805E-2</v>
      </c>
      <c r="H337" s="105">
        <f>IF(C331&lt;=F330,B327,IF(C331=F330,B327,IF(C331=C322,C327,IF(C331=D322,D327,IF(C331=E322,E327,IF(C331=F322,F327,IF(C331=G322,G327,IF(C331=H322,H327))))))))</f>
        <v>1.805E-2</v>
      </c>
      <c r="I337" s="105"/>
      <c r="J337" s="57"/>
      <c r="K337" s="50"/>
      <c r="L337" s="50"/>
      <c r="M337" s="50"/>
      <c r="N337" s="50"/>
    </row>
    <row r="338" spans="1:14" ht="18.75">
      <c r="A338" s="51" t="s">
        <v>128</v>
      </c>
      <c r="B338" s="52"/>
      <c r="C338" s="52"/>
      <c r="D338" s="52"/>
      <c r="E338" s="52"/>
      <c r="F338" s="52"/>
      <c r="G338" s="52"/>
      <c r="H338" s="52"/>
      <c r="I338" s="52"/>
      <c r="J338" s="52"/>
      <c r="K338" s="50"/>
      <c r="L338" s="50"/>
      <c r="M338" s="50"/>
      <c r="N338" s="50"/>
    </row>
    <row r="339" spans="1:14" ht="18.75">
      <c r="A339" s="269" t="s">
        <v>71</v>
      </c>
      <c r="B339" s="271" t="s">
        <v>125</v>
      </c>
      <c r="C339" s="271"/>
      <c r="D339" s="271"/>
      <c r="E339" s="271"/>
      <c r="F339" s="271"/>
      <c r="G339" s="271"/>
      <c r="H339" s="271"/>
      <c r="I339" s="271"/>
      <c r="J339" s="52"/>
      <c r="K339" s="50"/>
      <c r="L339" s="50"/>
      <c r="M339" s="50"/>
      <c r="N339" s="50"/>
    </row>
    <row r="340" spans="1:14" ht="18.75">
      <c r="A340" s="270"/>
      <c r="B340" s="53" t="s">
        <v>129</v>
      </c>
      <c r="C340" s="53">
        <v>20</v>
      </c>
      <c r="D340" s="53">
        <v>50</v>
      </c>
      <c r="E340" s="53">
        <v>100</v>
      </c>
      <c r="F340" s="53">
        <v>200</v>
      </c>
      <c r="G340" s="53">
        <v>500</v>
      </c>
      <c r="H340" s="53">
        <v>1000</v>
      </c>
      <c r="I340" s="53">
        <v>2000</v>
      </c>
      <c r="J340" s="54"/>
      <c r="K340" s="50"/>
      <c r="L340" s="50"/>
      <c r="M340" s="50"/>
      <c r="N340" s="50"/>
    </row>
    <row r="341" spans="1:14" ht="18.75">
      <c r="A341" s="55" t="s">
        <v>74</v>
      </c>
      <c r="B341" s="56">
        <v>6.7499999999999999E-3</v>
      </c>
      <c r="C341" s="56">
        <v>5.7200000000000003E-3</v>
      </c>
      <c r="D341" s="56">
        <v>4.7699999999999999E-3</v>
      </c>
      <c r="E341" s="56">
        <v>3.15E-3</v>
      </c>
      <c r="F341" s="56">
        <v>2.5000000000000001E-3</v>
      </c>
      <c r="G341" s="56">
        <v>2.14E-3</v>
      </c>
      <c r="H341" s="56">
        <v>1.4400000000000001E-3</v>
      </c>
      <c r="I341" s="56">
        <v>1.2999999999999999E-3</v>
      </c>
      <c r="J341" s="57"/>
      <c r="K341" s="50"/>
      <c r="L341" s="50"/>
      <c r="M341" s="50"/>
      <c r="N341" s="50"/>
    </row>
    <row r="342" spans="1:14" ht="18.75">
      <c r="A342" s="55" t="s">
        <v>75</v>
      </c>
      <c r="B342" s="56">
        <v>9.1800000000000007E-3</v>
      </c>
      <c r="C342" s="56">
        <v>8.0400000000000003E-3</v>
      </c>
      <c r="D342" s="56">
        <v>7.6699999999999997E-3</v>
      </c>
      <c r="E342" s="56">
        <v>6.4900000000000001E-3</v>
      </c>
      <c r="F342" s="56">
        <v>4.0200000000000001E-3</v>
      </c>
      <c r="G342" s="56">
        <v>3.46E-3</v>
      </c>
      <c r="H342" s="56">
        <v>2.9199999999999999E-3</v>
      </c>
      <c r="I342" s="56">
        <v>2.6199999999999999E-3</v>
      </c>
      <c r="J342" s="57"/>
      <c r="K342" s="50"/>
      <c r="L342" s="50"/>
      <c r="M342" s="50"/>
      <c r="N342" s="50"/>
    </row>
    <row r="343" spans="1:14" ht="18.75">
      <c r="A343" s="55" t="s">
        <v>76</v>
      </c>
      <c r="B343" s="56">
        <v>5.4200000000000003E-3</v>
      </c>
      <c r="C343" s="56">
        <v>4.64E-3</v>
      </c>
      <c r="D343" s="56">
        <v>3.8899999999999998E-3</v>
      </c>
      <c r="E343" s="56">
        <v>2.5600000000000002E-3</v>
      </c>
      <c r="F343" s="56">
        <v>2.14E-3</v>
      </c>
      <c r="G343" s="56">
        <v>1.7799999999999999E-3</v>
      </c>
      <c r="H343" s="56">
        <v>1.1999999999999999E-3</v>
      </c>
      <c r="I343" s="56">
        <v>1.08E-3</v>
      </c>
      <c r="J343" s="57"/>
      <c r="K343" s="50"/>
      <c r="L343" s="50"/>
      <c r="M343" s="50"/>
      <c r="N343" s="50"/>
    </row>
    <row r="344" spans="1:14" ht="18.75">
      <c r="A344" s="55" t="s">
        <v>77</v>
      </c>
      <c r="B344" s="56">
        <v>5.7400000000000003E-3</v>
      </c>
      <c r="C344" s="56">
        <v>4.6800000000000001E-3</v>
      </c>
      <c r="D344" s="56">
        <v>4.1599999999999996E-3</v>
      </c>
      <c r="E344" s="56">
        <v>2.7499999999999998E-3</v>
      </c>
      <c r="F344" s="56">
        <v>2.2599999999999999E-3</v>
      </c>
      <c r="G344" s="56">
        <v>1.9E-3</v>
      </c>
      <c r="H344" s="56">
        <v>1.2999999999999999E-3</v>
      </c>
      <c r="I344" s="56">
        <v>1.17E-3</v>
      </c>
      <c r="J344" s="57"/>
      <c r="K344" s="50"/>
      <c r="L344" s="50"/>
      <c r="M344" s="50"/>
      <c r="N344" s="50"/>
    </row>
    <row r="345" spans="1:14" ht="18.75">
      <c r="A345" s="55" t="s">
        <v>78</v>
      </c>
      <c r="B345" s="56">
        <v>6.43E-3</v>
      </c>
      <c r="C345" s="56">
        <v>5.5199999999999997E-3</v>
      </c>
      <c r="D345" s="56">
        <v>4.5999999999999999E-3</v>
      </c>
      <c r="E345" s="56">
        <v>3.0699999999999998E-3</v>
      </c>
      <c r="F345" s="56">
        <v>2.4599999999999999E-3</v>
      </c>
      <c r="G345" s="56">
        <v>2.14E-3</v>
      </c>
      <c r="H345" s="56">
        <v>1.42E-3</v>
      </c>
      <c r="I345" s="56">
        <v>1.2700000000000001E-3</v>
      </c>
      <c r="J345" s="57"/>
      <c r="K345" s="50"/>
      <c r="L345" s="50"/>
      <c r="M345" s="50"/>
      <c r="N345" s="50"/>
    </row>
    <row r="346" spans="1:14" ht="18.75">
      <c r="A346" s="58"/>
      <c r="B346" s="57"/>
      <c r="C346" s="57"/>
      <c r="D346" s="57"/>
      <c r="E346" s="57"/>
      <c r="F346" s="57"/>
      <c r="G346" s="57"/>
      <c r="H346" s="57"/>
      <c r="I346" s="57"/>
      <c r="J346" s="57"/>
      <c r="K346" s="50"/>
      <c r="L346" s="50"/>
      <c r="M346" s="50"/>
      <c r="N346" s="50"/>
    </row>
    <row r="347" spans="1:14" ht="18.75">
      <c r="A347" s="59" t="s">
        <v>79</v>
      </c>
      <c r="B347" s="57"/>
      <c r="C347" s="57"/>
      <c r="D347" s="57"/>
      <c r="E347" s="57"/>
      <c r="F347" s="57"/>
      <c r="G347" s="57"/>
      <c r="H347" s="57"/>
      <c r="I347" s="57"/>
      <c r="J347" s="57"/>
      <c r="K347" s="50"/>
      <c r="L347" s="50"/>
      <c r="M347" s="50"/>
      <c r="N347" s="50"/>
    </row>
    <row r="348" spans="1:14" ht="18.75">
      <c r="A348" s="60" t="s">
        <v>71</v>
      </c>
      <c r="B348" s="60" t="s">
        <v>80</v>
      </c>
      <c r="C348" s="60" t="s">
        <v>81</v>
      </c>
      <c r="D348" s="271" t="s">
        <v>82</v>
      </c>
      <c r="E348" s="271"/>
      <c r="F348" s="61">
        <v>10</v>
      </c>
      <c r="G348" s="271" t="s">
        <v>106</v>
      </c>
      <c r="H348" s="271"/>
      <c r="I348" s="271"/>
      <c r="J348" s="52"/>
      <c r="K348" s="50"/>
      <c r="L348" s="50"/>
      <c r="M348" s="50"/>
      <c r="N348" s="50"/>
    </row>
    <row r="349" spans="1:14" ht="18.75">
      <c r="A349" s="269" t="s">
        <v>126</v>
      </c>
      <c r="B349" s="269">
        <f>F349</f>
        <v>10</v>
      </c>
      <c r="C349" s="269">
        <f>F350</f>
        <v>20</v>
      </c>
      <c r="D349" s="274">
        <f>G349/1000000000</f>
        <v>13.135563636363637</v>
      </c>
      <c r="E349" s="274"/>
      <c r="F349" s="61">
        <f>IF(D349&lt;F348,F348,IF(AND(D349&gt;F348,D349&lt;=C340),F348,IF(AND(D349&gt;C340,D349&lt;=D340),C340,IF(AND(D349&gt;D340,D349&lt;=E340),D340,IF(AND(D349&gt;E340,D349&lt;=F340),E340,IF(AND(D349&gt;F340,D349&lt;=G340),F340,IF(AND(D349&gt;G340,D349&lt;=H340),G340)))))))</f>
        <v>10</v>
      </c>
      <c r="G349" s="275">
        <f>'[1]2.2. CP DAU TU NHA CAO TANG'!D5*1000</f>
        <v>13135563636.363636</v>
      </c>
      <c r="H349" s="275"/>
      <c r="I349" s="275"/>
      <c r="J349" s="62"/>
      <c r="K349" s="50"/>
      <c r="L349" s="50"/>
      <c r="M349" s="50"/>
      <c r="N349" s="50"/>
    </row>
    <row r="350" spans="1:14" ht="18.75">
      <c r="A350" s="270"/>
      <c r="B350" s="270"/>
      <c r="C350" s="270"/>
      <c r="D350" s="277" t="s">
        <v>85</v>
      </c>
      <c r="E350" s="277"/>
      <c r="F350" s="63">
        <f>IF(D349&lt;F348,F348,IF(AND(D349&gt;F348,D349&lt;=C340),C340,IF(AND(D349&gt;C340,D349&lt;=D340),D340,IF(AND(D349&gt;D340,D349&lt;=E340),E340,IF(AND(D349&gt;E340,D349&lt;=F340),F340,IF(AND(D349&gt;F340,D349&lt;=G340),G340,IF(AND(D349&gt;G340,D349&lt;=H340),H340)))))))</f>
        <v>20</v>
      </c>
      <c r="G350" s="279" t="s">
        <v>86</v>
      </c>
      <c r="H350" s="279"/>
      <c r="I350" s="279"/>
      <c r="J350" s="64"/>
      <c r="K350" s="50"/>
      <c r="L350" s="50"/>
      <c r="M350" s="50"/>
      <c r="N350" s="50"/>
    </row>
    <row r="351" spans="1:14" ht="18.75">
      <c r="A351" s="55" t="s">
        <v>74</v>
      </c>
      <c r="B351" s="56">
        <f t="shared" ref="B351:C355" si="20">G351</f>
        <v>6.7499999999999999E-3</v>
      </c>
      <c r="C351" s="56">
        <f t="shared" si="20"/>
        <v>5.7200000000000003E-3</v>
      </c>
      <c r="D351" s="280">
        <f>B351-(((B351-C351)/(C349-B349))*(D349-B349))</f>
        <v>6.4270369454545451E-3</v>
      </c>
      <c r="E351" s="280"/>
      <c r="F351" s="65">
        <f>D351</f>
        <v>6.4270369454545451E-3</v>
      </c>
      <c r="G351" s="63">
        <f>IF(B349&lt;=F348,B341,IF(B349=F348,B341,IF(B349=C340,C341,IF(B349=D340,D341,IF(B349=E340,E341,IF(B349=F340,F341,IF(B349=G340,G341,IF(B349=H340,H341))))))))</f>
        <v>6.7499999999999999E-3</v>
      </c>
      <c r="H351" s="63">
        <f>IF(C349&lt;=F348,B341,IF(C349=F348,B341,IF(C349=C340,C341,IF(C349=D340,D341,IF(C349=E340,E341,IF(C349=F340,F341,IF(C349=G340,G341,IF(C349=H340,H341))))))))</f>
        <v>5.7200000000000003E-3</v>
      </c>
      <c r="I351" s="57"/>
      <c r="J351" s="57"/>
      <c r="K351" s="50"/>
      <c r="L351" s="50"/>
      <c r="M351" s="50"/>
      <c r="N351" s="50"/>
    </row>
    <row r="352" spans="1:14" ht="18.75">
      <c r="A352" s="55" t="s">
        <v>75</v>
      </c>
      <c r="B352" s="56">
        <f t="shared" si="20"/>
        <v>9.1800000000000007E-3</v>
      </c>
      <c r="C352" s="56">
        <f t="shared" si="20"/>
        <v>8.0400000000000003E-3</v>
      </c>
      <c r="D352" s="280">
        <f>B352-(((B352-C352)/(C349-B349))*(D349-B349))</f>
        <v>8.8225457454545464E-3</v>
      </c>
      <c r="E352" s="280"/>
      <c r="F352" s="57"/>
      <c r="G352" s="63">
        <f>IF(B349&lt;=F348,B342,IF(B349=F348,B342,IF(B349=C340,C342,IF(B349=D340,D342,IF(B349=E340,E342,IF(B349=F340,F342,IF(B349=G340,G342,IF(B349=H340,H342))))))))</f>
        <v>9.1800000000000007E-3</v>
      </c>
      <c r="H352" s="63">
        <f>IF(C349&lt;=F348,B342,IF(C349=F348,B342,IF(C349=C340,C342,IF(C349=D340,D342,IF(C349=E340,E342,IF(C349=F340,F342,IF(C349=G340,G342,IF(C349=H340,H342))))))))</f>
        <v>8.0400000000000003E-3</v>
      </c>
      <c r="I352" s="57"/>
      <c r="J352" s="57"/>
      <c r="K352" s="50"/>
      <c r="L352" s="50"/>
      <c r="M352" s="50"/>
      <c r="N352" s="50"/>
    </row>
    <row r="353" spans="1:14" ht="18.75">
      <c r="A353" s="55" t="s">
        <v>76</v>
      </c>
      <c r="B353" s="56">
        <f t="shared" si="20"/>
        <v>5.4200000000000003E-3</v>
      </c>
      <c r="C353" s="56">
        <f t="shared" si="20"/>
        <v>4.64E-3</v>
      </c>
      <c r="D353" s="280">
        <f>B353-(((B353-C353)/(C349-B349))*(D349-B349))</f>
        <v>5.1754260363636364E-3</v>
      </c>
      <c r="E353" s="280"/>
      <c r="F353" s="57"/>
      <c r="G353" s="63">
        <f>IF(B349&lt;=F348,B343,IF(B349=F348,B343,IF(B349=C340,C343,IF(B349=D340,D343,IF(B349=E340,E343,IF(B349=F340,F343,IF(B349=G340,G343,IF(B349=H340,H343))))))))</f>
        <v>5.4200000000000003E-3</v>
      </c>
      <c r="H353" s="63">
        <f>IF(C349&lt;=F348,B343,IF(C349=F348,B343,IF(C349=C340,C343,IF(C349=D340,D343,IF(C349=E340,E343,IF(C349=F340,F343,IF(C349=G340,G343,IF(C349=H340,H343))))))))</f>
        <v>4.64E-3</v>
      </c>
      <c r="I353" s="57"/>
      <c r="J353" s="57"/>
      <c r="K353" s="50"/>
      <c r="L353" s="50"/>
      <c r="M353" s="50"/>
      <c r="N353" s="50"/>
    </row>
    <row r="354" spans="1:14" ht="18.75">
      <c r="A354" s="55" t="s">
        <v>77</v>
      </c>
      <c r="B354" s="56">
        <f t="shared" si="20"/>
        <v>5.7400000000000003E-3</v>
      </c>
      <c r="C354" s="56">
        <f t="shared" si="20"/>
        <v>4.6800000000000001E-3</v>
      </c>
      <c r="D354" s="280">
        <f>B354-(((B354-C354)/(C349-B349))*(D349-B349))</f>
        <v>5.4076302545454551E-3</v>
      </c>
      <c r="E354" s="280"/>
      <c r="F354" s="57"/>
      <c r="G354" s="63">
        <f>IF(B349&lt;=F348,B344,IF(B349=F348,B344,IF(B349=C340,C344,IF(B349=D340,D344,IF(B349=E340,E344,IF(B349=F340,F344,IF(B349=G340,G344,IF(B349=H340,H344))))))))</f>
        <v>5.7400000000000003E-3</v>
      </c>
      <c r="H354" s="63">
        <f>IF(C349&lt;=F348,B344,IF(C349=F348,B344,IF(C349=C340,C344,IF(C349=D340,D344,IF(C349=E340,E344,IF(C349=F340,F344,IF(C349=G340,G344,IF(C349=H340,H344))))))))</f>
        <v>4.6800000000000001E-3</v>
      </c>
      <c r="I354" s="57"/>
      <c r="J354" s="57"/>
      <c r="K354" s="50"/>
      <c r="L354" s="50"/>
      <c r="M354" s="50"/>
      <c r="N354" s="50"/>
    </row>
    <row r="355" spans="1:14" ht="18.75">
      <c r="A355" s="55" t="s">
        <v>78</v>
      </c>
      <c r="B355" s="56">
        <f t="shared" si="20"/>
        <v>6.43E-3</v>
      </c>
      <c r="C355" s="56">
        <f t="shared" si="20"/>
        <v>5.5199999999999997E-3</v>
      </c>
      <c r="D355" s="280">
        <f>B355-(((B355-C355)/(C349-B349))*(D349-B349))</f>
        <v>6.1446637090909091E-3</v>
      </c>
      <c r="E355" s="280"/>
      <c r="F355" s="57"/>
      <c r="G355" s="63">
        <f>IF(B349&lt;=F348,B345,IF(B349=F348,B345,IF(B349=C340,C345,IF(B349=D340,D345,IF(B349=E340,E345,IF(B349=F340,F345,IF(B349=G340,G345,IF(B349=H340,H345))))))))</f>
        <v>6.43E-3</v>
      </c>
      <c r="H355" s="63">
        <f>IF(C349&lt;=F348,B345,IF(C349=F348,B345,IF(C349=C340,C345,IF(C349=D340,D345,IF(C349=E340,E345,IF(C349=F340,F345,IF(C349=G340,G345,IF(C349=H340,H345))))))))</f>
        <v>5.5199999999999997E-3</v>
      </c>
      <c r="I355" s="57"/>
      <c r="J355" s="57"/>
      <c r="K355" s="50"/>
      <c r="L355" s="50"/>
      <c r="M355" s="50"/>
      <c r="N355" s="50"/>
    </row>
    <row r="356" spans="1:14">
      <c r="A356" s="50"/>
      <c r="B356" s="50"/>
      <c r="C356" s="50"/>
      <c r="D356" s="50"/>
      <c r="E356" s="50"/>
      <c r="F356" s="50"/>
      <c r="G356" s="50"/>
      <c r="H356" s="50"/>
      <c r="I356" s="50"/>
      <c r="J356" s="50"/>
      <c r="K356" s="50"/>
      <c r="L356" s="50"/>
      <c r="M356" s="50"/>
      <c r="N356" s="50"/>
    </row>
    <row r="357" spans="1:14" ht="18.75">
      <c r="A357" s="80" t="s">
        <v>130</v>
      </c>
      <c r="B357" s="81"/>
      <c r="C357" s="81"/>
      <c r="D357" s="81"/>
      <c r="E357" s="81"/>
      <c r="F357" s="50"/>
      <c r="G357" s="50"/>
      <c r="H357" s="50"/>
      <c r="I357" s="50"/>
      <c r="J357" s="50"/>
      <c r="K357" s="50"/>
      <c r="L357" s="50"/>
      <c r="M357" s="50"/>
      <c r="N357" s="50"/>
    </row>
    <row r="358" spans="1:14">
      <c r="A358" s="50"/>
      <c r="B358" s="50"/>
      <c r="C358" s="50"/>
      <c r="D358" s="50"/>
      <c r="E358" s="50"/>
      <c r="F358" s="50"/>
      <c r="G358" s="50"/>
      <c r="H358" s="50"/>
      <c r="I358" s="50"/>
      <c r="J358" s="50"/>
      <c r="K358" s="50"/>
      <c r="L358" s="50"/>
      <c r="M358" s="50"/>
      <c r="N358" s="50"/>
    </row>
    <row r="359" spans="1:14">
      <c r="A359" s="301" t="s">
        <v>38</v>
      </c>
      <c r="B359" s="301" t="s">
        <v>1</v>
      </c>
      <c r="C359" s="301" t="s">
        <v>131</v>
      </c>
      <c r="D359" s="301" t="s">
        <v>132</v>
      </c>
      <c r="E359" s="304" t="s">
        <v>133</v>
      </c>
      <c r="F359" s="305"/>
      <c r="G359" s="305"/>
      <c r="H359" s="305"/>
      <c r="I359" s="305"/>
      <c r="J359" s="305"/>
      <c r="K359" s="305"/>
      <c r="L359" s="304" t="s">
        <v>134</v>
      </c>
      <c r="M359" s="306"/>
      <c r="N359" s="307" t="s">
        <v>135</v>
      </c>
    </row>
    <row r="360" spans="1:14">
      <c r="A360" s="302"/>
      <c r="B360" s="302"/>
      <c r="C360" s="302"/>
      <c r="D360" s="302"/>
      <c r="E360" s="309" t="s">
        <v>136</v>
      </c>
      <c r="F360" s="310"/>
      <c r="G360" s="310"/>
      <c r="H360" s="310"/>
      <c r="I360" s="310"/>
      <c r="J360" s="310"/>
      <c r="K360" s="310"/>
      <c r="L360" s="82" t="s">
        <v>80</v>
      </c>
      <c r="M360" s="82" t="s">
        <v>81</v>
      </c>
      <c r="N360" s="308"/>
    </row>
    <row r="361" spans="1:14">
      <c r="A361" s="303"/>
      <c r="B361" s="303"/>
      <c r="C361" s="303"/>
      <c r="D361" s="303"/>
      <c r="E361" s="83" t="s">
        <v>137</v>
      </c>
      <c r="F361" s="83">
        <v>10</v>
      </c>
      <c r="G361" s="83">
        <v>50</v>
      </c>
      <c r="H361" s="83">
        <v>100</v>
      </c>
      <c r="I361" s="83">
        <v>500</v>
      </c>
      <c r="J361" s="83">
        <v>1000</v>
      </c>
      <c r="K361" s="83" t="s">
        <v>138</v>
      </c>
      <c r="L361" s="83">
        <f>IF($N361&lt;$F361,$E361,IF($N361&lt;$G361,$F361,IF($N361&lt;$H361,$G361,IF($N361&lt;$I361,$H361,IF($N361&lt;$J361,$I361,IF($N361&lt;$K361,$J361,IF($N361&lt;#REF!,$K361,IF($N361&lt;#REF!,#REF!,#REF!))))))))</f>
        <v>100</v>
      </c>
      <c r="M361" s="83">
        <f>IF($L361=E361,F361,IF($L361=F361,G361,IF($L361=G361,H361,IF($L361=H361,I361,IF($L361=I361,J361,IF($L361=J361,K361,IF($L361=K361,#REF!,IF($L361=#REF!,#REF!,"NA"))))))))</f>
        <v>500</v>
      </c>
      <c r="N361" s="84">
        <v>150</v>
      </c>
    </row>
    <row r="362" spans="1:14" ht="47.25">
      <c r="A362" s="85">
        <v>1</v>
      </c>
      <c r="B362" s="86" t="s">
        <v>139</v>
      </c>
      <c r="C362" s="301" t="s">
        <v>140</v>
      </c>
      <c r="D362" s="87" t="s">
        <v>141</v>
      </c>
      <c r="E362" s="88">
        <v>0.38</v>
      </c>
      <c r="F362" s="88">
        <v>0.26</v>
      </c>
      <c r="G362" s="88">
        <v>0.19</v>
      </c>
      <c r="H362" s="88">
        <v>0.15</v>
      </c>
      <c r="I362" s="88">
        <v>0.09</v>
      </c>
      <c r="J362" s="88">
        <v>0.06</v>
      </c>
      <c r="K362" s="89">
        <v>3.2000000000000003E-4</v>
      </c>
      <c r="L362" s="88">
        <v>0.15</v>
      </c>
      <c r="M362" s="88">
        <v>0.09</v>
      </c>
      <c r="N362" s="90">
        <f>H362-(H362-I362)*(N361-H361)/(H361+I361)</f>
        <v>0.14499999999999999</v>
      </c>
    </row>
    <row r="363" spans="1:14">
      <c r="A363" s="91">
        <v>2</v>
      </c>
      <c r="B363" s="92" t="s">
        <v>142</v>
      </c>
      <c r="C363" s="311"/>
      <c r="D363" s="87" t="s">
        <v>141</v>
      </c>
      <c r="E363" s="93">
        <v>0.64</v>
      </c>
      <c r="F363" s="93">
        <v>0.43</v>
      </c>
      <c r="G363" s="93">
        <v>0.3</v>
      </c>
      <c r="H363" s="93">
        <v>0.23</v>
      </c>
      <c r="I363" s="93">
        <v>0.13</v>
      </c>
      <c r="J363" s="93">
        <v>8.5999999999999993E-2</v>
      </c>
      <c r="K363" s="94">
        <v>4.6000000000000001E-4</v>
      </c>
      <c r="L363" s="93">
        <v>0.23</v>
      </c>
      <c r="M363" s="93">
        <v>0.13</v>
      </c>
      <c r="N363" s="90">
        <f>H363-(H363-I363)*(N361-H361)/(H361+I361)</f>
        <v>0.22166666666666668</v>
      </c>
    </row>
    <row r="364" spans="1:14">
      <c r="A364" s="95"/>
      <c r="B364" s="96"/>
      <c r="C364" s="95"/>
      <c r="D364" s="95"/>
      <c r="E364" s="96"/>
      <c r="F364" s="96"/>
      <c r="G364" s="96"/>
      <c r="H364" s="96"/>
      <c r="I364" s="96"/>
      <c r="J364" s="96"/>
      <c r="K364" s="96"/>
      <c r="L364" s="97"/>
      <c r="M364" s="97"/>
      <c r="N364" s="98"/>
    </row>
  </sheetData>
  <sheetProtection password="F311" sheet="1" objects="1" scenarios="1" selectLockedCells="1" selectUnlockedCells="1"/>
  <mergeCells count="373">
    <mergeCell ref="L359:M359"/>
    <mergeCell ref="N359:N360"/>
    <mergeCell ref="E360:K360"/>
    <mergeCell ref="C362:C363"/>
    <mergeCell ref="D351:E351"/>
    <mergeCell ref="D352:E352"/>
    <mergeCell ref="D353:E353"/>
    <mergeCell ref="D354:E354"/>
    <mergeCell ref="D355:E355"/>
    <mergeCell ref="A359:A361"/>
    <mergeCell ref="B359:B361"/>
    <mergeCell ref="C359:C361"/>
    <mergeCell ref="D359:D361"/>
    <mergeCell ref="E359:K359"/>
    <mergeCell ref="D348:E348"/>
    <mergeCell ref="G348:I348"/>
    <mergeCell ref="A349:A350"/>
    <mergeCell ref="B349:B350"/>
    <mergeCell ref="C349:C350"/>
    <mergeCell ref="D349:E349"/>
    <mergeCell ref="G349:I349"/>
    <mergeCell ref="D350:E350"/>
    <mergeCell ref="G350:I350"/>
    <mergeCell ref="D333:E333"/>
    <mergeCell ref="D334:E334"/>
    <mergeCell ref="D335:E335"/>
    <mergeCell ref="D336:E336"/>
    <mergeCell ref="D337:E337"/>
    <mergeCell ref="A339:A340"/>
    <mergeCell ref="B339:I339"/>
    <mergeCell ref="G330:I330"/>
    <mergeCell ref="A331:A332"/>
    <mergeCell ref="B331:B332"/>
    <mergeCell ref="C331:C332"/>
    <mergeCell ref="D331:E331"/>
    <mergeCell ref="G331:I331"/>
    <mergeCell ref="D332:E332"/>
    <mergeCell ref="G332:I332"/>
    <mergeCell ref="D323:E323"/>
    <mergeCell ref="D324:E324"/>
    <mergeCell ref="D325:E325"/>
    <mergeCell ref="D326:E326"/>
    <mergeCell ref="D327:E327"/>
    <mergeCell ref="D330:E330"/>
    <mergeCell ref="G320:I320"/>
    <mergeCell ref="A321:A322"/>
    <mergeCell ref="B321:B322"/>
    <mergeCell ref="C321:C322"/>
    <mergeCell ref="D321:E321"/>
    <mergeCell ref="G321:I321"/>
    <mergeCell ref="D322:E322"/>
    <mergeCell ref="G322:I322"/>
    <mergeCell ref="D313:E313"/>
    <mergeCell ref="D314:E314"/>
    <mergeCell ref="D315:E315"/>
    <mergeCell ref="D316:E316"/>
    <mergeCell ref="D317:E317"/>
    <mergeCell ref="D320:E320"/>
    <mergeCell ref="D310:E310"/>
    <mergeCell ref="G310:I310"/>
    <mergeCell ref="A311:A312"/>
    <mergeCell ref="B311:B312"/>
    <mergeCell ref="C311:C312"/>
    <mergeCell ref="D311:E311"/>
    <mergeCell ref="G311:I311"/>
    <mergeCell ref="D312:E312"/>
    <mergeCell ref="G312:I312"/>
    <mergeCell ref="D294:E294"/>
    <mergeCell ref="D295:E295"/>
    <mergeCell ref="D296:E296"/>
    <mergeCell ref="D297:E297"/>
    <mergeCell ref="D298:E298"/>
    <mergeCell ref="A301:A302"/>
    <mergeCell ref="B301:I301"/>
    <mergeCell ref="D291:E291"/>
    <mergeCell ref="G291:I291"/>
    <mergeCell ref="A292:A293"/>
    <mergeCell ref="B292:B293"/>
    <mergeCell ref="C292:C293"/>
    <mergeCell ref="D292:E292"/>
    <mergeCell ref="G292:I292"/>
    <mergeCell ref="D293:E293"/>
    <mergeCell ref="G293:I293"/>
    <mergeCell ref="D275:E275"/>
    <mergeCell ref="D276:E276"/>
    <mergeCell ref="D277:E277"/>
    <mergeCell ref="D278:E278"/>
    <mergeCell ref="D279:E279"/>
    <mergeCell ref="A282:A283"/>
    <mergeCell ref="B282:I282"/>
    <mergeCell ref="G272:I272"/>
    <mergeCell ref="A273:A274"/>
    <mergeCell ref="B273:B274"/>
    <mergeCell ref="C273:C274"/>
    <mergeCell ref="D273:E273"/>
    <mergeCell ref="G273:I273"/>
    <mergeCell ref="D274:E274"/>
    <mergeCell ref="G274:I274"/>
    <mergeCell ref="D265:E265"/>
    <mergeCell ref="D266:E266"/>
    <mergeCell ref="D267:E267"/>
    <mergeCell ref="D268:E268"/>
    <mergeCell ref="D269:E269"/>
    <mergeCell ref="D272:E272"/>
    <mergeCell ref="G262:I262"/>
    <mergeCell ref="A263:A264"/>
    <mergeCell ref="B263:B264"/>
    <mergeCell ref="C263:C264"/>
    <mergeCell ref="D263:E263"/>
    <mergeCell ref="G263:I263"/>
    <mergeCell ref="D264:E264"/>
    <mergeCell ref="G264:I264"/>
    <mergeCell ref="D255:E255"/>
    <mergeCell ref="D256:E256"/>
    <mergeCell ref="D257:E257"/>
    <mergeCell ref="D258:E258"/>
    <mergeCell ref="D259:E259"/>
    <mergeCell ref="D262:E262"/>
    <mergeCell ref="D252:E252"/>
    <mergeCell ref="G252:I252"/>
    <mergeCell ref="A253:A254"/>
    <mergeCell ref="B253:B254"/>
    <mergeCell ref="C253:C254"/>
    <mergeCell ref="D253:E253"/>
    <mergeCell ref="G253:I253"/>
    <mergeCell ref="D254:E254"/>
    <mergeCell ref="G254:I254"/>
    <mergeCell ref="D235:E235"/>
    <mergeCell ref="D236:E236"/>
    <mergeCell ref="D237:E237"/>
    <mergeCell ref="D238:E238"/>
    <mergeCell ref="D239:E239"/>
    <mergeCell ref="A243:A244"/>
    <mergeCell ref="B243:I243"/>
    <mergeCell ref="G232:I232"/>
    <mergeCell ref="A233:A234"/>
    <mergeCell ref="B233:B234"/>
    <mergeCell ref="C233:C234"/>
    <mergeCell ref="D233:E233"/>
    <mergeCell ref="G233:I233"/>
    <mergeCell ref="D234:E234"/>
    <mergeCell ref="G234:I234"/>
    <mergeCell ref="D225:E225"/>
    <mergeCell ref="D226:E226"/>
    <mergeCell ref="D227:E227"/>
    <mergeCell ref="D228:E228"/>
    <mergeCell ref="D229:E229"/>
    <mergeCell ref="D232:E232"/>
    <mergeCell ref="G222:I222"/>
    <mergeCell ref="A223:A224"/>
    <mergeCell ref="B223:B224"/>
    <mergeCell ref="C223:C224"/>
    <mergeCell ref="D223:E223"/>
    <mergeCell ref="G223:I223"/>
    <mergeCell ref="D224:E224"/>
    <mergeCell ref="G224:I224"/>
    <mergeCell ref="D215:E215"/>
    <mergeCell ref="D216:E216"/>
    <mergeCell ref="D217:E217"/>
    <mergeCell ref="D218:E218"/>
    <mergeCell ref="D219:E219"/>
    <mergeCell ref="D222:E222"/>
    <mergeCell ref="D212:E212"/>
    <mergeCell ref="G212:I212"/>
    <mergeCell ref="A213:A214"/>
    <mergeCell ref="B213:B214"/>
    <mergeCell ref="C213:C214"/>
    <mergeCell ref="D213:E213"/>
    <mergeCell ref="G213:I213"/>
    <mergeCell ref="D214:E214"/>
    <mergeCell ref="G214:I214"/>
    <mergeCell ref="D197:E197"/>
    <mergeCell ref="D198:E198"/>
    <mergeCell ref="D199:E199"/>
    <mergeCell ref="D200:E200"/>
    <mergeCell ref="D201:E201"/>
    <mergeCell ref="A203:A204"/>
    <mergeCell ref="B203:I203"/>
    <mergeCell ref="G194:I194"/>
    <mergeCell ref="A195:A196"/>
    <mergeCell ref="B195:B196"/>
    <mergeCell ref="C195:C196"/>
    <mergeCell ref="D195:E195"/>
    <mergeCell ref="G195:I195"/>
    <mergeCell ref="D196:E196"/>
    <mergeCell ref="G196:I196"/>
    <mergeCell ref="D187:E187"/>
    <mergeCell ref="D188:E188"/>
    <mergeCell ref="D189:E189"/>
    <mergeCell ref="D190:E190"/>
    <mergeCell ref="D191:E191"/>
    <mergeCell ref="D194:E194"/>
    <mergeCell ref="D184:E184"/>
    <mergeCell ref="G184:I184"/>
    <mergeCell ref="A185:A186"/>
    <mergeCell ref="B185:B186"/>
    <mergeCell ref="C185:C186"/>
    <mergeCell ref="D185:E185"/>
    <mergeCell ref="G185:I185"/>
    <mergeCell ref="D186:E186"/>
    <mergeCell ref="G186:I186"/>
    <mergeCell ref="G176:I176"/>
    <mergeCell ref="D177:E177"/>
    <mergeCell ref="D178:E178"/>
    <mergeCell ref="D179:E179"/>
    <mergeCell ref="D180:E180"/>
    <mergeCell ref="D181:E181"/>
    <mergeCell ref="A165:A166"/>
    <mergeCell ref="B165:I165"/>
    <mergeCell ref="D174:E174"/>
    <mergeCell ref="G174:I174"/>
    <mergeCell ref="A175:A176"/>
    <mergeCell ref="B175:B176"/>
    <mergeCell ref="C175:C176"/>
    <mergeCell ref="D175:E175"/>
    <mergeCell ref="G175:I175"/>
    <mergeCell ref="D176:E176"/>
    <mergeCell ref="D158:E158"/>
    <mergeCell ref="D159:E159"/>
    <mergeCell ref="D160:E160"/>
    <mergeCell ref="D161:E161"/>
    <mergeCell ref="D162:E162"/>
    <mergeCell ref="A164:I164"/>
    <mergeCell ref="D155:E155"/>
    <mergeCell ref="G155:I155"/>
    <mergeCell ref="A156:A157"/>
    <mergeCell ref="B156:B157"/>
    <mergeCell ref="C156:C157"/>
    <mergeCell ref="D156:E156"/>
    <mergeCell ref="G156:I156"/>
    <mergeCell ref="D157:E157"/>
    <mergeCell ref="G157:I157"/>
    <mergeCell ref="D140:E140"/>
    <mergeCell ref="D141:E141"/>
    <mergeCell ref="D142:E142"/>
    <mergeCell ref="D143:E143"/>
    <mergeCell ref="D144:E144"/>
    <mergeCell ref="A146:A147"/>
    <mergeCell ref="B146:I146"/>
    <mergeCell ref="D137:E137"/>
    <mergeCell ref="G137:I137"/>
    <mergeCell ref="A138:A139"/>
    <mergeCell ref="B138:B139"/>
    <mergeCell ref="C138:C139"/>
    <mergeCell ref="D138:E138"/>
    <mergeCell ref="G138:I138"/>
    <mergeCell ref="D139:E139"/>
    <mergeCell ref="G139:I139"/>
    <mergeCell ref="D121:E121"/>
    <mergeCell ref="D122:E122"/>
    <mergeCell ref="D123:E123"/>
    <mergeCell ref="D124:E124"/>
    <mergeCell ref="D125:E125"/>
    <mergeCell ref="A128:A129"/>
    <mergeCell ref="B128:J128"/>
    <mergeCell ref="G118:I118"/>
    <mergeCell ref="A119:A120"/>
    <mergeCell ref="B119:B120"/>
    <mergeCell ref="C119:C120"/>
    <mergeCell ref="D119:E119"/>
    <mergeCell ref="G119:I119"/>
    <mergeCell ref="D120:E120"/>
    <mergeCell ref="G120:I120"/>
    <mergeCell ref="D111:E111"/>
    <mergeCell ref="D112:E112"/>
    <mergeCell ref="D113:E113"/>
    <mergeCell ref="D114:E114"/>
    <mergeCell ref="D115:E115"/>
    <mergeCell ref="D118:E118"/>
    <mergeCell ref="D108:E108"/>
    <mergeCell ref="G108:I108"/>
    <mergeCell ref="A109:A110"/>
    <mergeCell ref="B109:B110"/>
    <mergeCell ref="C109:C110"/>
    <mergeCell ref="D109:E109"/>
    <mergeCell ref="G109:I109"/>
    <mergeCell ref="D110:E110"/>
    <mergeCell ref="G110:I110"/>
    <mergeCell ref="D92:E92"/>
    <mergeCell ref="D93:E93"/>
    <mergeCell ref="D94:E94"/>
    <mergeCell ref="D95:E95"/>
    <mergeCell ref="D96:E96"/>
    <mergeCell ref="A99:A100"/>
    <mergeCell ref="B99:J99"/>
    <mergeCell ref="D89:E89"/>
    <mergeCell ref="G89:I89"/>
    <mergeCell ref="A90:A91"/>
    <mergeCell ref="B90:B91"/>
    <mergeCell ref="C90:C91"/>
    <mergeCell ref="D90:E90"/>
    <mergeCell ref="G90:I90"/>
    <mergeCell ref="D91:E91"/>
    <mergeCell ref="G91:I91"/>
    <mergeCell ref="D72:E72"/>
    <mergeCell ref="D73:E73"/>
    <mergeCell ref="D74:E74"/>
    <mergeCell ref="D75:E75"/>
    <mergeCell ref="D76:E76"/>
    <mergeCell ref="A80:A81"/>
    <mergeCell ref="B80:I80"/>
    <mergeCell ref="D69:E69"/>
    <mergeCell ref="G69:I69"/>
    <mergeCell ref="A70:A71"/>
    <mergeCell ref="B70:B71"/>
    <mergeCell ref="C70:C71"/>
    <mergeCell ref="D70:E70"/>
    <mergeCell ref="G70:I70"/>
    <mergeCell ref="D71:E71"/>
    <mergeCell ref="G71:I71"/>
    <mergeCell ref="D53:E53"/>
    <mergeCell ref="D54:E54"/>
    <mergeCell ref="D55:E55"/>
    <mergeCell ref="D56:E56"/>
    <mergeCell ref="D57:E57"/>
    <mergeCell ref="A60:A61"/>
    <mergeCell ref="B60:D60"/>
    <mergeCell ref="D50:E50"/>
    <mergeCell ref="G50:I50"/>
    <mergeCell ref="A51:A52"/>
    <mergeCell ref="B51:B52"/>
    <mergeCell ref="C51:C52"/>
    <mergeCell ref="D51:E51"/>
    <mergeCell ref="G51:I51"/>
    <mergeCell ref="D52:E52"/>
    <mergeCell ref="G52:I52"/>
    <mergeCell ref="D35:E35"/>
    <mergeCell ref="D36:E36"/>
    <mergeCell ref="D37:E37"/>
    <mergeCell ref="D38:E38"/>
    <mergeCell ref="D39:E39"/>
    <mergeCell ref="A41:A42"/>
    <mergeCell ref="B41:I41"/>
    <mergeCell ref="G32:I32"/>
    <mergeCell ref="A33:A34"/>
    <mergeCell ref="B33:B34"/>
    <mergeCell ref="C33:C34"/>
    <mergeCell ref="D33:E33"/>
    <mergeCell ref="G33:I33"/>
    <mergeCell ref="D34:E34"/>
    <mergeCell ref="G34:I34"/>
    <mergeCell ref="D25:E25"/>
    <mergeCell ref="D26:E26"/>
    <mergeCell ref="D27:E27"/>
    <mergeCell ref="D28:E28"/>
    <mergeCell ref="D29:E29"/>
    <mergeCell ref="D32:E32"/>
    <mergeCell ref="D19:E19"/>
    <mergeCell ref="D22:E22"/>
    <mergeCell ref="G22:I22"/>
    <mergeCell ref="A23:A24"/>
    <mergeCell ref="B23:B24"/>
    <mergeCell ref="C23:C24"/>
    <mergeCell ref="D23:E23"/>
    <mergeCell ref="G23:I23"/>
    <mergeCell ref="D24:E24"/>
    <mergeCell ref="G24:I24"/>
    <mergeCell ref="D14:E14"/>
    <mergeCell ref="G14:I14"/>
    <mergeCell ref="D15:E15"/>
    <mergeCell ref="D16:E16"/>
    <mergeCell ref="D17:E17"/>
    <mergeCell ref="D18:E18"/>
    <mergeCell ref="A1:J1"/>
    <mergeCell ref="A3:A4"/>
    <mergeCell ref="B3:I3"/>
    <mergeCell ref="D12:E12"/>
    <mergeCell ref="G12:I12"/>
    <mergeCell ref="A13:A14"/>
    <mergeCell ref="B13:B14"/>
    <mergeCell ref="C13:C14"/>
    <mergeCell ref="D13:E13"/>
    <mergeCell ref="G13:I13"/>
  </mergeCells>
  <pageMargins left="0.7" right="0.7" top="0.75" bottom="0.75" header="0.3" footer="0.3"/>
</worksheet>
</file>

<file path=xl/worksheets/sheet8.xml><?xml version="1.0" encoding="utf-8"?>
<worksheet xmlns="http://schemas.openxmlformats.org/spreadsheetml/2006/main" xmlns:r="http://schemas.openxmlformats.org/officeDocument/2006/relationships">
  <sheetPr>
    <tabColor rgb="FF00B0F0"/>
  </sheetPr>
  <dimension ref="A1:T21"/>
  <sheetViews>
    <sheetView view="pageBreakPreview" topLeftCell="A7" zoomScaleSheetLayoutView="100" workbookViewId="0">
      <selection activeCell="V9" sqref="V9"/>
    </sheetView>
  </sheetViews>
  <sheetFormatPr defaultRowHeight="16.5"/>
  <cols>
    <col min="1" max="1" width="4.21875" style="3" customWidth="1"/>
    <col min="2" max="2" width="23.33203125" style="3" customWidth="1"/>
    <col min="3" max="4" width="3.109375" style="3" customWidth="1"/>
    <col min="5" max="5" width="3.33203125" style="3" customWidth="1"/>
    <col min="6" max="19" width="3.109375" style="3" customWidth="1"/>
    <col min="20" max="20" width="3.5546875" style="3" customWidth="1"/>
    <col min="21" max="16384" width="8.88671875" style="3"/>
  </cols>
  <sheetData>
    <row r="1" spans="1:20" ht="17.25" thickBot="1">
      <c r="A1" s="315" t="s">
        <v>254</v>
      </c>
      <c r="B1" s="315"/>
      <c r="C1" s="315"/>
      <c r="D1" s="315"/>
      <c r="E1" s="315"/>
      <c r="F1" s="315"/>
      <c r="G1" s="315"/>
      <c r="H1" s="315"/>
      <c r="I1" s="315"/>
      <c r="J1" s="315"/>
      <c r="K1" s="315"/>
      <c r="L1" s="315"/>
      <c r="M1" s="315"/>
      <c r="N1" s="315"/>
      <c r="O1" s="315"/>
      <c r="P1" s="315"/>
      <c r="Q1" s="315"/>
      <c r="R1" s="315"/>
      <c r="S1" s="315"/>
      <c r="T1" s="315"/>
    </row>
    <row r="2" spans="1:20">
      <c r="A2" s="316" t="s">
        <v>0</v>
      </c>
      <c r="B2" s="319" t="s">
        <v>1</v>
      </c>
      <c r="C2" s="322" t="s">
        <v>153</v>
      </c>
      <c r="D2" s="323"/>
      <c r="E2" s="323"/>
      <c r="F2" s="323"/>
      <c r="G2" s="323"/>
      <c r="H2" s="323"/>
      <c r="I2" s="323"/>
      <c r="J2" s="323"/>
      <c r="K2" s="323"/>
      <c r="L2" s="323"/>
      <c r="M2" s="323"/>
      <c r="N2" s="324"/>
      <c r="O2" s="325" t="s">
        <v>154</v>
      </c>
      <c r="P2" s="326"/>
      <c r="Q2" s="326"/>
      <c r="R2" s="326"/>
      <c r="S2" s="326"/>
      <c r="T2" s="327"/>
    </row>
    <row r="3" spans="1:20">
      <c r="A3" s="317"/>
      <c r="B3" s="320"/>
      <c r="C3" s="328" t="s">
        <v>155</v>
      </c>
      <c r="D3" s="329"/>
      <c r="E3" s="330"/>
      <c r="F3" s="331" t="s">
        <v>156</v>
      </c>
      <c r="G3" s="331"/>
      <c r="H3" s="331"/>
      <c r="I3" s="332" t="s">
        <v>157</v>
      </c>
      <c r="J3" s="333"/>
      <c r="K3" s="334"/>
      <c r="L3" s="313" t="s">
        <v>158</v>
      </c>
      <c r="M3" s="313"/>
      <c r="N3" s="314"/>
      <c r="O3" s="312" t="s">
        <v>155</v>
      </c>
      <c r="P3" s="313"/>
      <c r="Q3" s="313"/>
      <c r="R3" s="313" t="s">
        <v>156</v>
      </c>
      <c r="S3" s="313"/>
      <c r="T3" s="314"/>
    </row>
    <row r="4" spans="1:20">
      <c r="A4" s="318"/>
      <c r="B4" s="321"/>
      <c r="C4" s="132">
        <v>1</v>
      </c>
      <c r="D4" s="133">
        <v>2</v>
      </c>
      <c r="E4" s="133">
        <v>3</v>
      </c>
      <c r="F4" s="133">
        <v>4</v>
      </c>
      <c r="G4" s="133">
        <v>5</v>
      </c>
      <c r="H4" s="134">
        <v>6</v>
      </c>
      <c r="I4" s="134">
        <v>7</v>
      </c>
      <c r="J4" s="134">
        <v>8</v>
      </c>
      <c r="K4" s="134">
        <v>9</v>
      </c>
      <c r="L4" s="134">
        <v>10</v>
      </c>
      <c r="M4" s="134">
        <v>11</v>
      </c>
      <c r="N4" s="135">
        <v>12</v>
      </c>
      <c r="O4" s="136">
        <v>1</v>
      </c>
      <c r="P4" s="137">
        <v>2</v>
      </c>
      <c r="Q4" s="137">
        <v>3</v>
      </c>
      <c r="R4" s="137">
        <v>4</v>
      </c>
      <c r="S4" s="137">
        <v>5</v>
      </c>
      <c r="T4" s="135">
        <v>6</v>
      </c>
    </row>
    <row r="5" spans="1:20" ht="23.25" customHeight="1">
      <c r="A5" s="138" t="s">
        <v>33</v>
      </c>
      <c r="B5" s="139" t="s">
        <v>159</v>
      </c>
      <c r="C5" s="140"/>
      <c r="D5" s="141"/>
      <c r="E5" s="142"/>
      <c r="F5" s="141"/>
      <c r="G5" s="141"/>
      <c r="H5" s="143"/>
      <c r="I5" s="144"/>
      <c r="J5" s="144"/>
      <c r="K5" s="143"/>
      <c r="L5" s="144"/>
      <c r="M5" s="144"/>
      <c r="N5" s="145"/>
      <c r="O5" s="146"/>
      <c r="P5" s="144"/>
      <c r="Q5" s="143"/>
      <c r="R5" s="144"/>
      <c r="S5" s="144"/>
      <c r="T5" s="145"/>
    </row>
    <row r="6" spans="1:20" ht="33">
      <c r="A6" s="147">
        <v>1</v>
      </c>
      <c r="B6" s="148" t="s">
        <v>160</v>
      </c>
      <c r="C6" s="149"/>
      <c r="D6" s="150"/>
      <c r="E6" s="151"/>
      <c r="F6" s="150"/>
      <c r="G6" s="150"/>
      <c r="H6" s="152"/>
      <c r="I6" s="153"/>
      <c r="J6" s="153"/>
      <c r="K6" s="152"/>
      <c r="L6" s="153"/>
      <c r="M6" s="153"/>
      <c r="N6" s="154"/>
      <c r="O6" s="155"/>
      <c r="P6" s="153"/>
      <c r="Q6" s="152"/>
      <c r="R6" s="153"/>
      <c r="S6" s="153"/>
      <c r="T6" s="154"/>
    </row>
    <row r="7" spans="1:20" ht="41.25" customHeight="1">
      <c r="A7" s="147">
        <v>2</v>
      </c>
      <c r="B7" s="148" t="s">
        <v>161</v>
      </c>
      <c r="C7" s="149"/>
      <c r="D7" s="150"/>
      <c r="E7" s="151"/>
      <c r="F7" s="150"/>
      <c r="G7" s="150"/>
      <c r="H7" s="152"/>
      <c r="I7" s="153"/>
      <c r="J7" s="153"/>
      <c r="K7" s="152"/>
      <c r="L7" s="153"/>
      <c r="M7" s="153"/>
      <c r="N7" s="154"/>
      <c r="O7" s="155"/>
      <c r="P7" s="153"/>
      <c r="Q7" s="152"/>
      <c r="R7" s="153"/>
      <c r="S7" s="153"/>
      <c r="T7" s="154"/>
    </row>
    <row r="8" spans="1:20" ht="43.5" customHeight="1">
      <c r="A8" s="147">
        <v>3</v>
      </c>
      <c r="B8" s="148" t="s">
        <v>162</v>
      </c>
      <c r="C8" s="149"/>
      <c r="D8" s="150"/>
      <c r="E8" s="151"/>
      <c r="F8" s="150"/>
      <c r="G8" s="150"/>
      <c r="H8" s="152"/>
      <c r="I8" s="153"/>
      <c r="J8" s="153"/>
      <c r="K8" s="152"/>
      <c r="L8" s="153"/>
      <c r="M8" s="153"/>
      <c r="N8" s="154"/>
      <c r="O8" s="155"/>
      <c r="P8" s="153"/>
      <c r="Q8" s="152"/>
      <c r="R8" s="153"/>
      <c r="S8" s="153"/>
      <c r="T8" s="154"/>
    </row>
    <row r="9" spans="1:20" ht="135" customHeight="1">
      <c r="A9" s="147">
        <v>4</v>
      </c>
      <c r="B9" s="148" t="s">
        <v>177</v>
      </c>
      <c r="C9" s="149"/>
      <c r="D9" s="150"/>
      <c r="E9" s="151"/>
      <c r="F9" s="150"/>
      <c r="G9" s="150"/>
      <c r="H9" s="152"/>
      <c r="I9" s="153"/>
      <c r="J9" s="153"/>
      <c r="K9" s="152"/>
      <c r="L9" s="153"/>
      <c r="M9" s="153"/>
      <c r="N9" s="154"/>
      <c r="O9" s="155"/>
      <c r="P9" s="153"/>
      <c r="Q9" s="152"/>
      <c r="R9" s="153"/>
      <c r="S9" s="153"/>
      <c r="T9" s="154"/>
    </row>
    <row r="10" spans="1:20" ht="19.5" customHeight="1">
      <c r="A10" s="156" t="s">
        <v>34</v>
      </c>
      <c r="B10" s="157" t="s">
        <v>163</v>
      </c>
      <c r="C10" s="149"/>
      <c r="D10" s="150"/>
      <c r="E10" s="151"/>
      <c r="F10" s="150"/>
      <c r="G10" s="150"/>
      <c r="H10" s="152"/>
      <c r="I10" s="153"/>
      <c r="J10" s="153"/>
      <c r="K10" s="152"/>
      <c r="L10" s="153"/>
      <c r="M10" s="153"/>
      <c r="N10" s="154"/>
      <c r="O10" s="155"/>
      <c r="P10" s="153"/>
      <c r="Q10" s="152"/>
      <c r="R10" s="153"/>
      <c r="S10" s="153"/>
      <c r="T10" s="154"/>
    </row>
    <row r="11" spans="1:20" ht="42" customHeight="1">
      <c r="A11" s="147">
        <v>1</v>
      </c>
      <c r="B11" s="148" t="s">
        <v>225</v>
      </c>
      <c r="C11" s="149"/>
      <c r="D11" s="150"/>
      <c r="E11" s="151"/>
      <c r="F11" s="150"/>
      <c r="G11" s="150"/>
      <c r="H11" s="152"/>
      <c r="I11" s="153"/>
      <c r="J11" s="153"/>
      <c r="K11" s="152"/>
      <c r="L11" s="153"/>
      <c r="M11" s="153"/>
      <c r="N11" s="154"/>
      <c r="O11" s="155"/>
      <c r="P11" s="153"/>
      <c r="Q11" s="152"/>
      <c r="R11" s="153"/>
      <c r="S11" s="153"/>
      <c r="T11" s="154"/>
    </row>
    <row r="12" spans="1:20" ht="21" customHeight="1">
      <c r="A12" s="147">
        <v>3</v>
      </c>
      <c r="B12" s="148" t="s">
        <v>164</v>
      </c>
      <c r="C12" s="149"/>
      <c r="D12" s="150"/>
      <c r="E12" s="151"/>
      <c r="F12" s="150"/>
      <c r="G12" s="150"/>
      <c r="H12" s="152"/>
      <c r="I12" s="153"/>
      <c r="J12" s="153"/>
      <c r="K12" s="152"/>
      <c r="L12" s="153"/>
      <c r="M12" s="153"/>
      <c r="N12" s="154"/>
      <c r="O12" s="155"/>
      <c r="P12" s="153"/>
      <c r="Q12" s="152"/>
      <c r="R12" s="153"/>
      <c r="S12" s="153"/>
      <c r="T12" s="154"/>
    </row>
    <row r="13" spans="1:20" ht="17.25" customHeight="1">
      <c r="A13" s="147">
        <v>4</v>
      </c>
      <c r="B13" s="148" t="s">
        <v>165</v>
      </c>
      <c r="C13" s="149"/>
      <c r="D13" s="150"/>
      <c r="E13" s="151"/>
      <c r="F13" s="150"/>
      <c r="G13" s="150"/>
      <c r="H13" s="152"/>
      <c r="I13" s="153"/>
      <c r="J13" s="153"/>
      <c r="K13" s="152"/>
      <c r="L13" s="153"/>
      <c r="M13" s="153"/>
      <c r="N13" s="154"/>
      <c r="O13" s="155"/>
      <c r="P13" s="153"/>
      <c r="Q13" s="152"/>
      <c r="R13" s="153"/>
      <c r="S13" s="153"/>
      <c r="T13" s="154"/>
    </row>
    <row r="14" spans="1:20" ht="37.5" customHeight="1">
      <c r="A14" s="147">
        <v>5</v>
      </c>
      <c r="B14" s="148" t="s">
        <v>166</v>
      </c>
      <c r="C14" s="149"/>
      <c r="D14" s="150"/>
      <c r="E14" s="151"/>
      <c r="F14" s="150"/>
      <c r="G14" s="150"/>
      <c r="H14" s="152"/>
      <c r="I14" s="153"/>
      <c r="J14" s="153"/>
      <c r="K14" s="152"/>
      <c r="L14" s="153"/>
      <c r="M14" s="153"/>
      <c r="N14" s="154"/>
      <c r="O14" s="155"/>
      <c r="P14" s="153"/>
      <c r="Q14" s="152"/>
      <c r="R14" s="153"/>
      <c r="S14" s="153"/>
      <c r="T14" s="154"/>
    </row>
    <row r="15" spans="1:20" ht="17.25" customHeight="1">
      <c r="A15" s="147">
        <v>6</v>
      </c>
      <c r="B15" s="148" t="s">
        <v>167</v>
      </c>
      <c r="C15" s="149"/>
      <c r="D15" s="150"/>
      <c r="E15" s="151"/>
      <c r="F15" s="150"/>
      <c r="G15" s="150"/>
      <c r="H15" s="152"/>
      <c r="I15" s="153"/>
      <c r="J15" s="153"/>
      <c r="K15" s="152"/>
      <c r="L15" s="153"/>
      <c r="M15" s="153"/>
      <c r="N15" s="154"/>
      <c r="O15" s="155"/>
      <c r="P15" s="153"/>
      <c r="Q15" s="152"/>
      <c r="R15" s="153"/>
      <c r="S15" s="153"/>
      <c r="T15" s="154"/>
    </row>
    <row r="16" spans="1:20">
      <c r="A16" s="158" t="s">
        <v>168</v>
      </c>
      <c r="B16" s="159" t="s">
        <v>174</v>
      </c>
      <c r="C16" s="149"/>
      <c r="D16" s="150"/>
      <c r="E16" s="151"/>
      <c r="F16" s="150"/>
      <c r="G16" s="150"/>
      <c r="H16" s="152"/>
      <c r="I16" s="153"/>
      <c r="J16" s="153"/>
      <c r="K16" s="152"/>
      <c r="L16" s="153"/>
      <c r="M16" s="153"/>
      <c r="N16" s="154"/>
      <c r="O16" s="155"/>
      <c r="P16" s="153"/>
      <c r="Q16" s="152"/>
      <c r="R16" s="153"/>
      <c r="S16" s="153"/>
      <c r="T16" s="154"/>
    </row>
    <row r="17" spans="1:20" ht="40.5" customHeight="1">
      <c r="A17" s="158" t="s">
        <v>169</v>
      </c>
      <c r="B17" s="160" t="s">
        <v>175</v>
      </c>
      <c r="C17" s="149"/>
      <c r="D17" s="150"/>
      <c r="E17" s="151"/>
      <c r="F17" s="150"/>
      <c r="G17" s="150"/>
      <c r="H17" s="152"/>
      <c r="I17" s="153"/>
      <c r="J17" s="153"/>
      <c r="K17" s="152"/>
      <c r="L17" s="153"/>
      <c r="M17" s="153"/>
      <c r="N17" s="154"/>
      <c r="O17" s="155"/>
      <c r="P17" s="153"/>
      <c r="Q17" s="152"/>
      <c r="R17" s="153"/>
      <c r="S17" s="153"/>
      <c r="T17" s="154"/>
    </row>
    <row r="18" spans="1:20">
      <c r="A18" s="158" t="s">
        <v>170</v>
      </c>
      <c r="B18" s="161" t="s">
        <v>176</v>
      </c>
      <c r="C18" s="149"/>
      <c r="D18" s="150"/>
      <c r="E18" s="151"/>
      <c r="F18" s="150"/>
      <c r="G18" s="150"/>
      <c r="H18" s="152"/>
      <c r="I18" s="153"/>
      <c r="J18" s="153"/>
      <c r="K18" s="152"/>
      <c r="L18" s="153"/>
      <c r="M18" s="153"/>
      <c r="N18" s="154"/>
      <c r="O18" s="155"/>
      <c r="P18" s="153"/>
      <c r="Q18" s="152"/>
      <c r="R18" s="153"/>
      <c r="S18" s="153"/>
      <c r="T18" s="154"/>
    </row>
    <row r="19" spans="1:20" ht="19.5" customHeight="1">
      <c r="A19" s="147">
        <v>6</v>
      </c>
      <c r="B19" s="148" t="s">
        <v>171</v>
      </c>
      <c r="C19" s="149"/>
      <c r="D19" s="150"/>
      <c r="E19" s="151"/>
      <c r="F19" s="150"/>
      <c r="G19" s="150"/>
      <c r="H19" s="152"/>
      <c r="I19" s="153"/>
      <c r="J19" s="153"/>
      <c r="K19" s="152"/>
      <c r="L19" s="153"/>
      <c r="M19" s="153"/>
      <c r="N19" s="154"/>
      <c r="O19" s="155"/>
      <c r="P19" s="153"/>
      <c r="Q19" s="152"/>
      <c r="R19" s="153"/>
      <c r="S19" s="153"/>
      <c r="T19" s="154"/>
    </row>
    <row r="20" spans="1:20" ht="33">
      <c r="A20" s="147">
        <v>10</v>
      </c>
      <c r="B20" s="148" t="s">
        <v>172</v>
      </c>
      <c r="C20" s="149"/>
      <c r="D20" s="150"/>
      <c r="E20" s="151"/>
      <c r="F20" s="150"/>
      <c r="G20" s="150"/>
      <c r="H20" s="152"/>
      <c r="I20" s="153"/>
      <c r="J20" s="153"/>
      <c r="K20" s="152"/>
      <c r="L20" s="153"/>
      <c r="M20" s="153"/>
      <c r="N20" s="154"/>
      <c r="O20" s="155"/>
      <c r="P20" s="153"/>
      <c r="Q20" s="152"/>
      <c r="R20" s="152"/>
      <c r="S20" s="152"/>
      <c r="T20" s="162"/>
    </row>
    <row r="21" spans="1:20" ht="17.25" thickBot="1">
      <c r="A21" s="163">
        <v>11</v>
      </c>
      <c r="B21" s="164" t="s">
        <v>173</v>
      </c>
      <c r="C21" s="165"/>
      <c r="D21" s="166"/>
      <c r="E21" s="167"/>
      <c r="F21" s="166"/>
      <c r="G21" s="166"/>
      <c r="H21" s="168"/>
      <c r="I21" s="169"/>
      <c r="J21" s="169"/>
      <c r="K21" s="168"/>
      <c r="L21" s="169"/>
      <c r="M21" s="169"/>
      <c r="N21" s="170"/>
      <c r="O21" s="171"/>
      <c r="P21" s="169"/>
      <c r="Q21" s="168"/>
      <c r="R21" s="169"/>
      <c r="S21" s="169"/>
      <c r="T21" s="170"/>
    </row>
  </sheetData>
  <mergeCells count="11">
    <mergeCell ref="O3:Q3"/>
    <mergeCell ref="R3:T3"/>
    <mergeCell ref="A1:T1"/>
    <mergeCell ref="A2:A4"/>
    <mergeCell ref="B2:B4"/>
    <mergeCell ref="C2:N2"/>
    <mergeCell ref="O2:T2"/>
    <mergeCell ref="C3:E3"/>
    <mergeCell ref="F3:H3"/>
    <mergeCell ref="I3:K3"/>
    <mergeCell ref="L3:N3"/>
  </mergeCells>
  <printOptions horizontalCentered="1"/>
  <pageMargins left="0.98425196850393704" right="0.51181102362204722" top="0.74803149606299213" bottom="0.74803149606299213" header="0.31496062992125984" footer="0.31496062992125984"/>
  <pageSetup paperSize="9" scale="85" orientation="portrait" horizontalDpi="300" verticalDpi="0" r:id="rId1"/>
  <drawing r:id="rId2"/>
</worksheet>
</file>

<file path=xl/worksheets/sheet9.xml><?xml version="1.0" encoding="utf-8"?>
<worksheet xmlns="http://schemas.openxmlformats.org/spreadsheetml/2006/main" xmlns:r="http://schemas.openxmlformats.org/officeDocument/2006/relationships">
  <sheetPr>
    <tabColor rgb="FF00B0F0"/>
  </sheetPr>
  <dimension ref="A1:J37"/>
  <sheetViews>
    <sheetView tabSelected="1" view="pageBreakPreview" zoomScaleSheetLayoutView="100" workbookViewId="0">
      <pane ySplit="5" topLeftCell="A30" activePane="bottomLeft" state="frozen"/>
      <selection pane="bottomLeft" activeCell="G45" sqref="G45"/>
    </sheetView>
  </sheetViews>
  <sheetFormatPr defaultRowHeight="16.5"/>
  <cols>
    <col min="1" max="1" width="4.5546875" style="3" customWidth="1"/>
    <col min="2" max="2" width="24.21875" style="3" customWidth="1"/>
    <col min="3" max="3" width="11.109375" style="3" customWidth="1"/>
    <col min="4" max="4" width="9.88671875" style="3" customWidth="1"/>
    <col min="5" max="5" width="11.21875" style="3" bestFit="1" customWidth="1"/>
    <col min="6" max="6" width="9.88671875" style="3" customWidth="1"/>
    <col min="7" max="7" width="10" style="3" customWidth="1"/>
    <col min="8" max="8" width="11.33203125" style="3" customWidth="1"/>
    <col min="9" max="9" width="10.88671875" style="3" customWidth="1"/>
    <col min="10" max="16384" width="8.88671875" style="3"/>
  </cols>
  <sheetData>
    <row r="1" spans="1:9">
      <c r="A1" s="266" t="s">
        <v>255</v>
      </c>
      <c r="B1" s="266"/>
      <c r="C1" s="266"/>
      <c r="D1" s="266"/>
      <c r="E1" s="266"/>
      <c r="F1" s="266"/>
      <c r="G1" s="266"/>
      <c r="H1" s="266"/>
      <c r="I1" s="266"/>
    </row>
    <row r="2" spans="1:9" ht="17.25" thickBot="1">
      <c r="A2" s="335" t="s">
        <v>37</v>
      </c>
      <c r="B2" s="335"/>
      <c r="C2" s="335"/>
      <c r="D2" s="335"/>
      <c r="E2" s="335"/>
      <c r="F2" s="335"/>
      <c r="G2" s="335"/>
      <c r="H2" s="335"/>
      <c r="I2" s="335"/>
    </row>
    <row r="3" spans="1:9">
      <c r="A3" s="336" t="s">
        <v>0</v>
      </c>
      <c r="B3" s="336" t="s">
        <v>1</v>
      </c>
      <c r="C3" s="338" t="s">
        <v>182</v>
      </c>
      <c r="D3" s="340" t="s">
        <v>153</v>
      </c>
      <c r="E3" s="341"/>
      <c r="F3" s="341"/>
      <c r="G3" s="342"/>
      <c r="H3" s="340" t="s">
        <v>154</v>
      </c>
      <c r="I3" s="342"/>
    </row>
    <row r="4" spans="1:9">
      <c r="A4" s="337"/>
      <c r="B4" s="337"/>
      <c r="C4" s="339"/>
      <c r="D4" s="229" t="s">
        <v>183</v>
      </c>
      <c r="E4" s="218" t="s">
        <v>184</v>
      </c>
      <c r="F4" s="218" t="s">
        <v>185</v>
      </c>
      <c r="G4" s="230" t="s">
        <v>186</v>
      </c>
      <c r="H4" s="229" t="s">
        <v>183</v>
      </c>
      <c r="I4" s="230" t="s">
        <v>184</v>
      </c>
    </row>
    <row r="5" spans="1:9">
      <c r="A5" s="222" t="s">
        <v>33</v>
      </c>
      <c r="B5" s="222" t="s">
        <v>187</v>
      </c>
      <c r="C5" s="225">
        <f>SUM(C6:C25)</f>
        <v>133784424.27291444</v>
      </c>
      <c r="D5" s="231">
        <f t="shared" ref="D5:I5" si="0">SUM(D6:D25)</f>
        <v>838512.24766151188</v>
      </c>
      <c r="E5" s="219">
        <f t="shared" si="0"/>
        <v>4634996.7077300604</v>
      </c>
      <c r="F5" s="219">
        <f t="shared" si="0"/>
        <v>3709003.8904568157</v>
      </c>
      <c r="G5" s="232">
        <f t="shared" si="0"/>
        <v>66517178.792833164</v>
      </c>
      <c r="H5" s="231">
        <f t="shared" si="0"/>
        <v>41125605.767629072</v>
      </c>
      <c r="I5" s="232">
        <f t="shared" si="0"/>
        <v>16959126.866603792</v>
      </c>
    </row>
    <row r="6" spans="1:9" ht="36.75" customHeight="1">
      <c r="A6" s="172" t="s">
        <v>188</v>
      </c>
      <c r="B6" s="173" t="s">
        <v>159</v>
      </c>
      <c r="C6" s="124"/>
      <c r="D6" s="174"/>
      <c r="E6" s="175"/>
      <c r="F6" s="175"/>
      <c r="G6" s="176"/>
      <c r="H6" s="174"/>
      <c r="I6" s="176"/>
    </row>
    <row r="7" spans="1:9" ht="32.25" customHeight="1">
      <c r="A7" s="177">
        <v>1</v>
      </c>
      <c r="B7" s="178" t="s">
        <v>160</v>
      </c>
      <c r="C7" s="226">
        <f>SUM(D7:I7)</f>
        <v>231000</v>
      </c>
      <c r="D7" s="179">
        <f>'2.3. CPQLDA, TV, K'!G7+'2.3. CPQLDA, TV, K'!G8+'2.3. CPQLDA, TV, K'!G11</f>
        <v>231000</v>
      </c>
      <c r="E7" s="175"/>
      <c r="F7" s="175"/>
      <c r="G7" s="176"/>
      <c r="H7" s="174"/>
      <c r="I7" s="176"/>
    </row>
    <row r="8" spans="1:9" ht="38.25" customHeight="1">
      <c r="A8" s="177">
        <v>2</v>
      </c>
      <c r="B8" s="180" t="s">
        <v>161</v>
      </c>
      <c r="C8" s="226">
        <f>SUM(D8:I8)</f>
        <v>505643.36070818827</v>
      </c>
      <c r="D8" s="179">
        <f>'2.3. CPQLDA, TV, K'!G9</f>
        <v>505643.36070818827</v>
      </c>
      <c r="E8" s="181"/>
      <c r="F8" s="175"/>
      <c r="G8" s="176"/>
      <c r="H8" s="174"/>
      <c r="I8" s="176"/>
    </row>
    <row r="9" spans="1:9" ht="37.5" customHeight="1">
      <c r="A9" s="177">
        <v>3</v>
      </c>
      <c r="B9" s="180" t="s">
        <v>162</v>
      </c>
      <c r="C9" s="226">
        <f>SUM(D9:I9)</f>
        <v>75848.132449108627</v>
      </c>
      <c r="D9" s="174"/>
      <c r="E9" s="181">
        <f>'2.3. CPQLDA, TV, K'!G10</f>
        <v>75848.132449108627</v>
      </c>
      <c r="F9" s="175"/>
      <c r="G9" s="176"/>
      <c r="H9" s="174"/>
      <c r="I9" s="176"/>
    </row>
    <row r="10" spans="1:9">
      <c r="A10" s="172" t="s">
        <v>189</v>
      </c>
      <c r="B10" s="182" t="s">
        <v>163</v>
      </c>
      <c r="C10" s="226"/>
      <c r="D10" s="174"/>
      <c r="E10" s="175"/>
      <c r="F10" s="175"/>
      <c r="G10" s="176"/>
      <c r="H10" s="174"/>
      <c r="I10" s="176"/>
    </row>
    <row r="11" spans="1:9">
      <c r="A11" s="177">
        <v>1</v>
      </c>
      <c r="B11" s="180" t="s">
        <v>164</v>
      </c>
      <c r="C11" s="226">
        <f>SUM(D11:I11)</f>
        <v>2425511.8954910859</v>
      </c>
      <c r="D11" s="174"/>
      <c r="E11" s="183">
        <f>'2.3. CPQLDA, TV, K'!G12</f>
        <v>2425511.8954910859</v>
      </c>
      <c r="F11" s="183"/>
      <c r="G11" s="176"/>
      <c r="H11" s="174"/>
      <c r="I11" s="176"/>
    </row>
    <row r="12" spans="1:9">
      <c r="A12" s="177">
        <v>2</v>
      </c>
      <c r="B12" s="180" t="s">
        <v>165</v>
      </c>
      <c r="C12" s="226">
        <f>SUM(D12:I12)</f>
        <v>257457.98755750415</v>
      </c>
      <c r="D12" s="174"/>
      <c r="E12" s="175"/>
      <c r="F12" s="199">
        <f>'2.3. CPQLDA, TV, K'!G13+'2.3. CPQLDA, TV, K'!G14</f>
        <v>257457.98755750415</v>
      </c>
      <c r="G12" s="184"/>
      <c r="H12" s="174"/>
      <c r="I12" s="176"/>
    </row>
    <row r="13" spans="1:9" ht="39.75" customHeight="1">
      <c r="A13" s="177">
        <v>3</v>
      </c>
      <c r="B13" s="180" t="s">
        <v>166</v>
      </c>
      <c r="C13" s="226">
        <f>SUM(D13:I13)</f>
        <v>125878.18831007465</v>
      </c>
      <c r="D13" s="174"/>
      <c r="E13" s="175"/>
      <c r="F13" s="181">
        <f>'2.3. CPQLDA, TV, K'!G15</f>
        <v>125878.18831007465</v>
      </c>
      <c r="G13" s="185"/>
      <c r="H13" s="174"/>
      <c r="I13" s="176"/>
    </row>
    <row r="14" spans="1:9" ht="44.25" customHeight="1">
      <c r="A14" s="177">
        <v>4</v>
      </c>
      <c r="B14" s="180" t="s">
        <v>167</v>
      </c>
      <c r="C14" s="226"/>
      <c r="D14" s="174"/>
      <c r="E14" s="175"/>
      <c r="F14" s="175"/>
      <c r="G14" s="176"/>
      <c r="H14" s="174"/>
      <c r="I14" s="176"/>
    </row>
    <row r="15" spans="1:9">
      <c r="A15" s="186" t="s">
        <v>227</v>
      </c>
      <c r="B15" s="187" t="s">
        <v>174</v>
      </c>
      <c r="C15" s="226">
        <f t="shared" ref="C15:C24" si="1">SUM(D15:I15)</f>
        <v>30000000</v>
      </c>
      <c r="D15" s="174"/>
      <c r="E15" s="175"/>
      <c r="F15" s="183"/>
      <c r="G15" s="184">
        <f>'2.1. CP XAY DUNG'!$H$5</f>
        <v>30000000</v>
      </c>
      <c r="H15" s="179"/>
      <c r="I15" s="176"/>
    </row>
    <row r="16" spans="1:9">
      <c r="A16" s="186" t="s">
        <v>228</v>
      </c>
      <c r="B16" s="188" t="s">
        <v>200</v>
      </c>
      <c r="C16" s="226">
        <f t="shared" si="1"/>
        <v>19703908.333333332</v>
      </c>
      <c r="D16" s="174"/>
      <c r="E16" s="175"/>
      <c r="F16" s="175"/>
      <c r="G16" s="184">
        <f>'2.1. CP XAY DUNG'!$H$13*2/6</f>
        <v>7881563.333333333</v>
      </c>
      <c r="H16" s="184">
        <f>'2.1. CP XAY DUNG'!$H$13*2/6</f>
        <v>7881563.333333333</v>
      </c>
      <c r="I16" s="184">
        <f>'2.1. CP XAY DUNG'!$H$13*1/6</f>
        <v>3940781.6666666665</v>
      </c>
    </row>
    <row r="17" spans="1:10">
      <c r="A17" s="186" t="s">
        <v>229</v>
      </c>
      <c r="B17" s="188" t="s">
        <v>201</v>
      </c>
      <c r="C17" s="226">
        <f t="shared" si="1"/>
        <v>51200000.000000007</v>
      </c>
      <c r="D17" s="174"/>
      <c r="E17" s="175"/>
      <c r="F17" s="175"/>
      <c r="G17" s="184">
        <f>'2.1. CP XAY DUNG'!$H$20*2/6</f>
        <v>17066666.666666668</v>
      </c>
      <c r="H17" s="184">
        <f>'2.1. CP XAY DUNG'!$H$20*3/6</f>
        <v>25600000</v>
      </c>
      <c r="I17" s="184">
        <f>'2.1. CP XAY DUNG'!$H$20*1/6</f>
        <v>8533333.333333334</v>
      </c>
    </row>
    <row r="18" spans="1:10" ht="18" customHeight="1">
      <c r="A18" s="177">
        <v>5</v>
      </c>
      <c r="B18" s="189" t="s">
        <v>171</v>
      </c>
      <c r="C18" s="226">
        <f t="shared" si="1"/>
        <v>1816460.8003536277</v>
      </c>
      <c r="D18" s="174"/>
      <c r="E18" s="175"/>
      <c r="F18" s="183"/>
      <c r="G18" s="184">
        <f>SUM(G15:G17)*'2.3. CPQLDA, TV, K'!$G$16/SUM($C$15:$C$17)</f>
        <v>989171.85164018883</v>
      </c>
      <c r="H18" s="184">
        <f>SUM(H15:H17)*'2.3. CPQLDA, TV, K'!$G$16/SUM($C$15:$C$17)</f>
        <v>602731.33453509933</v>
      </c>
      <c r="I18" s="184">
        <f>SUM(I15:I17)*'2.3. CPQLDA, TV, K'!$G$16/SUM($C$15:$C$17)</f>
        <v>224557.61417833937</v>
      </c>
    </row>
    <row r="19" spans="1:10" ht="33">
      <c r="A19" s="177">
        <v>6</v>
      </c>
      <c r="B19" s="190" t="s">
        <v>190</v>
      </c>
      <c r="C19" s="226">
        <f t="shared" si="1"/>
        <v>635761.28012376965</v>
      </c>
      <c r="D19" s="174"/>
      <c r="E19" s="175"/>
      <c r="F19" s="175"/>
      <c r="G19" s="176"/>
      <c r="H19" s="179"/>
      <c r="I19" s="185">
        <f>'2.3. CPQLDA, TV, K'!G17</f>
        <v>635761.28012376965</v>
      </c>
    </row>
    <row r="20" spans="1:10" ht="40.5" customHeight="1">
      <c r="A20" s="177">
        <v>7</v>
      </c>
      <c r="B20" s="189" t="s">
        <v>172</v>
      </c>
      <c r="C20" s="226">
        <f t="shared" si="1"/>
        <v>517774.80050000001</v>
      </c>
      <c r="D20" s="174"/>
      <c r="E20" s="175"/>
      <c r="F20" s="175"/>
      <c r="G20" s="176"/>
      <c r="H20" s="174"/>
      <c r="I20" s="185">
        <f>'2.3. CPQLDA, TV, K'!G21+'2.3. CPQLDA, TV, K'!G22</f>
        <v>517774.80050000001</v>
      </c>
    </row>
    <row r="21" spans="1:10">
      <c r="A21" s="177">
        <v>8</v>
      </c>
      <c r="B21" s="189" t="s">
        <v>173</v>
      </c>
      <c r="C21" s="226">
        <f t="shared" si="1"/>
        <v>1576595.5750671639</v>
      </c>
      <c r="D21" s="200">
        <f>SUM(D7:D20)*'2.3. CPQLDA, TV, K'!$G$5/SUM($C$7:$C$20)</f>
        <v>10804.093383709313</v>
      </c>
      <c r="E21" s="10">
        <f>SUM(E7:E20)*'2.3. CPQLDA, TV, K'!$G$5/SUM($C$7:$C$20)</f>
        <v>36686.582367568735</v>
      </c>
      <c r="F21" s="10">
        <f>SUM(F7:F20)*'2.3. CPQLDA, TV, K'!$G$5/SUM($C$7:$C$20)</f>
        <v>5622.2591043863067</v>
      </c>
      <c r="G21" s="233">
        <f>SUM(G7:G20)*'2.3. CPQLDA, TV, K'!$G$5/SUM($C$7:$C$20)</f>
        <v>820414.52551230066</v>
      </c>
      <c r="H21" s="200">
        <f>SUM(H7:H20)*'2.3. CPQLDA, TV, K'!$G$5/SUM($C$7:$C$20)</f>
        <v>499902.5609292002</v>
      </c>
      <c r="I21" s="233">
        <f>SUM(I7:I20)*'2.3. CPQLDA, TV, K'!$G$5/SUM($C$7:$C$20)</f>
        <v>203165.55376999883</v>
      </c>
    </row>
    <row r="22" spans="1:10" ht="165" customHeight="1">
      <c r="A22" s="177">
        <v>9</v>
      </c>
      <c r="B22" s="189" t="s">
        <v>191</v>
      </c>
      <c r="C22" s="226">
        <f t="shared" si="1"/>
        <v>556346.92309718905</v>
      </c>
      <c r="D22" s="200">
        <f>SUM(D6:D21)*('2.3. CPQLDA, TV, K'!$G$18+'2.3. CPQLDA, TV, K'!$G$23)/SUM($C$6:$C$21)</f>
        <v>3812.533921786066</v>
      </c>
      <c r="E22" s="10">
        <f>SUM(E6:E21)*('2.3. CPQLDA, TV, K'!$G$18+'2.3. CPQLDA, TV, K'!$G$23)/SUM($C$6:$C$21)</f>
        <v>12945.91177466609</v>
      </c>
      <c r="F22" s="10">
        <f>SUM(F6:F21)*('2.3. CPQLDA, TV, K'!$G$18+'2.3. CPQLDA, TV, K'!$G$23)/SUM($C$6:$C$21)</f>
        <v>1983.9752204348458</v>
      </c>
      <c r="G22" s="233">
        <f>SUM(G6:G21)*('2.3. CPQLDA, TV, K'!$G$18+'2.3. CPQLDA, TV, K'!$G$23)/SUM($C$6:$C$21)</f>
        <v>289506.77279020287</v>
      </c>
      <c r="H22" s="200">
        <f>SUM(H6:H21)*('2.3. CPQLDA, TV, K'!$G$18+'2.3. CPQLDA, TV, K'!$G$23)/SUM($C$6:$C$21)</f>
        <v>176404.94240859299</v>
      </c>
      <c r="I22" s="233">
        <f>SUM(I6:I21)*('2.3. CPQLDA, TV, K'!$G$18+'2.3. CPQLDA, TV, K'!$G$23)/SUM($C$6:$C$21)</f>
        <v>71692.786981506142</v>
      </c>
      <c r="J22" s="201"/>
    </row>
    <row r="23" spans="1:10">
      <c r="A23" s="177">
        <v>10</v>
      </c>
      <c r="B23" s="189" t="s">
        <v>192</v>
      </c>
      <c r="C23" s="226">
        <f t="shared" si="1"/>
        <v>524223.4499999999</v>
      </c>
      <c r="D23" s="179"/>
      <c r="E23" s="181"/>
      <c r="F23" s="181">
        <f>'2.3. CPQLDA, TV, K'!G20</f>
        <v>524223.4499999999</v>
      </c>
      <c r="G23" s="185"/>
      <c r="H23" s="179"/>
      <c r="I23" s="185"/>
    </row>
    <row r="24" spans="1:10">
      <c r="A24" s="177">
        <v>11</v>
      </c>
      <c r="B24" s="189" t="s">
        <v>42</v>
      </c>
      <c r="C24" s="226">
        <f t="shared" si="1"/>
        <v>3854125</v>
      </c>
      <c r="D24" s="179"/>
      <c r="E24" s="181">
        <f>'2.2. CP THUE DAT'!$H$4*40%</f>
        <v>1541650</v>
      </c>
      <c r="F24" s="181">
        <f>'2.2. CP THUE DAT'!$H$4*60%</f>
        <v>2312475</v>
      </c>
      <c r="G24" s="185"/>
      <c r="H24" s="179"/>
      <c r="I24" s="185"/>
    </row>
    <row r="25" spans="1:10">
      <c r="A25" s="177"/>
      <c r="B25" s="173" t="s">
        <v>181</v>
      </c>
      <c r="C25" s="226">
        <f>SUM(C26:C27)</f>
        <v>19777888.545923378</v>
      </c>
      <c r="D25" s="191">
        <f>SUM(D26:D27)</f>
        <v>87252.259647828163</v>
      </c>
      <c r="E25" s="192">
        <f t="shared" ref="E25:I25" si="2">SUM(E26:E27)</f>
        <v>542354.18564763106</v>
      </c>
      <c r="F25" s="192">
        <f t="shared" si="2"/>
        <v>481363.03026441589</v>
      </c>
      <c r="G25" s="193">
        <f t="shared" si="2"/>
        <v>9469855.6428904757</v>
      </c>
      <c r="H25" s="191">
        <f t="shared" si="2"/>
        <v>6365003.596422852</v>
      </c>
      <c r="I25" s="193">
        <f t="shared" si="2"/>
        <v>2832059.8310501762</v>
      </c>
    </row>
    <row r="26" spans="1:10" ht="41.25" customHeight="1">
      <c r="A26" s="177"/>
      <c r="B26" s="180" t="s">
        <v>193</v>
      </c>
      <c r="C26" s="344">
        <f>SUM(D26:I26)</f>
        <v>11400653.572699104</v>
      </c>
      <c r="D26" s="179">
        <f>10%*SUM(D6:D24)</f>
        <v>75125.998801368376</v>
      </c>
      <c r="E26" s="181">
        <f t="shared" ref="E26:I26" si="3">10%*SUM(E6:E24)</f>
        <v>409264.25220824295</v>
      </c>
      <c r="F26" s="181">
        <f t="shared" si="3"/>
        <v>322764.08601924003</v>
      </c>
      <c r="G26" s="185">
        <f t="shared" si="3"/>
        <v>5704732.3149942691</v>
      </c>
      <c r="H26" s="179">
        <f t="shared" si="3"/>
        <v>3476060.2171206223</v>
      </c>
      <c r="I26" s="233">
        <f t="shared" si="3"/>
        <v>1412706.7035553614</v>
      </c>
    </row>
    <row r="27" spans="1:10" ht="32.25" customHeight="1">
      <c r="A27" s="177"/>
      <c r="B27" s="180" t="s">
        <v>194</v>
      </c>
      <c r="C27" s="344">
        <f>SUM(D27:I27)</f>
        <v>8377234.9732242748</v>
      </c>
      <c r="D27" s="200">
        <f>'2.4.CPDP'!C20</f>
        <v>12126.260846459787</v>
      </c>
      <c r="E27" s="200">
        <f>'2.4.CPDP'!D20</f>
        <v>133089.93343938814</v>
      </c>
      <c r="F27" s="200">
        <f>'2.4.CPDP'!E20</f>
        <v>158598.9442451759</v>
      </c>
      <c r="G27" s="200">
        <f>'2.4.CPDP'!F20</f>
        <v>3765123.3278962066</v>
      </c>
      <c r="H27" s="200">
        <f>'2.4.CPDP'!G20</f>
        <v>2888943.3793022297</v>
      </c>
      <c r="I27" s="200">
        <f>'2.4.CPDP'!H20</f>
        <v>1419353.1274948148</v>
      </c>
    </row>
    <row r="28" spans="1:10">
      <c r="A28" s="223" t="s">
        <v>34</v>
      </c>
      <c r="B28" s="222" t="s">
        <v>195</v>
      </c>
      <c r="C28" s="227">
        <f t="shared" ref="C28:I28" si="4">SUM(C29:C30)</f>
        <v>133784424.27291441</v>
      </c>
      <c r="D28" s="234">
        <f t="shared" si="4"/>
        <v>838512.24766151188</v>
      </c>
      <c r="E28" s="221">
        <f t="shared" si="4"/>
        <v>4634996.7077300604</v>
      </c>
      <c r="F28" s="221">
        <f t="shared" si="4"/>
        <v>3709003.8904568153</v>
      </c>
      <c r="G28" s="235">
        <f t="shared" si="4"/>
        <v>66517178.792833164</v>
      </c>
      <c r="H28" s="234">
        <f t="shared" si="4"/>
        <v>41125605.767629072</v>
      </c>
      <c r="I28" s="235">
        <f t="shared" si="4"/>
        <v>16959126.866603792</v>
      </c>
    </row>
    <row r="29" spans="1:10" ht="17.25">
      <c r="A29" s="124"/>
      <c r="B29" s="194">
        <f>C29/$C$5</f>
        <v>0.3</v>
      </c>
      <c r="C29" s="228">
        <f>SUM(D29:I29)</f>
        <v>40135327.281874329</v>
      </c>
      <c r="D29" s="195">
        <f>30%*D5</f>
        <v>251553.67429845355</v>
      </c>
      <c r="E29" s="183">
        <f t="shared" ref="E29:I29" si="5">30%*E5</f>
        <v>1390499.0123190181</v>
      </c>
      <c r="F29" s="183">
        <f t="shared" si="5"/>
        <v>1112701.1671370447</v>
      </c>
      <c r="G29" s="184">
        <f t="shared" si="5"/>
        <v>19955153.637849949</v>
      </c>
      <c r="H29" s="195">
        <f t="shared" si="5"/>
        <v>12337681.730288722</v>
      </c>
      <c r="I29" s="184">
        <f t="shared" si="5"/>
        <v>5087738.0599811375</v>
      </c>
    </row>
    <row r="30" spans="1:10" ht="17.25">
      <c r="A30" s="124"/>
      <c r="B30" s="224">
        <f t="shared" ref="B30" si="6">C30/$C$5</f>
        <v>0.69999999999999984</v>
      </c>
      <c r="C30" s="228">
        <f>SUM(D30:I30)</f>
        <v>93649096.991040081</v>
      </c>
      <c r="D30" s="195">
        <f>IF((D5-D29)&gt;0,D5-D29,0)</f>
        <v>586958.57336305827</v>
      </c>
      <c r="E30" s="183">
        <f>IF((E5-E29)&gt;0,E5-E29,0)</f>
        <v>3244497.6954110423</v>
      </c>
      <c r="F30" s="183">
        <f>IF((F5-F29)&gt;0,F5-F29,0)</f>
        <v>2596302.7233197708</v>
      </c>
      <c r="G30" s="184">
        <f>IF((G5-G29)&gt;0,G5-G29,0)</f>
        <v>46562025.154983215</v>
      </c>
      <c r="H30" s="195">
        <f>IF((H5-H29)&gt;0,H5-H29,0)</f>
        <v>28787924.03734035</v>
      </c>
      <c r="I30" s="184">
        <f>IF((I5-I29)&gt;0,I5-I29,0)</f>
        <v>11871388.806622654</v>
      </c>
    </row>
    <row r="31" spans="1:10">
      <c r="A31" s="223" t="s">
        <v>35</v>
      </c>
      <c r="B31" s="223" t="s">
        <v>196</v>
      </c>
      <c r="C31" s="223"/>
      <c r="D31" s="236"/>
      <c r="E31" s="220"/>
      <c r="F31" s="220"/>
      <c r="G31" s="237"/>
      <c r="H31" s="236"/>
      <c r="I31" s="237"/>
    </row>
    <row r="32" spans="1:10">
      <c r="A32" s="124"/>
      <c r="B32" s="124" t="s">
        <v>197</v>
      </c>
      <c r="C32" s="124"/>
      <c r="D32" s="195">
        <f>D30</f>
        <v>586958.57336305827</v>
      </c>
      <c r="E32" s="183">
        <f>D32+E30</f>
        <v>3831456.2687741006</v>
      </c>
      <c r="F32" s="183">
        <f t="shared" ref="F32:I32" si="7">E32+F30</f>
        <v>6427758.9920938713</v>
      </c>
      <c r="G32" s="184">
        <f t="shared" si="7"/>
        <v>52989784.147077084</v>
      </c>
      <c r="H32" s="195">
        <f t="shared" si="7"/>
        <v>81777708.184417427</v>
      </c>
      <c r="I32" s="184">
        <f t="shared" si="7"/>
        <v>93649096.991040081</v>
      </c>
    </row>
    <row r="33" spans="1:9">
      <c r="A33" s="124"/>
      <c r="B33" s="124" t="s">
        <v>198</v>
      </c>
      <c r="C33" s="124"/>
      <c r="D33" s="195">
        <f t="shared" ref="D33:I33" si="8">D32*$C$37</f>
        <v>16867.630860314621</v>
      </c>
      <c r="E33" s="183">
        <f t="shared" si="8"/>
        <v>110105.8795833366</v>
      </c>
      <c r="F33" s="183">
        <f t="shared" si="8"/>
        <v>184716.72594625253</v>
      </c>
      <c r="G33" s="184">
        <f t="shared" si="8"/>
        <v>1522785.6937831761</v>
      </c>
      <c r="H33" s="195">
        <f t="shared" si="8"/>
        <v>2350074.1906772852</v>
      </c>
      <c r="I33" s="184">
        <f t="shared" si="8"/>
        <v>2691226.383143045</v>
      </c>
    </row>
    <row r="34" spans="1:9" ht="17.25" thickBot="1">
      <c r="A34" s="128"/>
      <c r="B34" s="128" t="s">
        <v>199</v>
      </c>
      <c r="C34" s="128"/>
      <c r="D34" s="196">
        <f>D33</f>
        <v>16867.630860314621</v>
      </c>
      <c r="E34" s="197">
        <f>D34+E33</f>
        <v>126973.51044365122</v>
      </c>
      <c r="F34" s="197">
        <f t="shared" ref="F34:I34" si="9">E34+F33</f>
        <v>311690.23638990376</v>
      </c>
      <c r="G34" s="198">
        <f t="shared" si="9"/>
        <v>1834475.9301730799</v>
      </c>
      <c r="H34" s="196">
        <f t="shared" si="9"/>
        <v>4184550.1208503651</v>
      </c>
      <c r="I34" s="198">
        <f t="shared" si="9"/>
        <v>6875776.5039934106</v>
      </c>
    </row>
    <row r="36" spans="1:9">
      <c r="B36" s="202" t="s">
        <v>202</v>
      </c>
      <c r="C36" s="203">
        <v>0.12</v>
      </c>
    </row>
    <row r="37" spans="1:9">
      <c r="B37" s="202" t="s">
        <v>203</v>
      </c>
      <c r="C37" s="204">
        <f>(1+C36)^(1/4)-1</f>
        <v>2.8737344722080227E-2</v>
      </c>
    </row>
  </sheetData>
  <mergeCells count="7">
    <mergeCell ref="A1:I1"/>
    <mergeCell ref="A2:I2"/>
    <mergeCell ref="A3:A4"/>
    <mergeCell ref="B3:B4"/>
    <mergeCell ref="C3:C4"/>
    <mergeCell ref="D3:G3"/>
    <mergeCell ref="H3:I3"/>
  </mergeCells>
  <printOptions horizontalCentered="1"/>
  <pageMargins left="0.43307086614173229" right="0.43307086614173229" top="0.74803149606299213" bottom="0.74803149606299213" header="0.31496062992125984" footer="0.31496062992125984"/>
  <pageSetup paperSize="9" scale="95" orientation="landscape" horizontalDpi="30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8</vt:i4>
      </vt:variant>
    </vt:vector>
  </HeadingPairs>
  <TitlesOfParts>
    <vt:vector size="17" baseType="lpstr">
      <vt:lpstr>1. TH CAC CHI TIEU VON DAU TU</vt:lpstr>
      <vt:lpstr>2. TMDT</vt:lpstr>
      <vt:lpstr>2.1. CP XAY DUNG</vt:lpstr>
      <vt:lpstr>2.2. CP THUE DAT</vt:lpstr>
      <vt:lpstr>2.3. CPQLDA, TV, K</vt:lpstr>
      <vt:lpstr>2.4.CPDP</vt:lpstr>
      <vt:lpstr>NOI SUY 957</vt:lpstr>
      <vt:lpstr>3. TIEN DO THUC HIEN DU AN</vt:lpstr>
      <vt:lpstr>4. KH HUY DONG VON (VAT)</vt:lpstr>
      <vt:lpstr>'1. TH CAC CHI TIEU VON DAU TU'!Print_Area</vt:lpstr>
      <vt:lpstr>'2. TMDT'!Print_Area</vt:lpstr>
      <vt:lpstr>'2.1. CP XAY DUNG'!Print_Area</vt:lpstr>
      <vt:lpstr>'2.2. CP THUE DAT'!Print_Area</vt:lpstr>
      <vt:lpstr>'2.3. CPQLDA, TV, K'!Print_Area</vt:lpstr>
      <vt:lpstr>'2.4.CPDP'!Print_Area</vt:lpstr>
      <vt:lpstr>'3. TIEN DO THUC HIEN DU AN'!Print_Area</vt:lpstr>
      <vt:lpstr>'4. KH HUY DONG VON (VAT)'!Print_Area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2014-12-19T02:36:31Z</cp:lastPrinted>
  <dcterms:created xsi:type="dcterms:W3CDTF">2014-12-17T08:42:49Z</dcterms:created>
  <dcterms:modified xsi:type="dcterms:W3CDTF">2014-12-19T10:04:02Z</dcterms:modified>
</cp:coreProperties>
</file>