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9615" windowHeight="12075" tabRatio="819"/>
  </bookViews>
  <sheets>
    <sheet name="Tron coc 46 D1.5 K1+753.97" sheetId="19" r:id="rId1"/>
  </sheets>
  <definedNames>
    <definedName name="_xlnm._FilterDatabase" localSheetId="0" hidden="1">'Tron coc 46 D1.5 K1+753.97'!$A$9:$A$156</definedName>
    <definedName name="bangtinh" localSheetId="0">'Tron coc 46 D1.5 K1+753.97'!$B$5:$H$126</definedName>
    <definedName name="bangtinh">#REF!</definedName>
    <definedName name="m" localSheetId="0">'Tron coc 46 D1.5 K1+753.97'!$E$7</definedName>
    <definedName name="n" localSheetId="0">'Tron coc 46 D1.5 K1+753.97'!$D$7</definedName>
  </definedNames>
  <calcPr calcId="124519"/>
</workbook>
</file>

<file path=xl/calcChain.xml><?xml version="1.0" encoding="utf-8"?>
<calcChain xmlns="http://schemas.openxmlformats.org/spreadsheetml/2006/main">
  <c r="B125" i="19"/>
  <c r="E153"/>
  <c r="L153"/>
  <c r="L152"/>
  <c r="I152"/>
  <c r="M152" s="1"/>
  <c r="E151"/>
  <c r="L151"/>
  <c r="E142"/>
  <c r="L142"/>
  <c r="E141"/>
  <c r="L141"/>
  <c r="E139"/>
  <c r="L139"/>
  <c r="E138"/>
  <c r="H131"/>
  <c r="H132" s="1"/>
  <c r="B131"/>
  <c r="H125"/>
  <c r="F126" s="1"/>
  <c r="H119"/>
  <c r="E119"/>
  <c r="H118"/>
  <c r="E118"/>
  <c r="H115"/>
  <c r="E115"/>
  <c r="H114"/>
  <c r="I151" s="1"/>
  <c r="M151" s="1"/>
  <c r="E114"/>
  <c r="D106"/>
  <c r="E105"/>
  <c r="D105"/>
  <c r="D101"/>
  <c r="E100"/>
  <c r="D100"/>
  <c r="H96"/>
  <c r="E96"/>
  <c r="D93"/>
  <c r="H95" s="1"/>
  <c r="H90"/>
  <c r="E90"/>
  <c r="D87"/>
  <c r="D89" s="1"/>
  <c r="H82"/>
  <c r="G82"/>
  <c r="H80"/>
  <c r="M141" s="1"/>
  <c r="F80"/>
  <c r="H79"/>
  <c r="H73"/>
  <c r="D73"/>
  <c r="H72"/>
  <c r="M139" s="1"/>
  <c r="D72"/>
  <c r="F71"/>
  <c r="H74" s="1"/>
  <c r="E65"/>
  <c r="D65"/>
  <c r="E60"/>
  <c r="D60"/>
  <c r="F50"/>
  <c r="E50"/>
  <c r="D49"/>
  <c r="D39"/>
  <c r="C26"/>
  <c r="D25"/>
  <c r="C101" s="1"/>
  <c r="C12"/>
  <c r="F11"/>
  <c r="D11"/>
  <c r="H11" s="1"/>
  <c r="D6"/>
  <c r="E38" s="1"/>
  <c r="L138"/>
  <c r="H171"/>
  <c r="I11" l="1"/>
  <c r="E63"/>
  <c r="E68"/>
  <c r="E94"/>
  <c r="D95"/>
  <c r="F132"/>
  <c r="F60"/>
  <c r="E48"/>
  <c r="E39"/>
  <c r="E49" s="1"/>
  <c r="C106"/>
  <c r="F106" s="1"/>
  <c r="F101"/>
  <c r="M138"/>
  <c r="H108"/>
  <c r="F25"/>
  <c r="E61"/>
  <c r="H68"/>
  <c r="D74"/>
  <c r="H88"/>
  <c r="H89"/>
  <c r="E150"/>
  <c r="F100"/>
  <c r="C102"/>
  <c r="F105"/>
  <c r="H110" s="1"/>
  <c r="C108"/>
  <c r="C110"/>
  <c r="E143"/>
  <c r="M142"/>
  <c r="E154"/>
  <c r="I153"/>
  <c r="M153" s="1"/>
  <c r="E7"/>
  <c r="D7"/>
  <c r="G25"/>
  <c r="D26"/>
  <c r="F26" s="1"/>
  <c r="H61"/>
  <c r="H63"/>
  <c r="D88"/>
  <c r="H94"/>
  <c r="H102"/>
  <c r="I150" s="1"/>
  <c r="H126"/>
  <c r="I154" s="1"/>
  <c r="L150"/>
  <c r="L143"/>
  <c r="L154"/>
  <c r="H83" l="1"/>
  <c r="C29"/>
  <c r="E12"/>
  <c r="G83"/>
  <c r="D79"/>
  <c r="E29"/>
  <c r="H103"/>
  <c r="C103"/>
  <c r="H62"/>
  <c r="E62"/>
  <c r="M154"/>
  <c r="G26"/>
  <c r="M143"/>
  <c r="F65"/>
  <c r="M150"/>
  <c r="E67" l="1"/>
  <c r="H67"/>
  <c r="E66"/>
  <c r="H66"/>
  <c r="I149" s="1"/>
  <c r="E149"/>
  <c r="E140"/>
  <c r="H81"/>
  <c r="F81"/>
  <c r="E27"/>
  <c r="D12"/>
  <c r="I12" s="1"/>
  <c r="L149"/>
  <c r="L140"/>
  <c r="E144" l="1"/>
  <c r="H19"/>
  <c r="B21"/>
  <c r="H21"/>
  <c r="G19"/>
  <c r="M140"/>
  <c r="M149"/>
  <c r="H12"/>
  <c r="F12"/>
  <c r="C39"/>
  <c r="C49" s="1"/>
  <c r="C27"/>
  <c r="D27"/>
  <c r="L144"/>
  <c r="C38" l="1"/>
  <c r="F27"/>
  <c r="G27"/>
  <c r="C30"/>
  <c r="E30"/>
  <c r="B34"/>
  <c r="D38"/>
  <c r="H34"/>
  <c r="E146"/>
  <c r="H17"/>
  <c r="B17"/>
  <c r="M144"/>
  <c r="L146"/>
  <c r="B46" l="1"/>
  <c r="G44"/>
  <c r="D48"/>
  <c r="E148" s="1"/>
  <c r="H46"/>
  <c r="H44"/>
  <c r="H32"/>
  <c r="B32"/>
  <c r="E147"/>
  <c r="B42"/>
  <c r="H42"/>
  <c r="M146"/>
  <c r="L147"/>
  <c r="E145" l="1"/>
  <c r="B56"/>
  <c r="G54"/>
  <c r="H56"/>
  <c r="M46" s="1"/>
  <c r="H54"/>
  <c r="H52"/>
  <c r="M147" s="1"/>
  <c r="B52"/>
  <c r="L148"/>
  <c r="M148" l="1"/>
  <c r="H133"/>
  <c r="L145"/>
  <c r="M145"/>
</calcChain>
</file>

<file path=xl/comments1.xml><?xml version="1.0" encoding="utf-8"?>
<comments xmlns="http://schemas.openxmlformats.org/spreadsheetml/2006/main">
  <authors>
    <author>Huy</author>
  </authors>
  <commentList>
    <comment ref="I19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Nếu có tính điền số 1</t>
        </r>
      </text>
    </comment>
    <comment ref="D38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Lưu ý tùy theo thiết kế</t>
        </r>
      </text>
    </comment>
    <comment ref="H73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Nếu thiết kế có vát với tỷ lệ 1:0.75 ở 2 đầu đoạn giáp với móng tường đầu thì phải tính thêm vào</t>
        </r>
        <r>
          <rPr>
            <sz val="8"/>
            <color indexed="81"/>
            <rFont val="Tahoma"/>
            <family val="2"/>
          </rPr>
          <t xml:space="preserve"> 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tùy theo đường tự nhiên</t>
        </r>
        <r>
          <rPr>
            <sz val="8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<sst xmlns="http://schemas.openxmlformats.org/spreadsheetml/2006/main" count="318" uniqueCount="154">
  <si>
    <t>LÝ TRÌNH:</t>
  </si>
  <si>
    <t>1.KĐ cống:</t>
  </si>
  <si>
    <t>m</t>
  </si>
  <si>
    <t>I.Tường cánh:</t>
  </si>
  <si>
    <t>Cạnh trên</t>
  </si>
  <si>
    <t>Cạnh dưới</t>
  </si>
  <si>
    <t>C.cao</t>
  </si>
  <si>
    <t>DT</t>
  </si>
  <si>
    <t>C.xiên</t>
  </si>
  <si>
    <r>
      <t>m</t>
    </r>
    <r>
      <rPr>
        <vertAlign val="superscript"/>
        <sz val="12"/>
        <rFont val="Times New Roman"/>
        <family val="1"/>
      </rPr>
      <t>3</t>
    </r>
  </si>
  <si>
    <r>
      <t>m</t>
    </r>
    <r>
      <rPr>
        <vertAlign val="superscript"/>
        <sz val="12"/>
        <rFont val="Times New Roman"/>
        <family val="1"/>
      </rPr>
      <t>2</t>
    </r>
  </si>
  <si>
    <t>Chiều dài</t>
  </si>
  <si>
    <t>Chiều rộng</t>
  </si>
  <si>
    <t>Chân khay</t>
  </si>
  <si>
    <t>Bề dày</t>
  </si>
  <si>
    <t>Móng HCN</t>
  </si>
  <si>
    <t>Hình thang</t>
  </si>
  <si>
    <t>DT BT</t>
  </si>
  <si>
    <t>Rộng móng</t>
  </si>
  <si>
    <t>KL BT</t>
  </si>
  <si>
    <t>a.KL BT</t>
  </si>
  <si>
    <t>b.Sỏi đệm</t>
  </si>
  <si>
    <t>c.Ván khuôn gỗ</t>
  </si>
  <si>
    <t>Cốt thép ống cống</t>
  </si>
  <si>
    <t>VK thép</t>
  </si>
  <si>
    <t xml:space="preserve">SL ống </t>
  </si>
  <si>
    <t>kg</t>
  </si>
  <si>
    <t>Đơn vị</t>
  </si>
  <si>
    <t>Khối lượng</t>
  </si>
  <si>
    <t>ống</t>
  </si>
  <si>
    <t xml:space="preserve">Mặt cắt </t>
  </si>
  <si>
    <t>A-A</t>
  </si>
  <si>
    <t>B-B</t>
  </si>
  <si>
    <t>Chiều dài đào đắp:</t>
  </si>
  <si>
    <t>Khối lượng đào</t>
  </si>
  <si>
    <t>Khối lượng đắp</t>
  </si>
  <si>
    <t>Hạng mục vật liệu</t>
  </si>
  <si>
    <t>Cẩu lắp ống cống</t>
  </si>
  <si>
    <t>Đào móng đất cấp 3</t>
  </si>
  <si>
    <t>T.Lưu</t>
  </si>
  <si>
    <t>Dày</t>
  </si>
  <si>
    <t xml:space="preserve">Ván khuôn gỗ </t>
  </si>
  <si>
    <t>BT ống cống M200,đúc sẵn</t>
  </si>
  <si>
    <t>II.Tường đầu</t>
  </si>
  <si>
    <t>Dài(m)</t>
  </si>
  <si>
    <t>Rộng(m)</t>
  </si>
  <si>
    <t>KC(m)</t>
  </si>
  <si>
    <r>
      <t>DT(m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)</t>
    </r>
  </si>
  <si>
    <t>Mặt trên</t>
  </si>
  <si>
    <t>Mặt giữa</t>
  </si>
  <si>
    <t>Mặt dưới</t>
  </si>
  <si>
    <t>Diện tích</t>
  </si>
  <si>
    <t>III.Móng tường đầu+ móng tường cánh:</t>
  </si>
  <si>
    <t>H.Lưu</t>
  </si>
  <si>
    <t xml:space="preserve">Thượng lưu 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</si>
  <si>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.KL đá hộc</t>
    </r>
  </si>
  <si>
    <t xml:space="preserve">Hạ lưu </t>
  </si>
  <si>
    <r>
      <t>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.KL đá hộc</t>
    </r>
  </si>
  <si>
    <t>SL</t>
  </si>
  <si>
    <t>Trên</t>
  </si>
  <si>
    <t>Taluy</t>
  </si>
  <si>
    <t>Bảng tổng hợp khối lượng</t>
  </si>
  <si>
    <t>Ván khuôn thép đúc BT ống cống</t>
  </si>
  <si>
    <t>Cốt thép ống cống dk&lt;=10</t>
  </si>
  <si>
    <t>2.Bề dày ống cống d=</t>
  </si>
  <si>
    <t>3.ĐK ngoài D=</t>
  </si>
  <si>
    <t>Chiều dài tường cánh</t>
  </si>
  <si>
    <t>Thượng lưu Lt=</t>
  </si>
  <si>
    <t>Hạ lưu Lh=</t>
  </si>
  <si>
    <t>b. Quét nhựa đường 2 lớp</t>
  </si>
  <si>
    <t>c.Ván khuôn gỗ:</t>
  </si>
  <si>
    <t>b.Ván khuôn gỗ:</t>
  </si>
  <si>
    <t>b1. Ván khuôn gỗ:</t>
  </si>
  <si>
    <t>a.KL BT:</t>
  </si>
  <si>
    <t>Cao móng</t>
  </si>
  <si>
    <r>
      <t>Φ</t>
    </r>
    <r>
      <rPr>
        <sz val="12"/>
        <rFont val="Arial"/>
        <family val="2"/>
      </rPr>
      <t>≤10</t>
    </r>
  </si>
  <si>
    <t>Φ≥18</t>
  </si>
  <si>
    <t>Thượng lưu</t>
  </si>
  <si>
    <t>Dưới</t>
  </si>
  <si>
    <t>CTB</t>
  </si>
  <si>
    <t>Phần trừ</t>
  </si>
  <si>
    <r>
      <t>b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.Sỏi đệm</t>
    </r>
  </si>
  <si>
    <t>Hạ lưu</t>
  </si>
  <si>
    <r>
      <t>b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.Sỏi đệm</t>
    </r>
  </si>
  <si>
    <t>Quét nhựa đường hai lớp</t>
  </si>
  <si>
    <t>Đắp đất cấp3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</si>
  <si>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.Khối lượng BT thượng lưu:</t>
    </r>
  </si>
  <si>
    <t>VI.Thân cống</t>
  </si>
  <si>
    <t>VIII.Diện tích đào đắp</t>
  </si>
  <si>
    <t>Có móng T.lưu: "1"</t>
  </si>
  <si>
    <t>Kô có móng T.lưu: "0"</t>
  </si>
  <si>
    <t>Có móng H.lưu: "1"</t>
  </si>
  <si>
    <t>Kô có móng H.lưu: "0"</t>
  </si>
  <si>
    <t>L</t>
  </si>
  <si>
    <t>C-C</t>
  </si>
  <si>
    <t>CÔNG TRÌNH:</t>
  </si>
  <si>
    <r>
      <t>b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 Ván khuôn:</t>
    </r>
  </si>
  <si>
    <r>
      <t>c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.Đệm sỏi sạn:</t>
    </r>
  </si>
  <si>
    <t>Rộng trong (m)</t>
  </si>
  <si>
    <t>Rộng ngoài (m)</t>
  </si>
  <si>
    <t>IV.Sân cống:</t>
  </si>
  <si>
    <t>V.Móng cống:</t>
  </si>
  <si>
    <t>VII.Sân gia cố:</t>
  </si>
  <si>
    <t>Sân</t>
  </si>
  <si>
    <t>Rộng (m)</t>
  </si>
  <si>
    <t>c1.Đệm sỏi sạn dày:</t>
  </si>
  <si>
    <t>c1.Đệm sỏi sạn:</t>
  </si>
  <si>
    <t>a. KL cốt thép Dk&lt;=10</t>
  </si>
  <si>
    <t>b.VK thép</t>
  </si>
  <si>
    <t>c. BT ống cống</t>
  </si>
  <si>
    <t>VIII.Taluy gia cố:</t>
  </si>
  <si>
    <r>
      <t>b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 Ván khuôn:</t>
    </r>
  </si>
  <si>
    <r>
      <t>c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.Đệm sỏi sạn:</t>
    </r>
  </si>
  <si>
    <t>Phần trừ do thân cống chiếm chỗ</t>
  </si>
  <si>
    <t>d. Quét nhựa đường 2 lớp</t>
  </si>
  <si>
    <t>Mối nối cống</t>
  </si>
  <si>
    <t>Mối nối</t>
  </si>
  <si>
    <t>vkg</t>
  </si>
  <si>
    <t>vkt</t>
  </si>
  <si>
    <t>ct</t>
  </si>
  <si>
    <t>mn</t>
  </si>
  <si>
    <t>nd</t>
  </si>
  <si>
    <t>d</t>
  </si>
  <si>
    <t>bttctd</t>
  </si>
  <si>
    <t>sc</t>
  </si>
  <si>
    <t>tl</t>
  </si>
  <si>
    <t>bto</t>
  </si>
  <si>
    <t>btmc</t>
  </si>
  <si>
    <t>oc</t>
  </si>
  <si>
    <t>mtctd</t>
  </si>
  <si>
    <t>daod</t>
  </si>
  <si>
    <t>dapd</t>
  </si>
  <si>
    <t>I-I</t>
  </si>
  <si>
    <t>II-II</t>
  </si>
  <si>
    <t>Nếu có tính điền 1 vào ô I19</t>
  </si>
  <si>
    <t>BT móng cống M150, đổ tại chỗ</t>
  </si>
  <si>
    <t>Dăm sạn đệm móng khối xây</t>
  </si>
  <si>
    <t>Khối lượng bêtông TC+T.Đ M150</t>
  </si>
  <si>
    <t>BT móng TĐ + TC M150</t>
  </si>
  <si>
    <t>Bê tông sân cống, sân gia cố M150</t>
  </si>
  <si>
    <t>c2. KL chân khay:</t>
  </si>
  <si>
    <t>Cao</t>
  </si>
  <si>
    <t>dhgctl</t>
  </si>
  <si>
    <r>
      <rPr>
        <vertAlign val="subscript"/>
        <sz val="12"/>
        <rFont val="Times New Roman"/>
        <family val="1"/>
      </rPr>
      <t>C2.1</t>
    </r>
    <r>
      <rPr>
        <sz val="12"/>
        <rFont val="Times New Roman"/>
        <family val="1"/>
      </rPr>
      <t>.KL đá hộc</t>
    </r>
  </si>
  <si>
    <r>
      <rPr>
        <vertAlign val="subscript"/>
        <sz val="12"/>
        <rFont val="Times New Roman"/>
        <family val="1"/>
      </rPr>
      <t>C2.2</t>
    </r>
    <r>
      <rPr>
        <sz val="12"/>
        <rFont val="Times New Roman"/>
        <family val="1"/>
      </rPr>
      <t>.Sỏi đệm</t>
    </r>
  </si>
  <si>
    <t>Phá dỡ bê tông cống cũ</t>
  </si>
  <si>
    <t>D-D</t>
  </si>
  <si>
    <t>Đá hộc ốp mái taluy M75</t>
  </si>
  <si>
    <t>Đá hộc chân khay gia cố taluy M75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</si>
  <si>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.Khối lượng BT hạ lưu:</t>
    </r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</si>
  <si>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.KL BT</t>
    </r>
  </si>
  <si>
    <r>
      <t>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.KL BT</t>
    </r>
  </si>
  <si>
    <t>Cọc:46- Km1+753.97</t>
  </si>
  <si>
    <t>Diễn giải khối lượng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</si>
</sst>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0.000"/>
    <numFmt numFmtId="165" formatCode="General&quot;bản&quot;"/>
    <numFmt numFmtId="166" formatCode=";;;"/>
  </numFmts>
  <fonts count="36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bscript"/>
      <sz val="12"/>
      <name val="Times New Roman"/>
      <family val="1"/>
    </font>
    <font>
      <b/>
      <sz val="14"/>
      <name val="Arial"/>
      <family val="2"/>
    </font>
    <font>
      <b/>
      <sz val="14"/>
      <name val=".VnArial"/>
      <family val="2"/>
    </font>
    <font>
      <b/>
      <i/>
      <u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10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0"/>
      <color indexed="81"/>
      <name val="Tahoma"/>
      <family val="2"/>
    </font>
    <font>
      <sz val="12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10" fillId="23" borderId="7" applyNumberFormat="0" applyFont="0" applyAlignment="0" applyProtection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146">
    <xf numFmtId="0" fontId="0" fillId="0" borderId="0" xfId="0"/>
    <xf numFmtId="0" fontId="3" fillId="0" borderId="0" xfId="0" applyNumberFormat="1" applyFont="1"/>
    <xf numFmtId="0" fontId="3" fillId="0" borderId="0" xfId="0" applyNumberFormat="1" applyFont="1" applyFill="1"/>
    <xf numFmtId="0" fontId="0" fillId="0" borderId="0" xfId="0" applyBorder="1"/>
    <xf numFmtId="0" fontId="3" fillId="0" borderId="0" xfId="0" applyFont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Fill="1" applyBorder="1" applyAlignment="1">
      <alignment horizontal="center"/>
    </xf>
    <xf numFmtId="165" fontId="3" fillId="0" borderId="0" xfId="0" applyNumberFormat="1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/>
    <xf numFmtId="0" fontId="7" fillId="0" borderId="0" xfId="0" applyFont="1" applyFill="1" applyBorder="1" applyAlignment="1">
      <alignment vertical="center"/>
    </xf>
    <xf numFmtId="0" fontId="3" fillId="0" borderId="0" xfId="0" applyNumberFormat="1" applyFont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/>
    <xf numFmtId="0" fontId="8" fillId="0" borderId="0" xfId="0" applyNumberFormat="1" applyFont="1"/>
    <xf numFmtId="0" fontId="3" fillId="0" borderId="10" xfId="0" applyNumberFormat="1" applyFont="1" applyBorder="1"/>
    <xf numFmtId="0" fontId="3" fillId="0" borderId="10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/>
    </xf>
    <xf numFmtId="0" fontId="3" fillId="0" borderId="12" xfId="0" applyNumberFormat="1" applyFont="1" applyBorder="1"/>
    <xf numFmtId="0" fontId="3" fillId="0" borderId="11" xfId="0" applyNumberFormat="1" applyFont="1" applyBorder="1"/>
    <xf numFmtId="0" fontId="8" fillId="0" borderId="0" xfId="0" applyNumberFormat="1" applyFont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left"/>
    </xf>
    <xf numFmtId="0" fontId="28" fillId="0" borderId="10" xfId="0" applyNumberFormat="1" applyFont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3" fillId="24" borderId="10" xfId="0" applyNumberFormat="1" applyFont="1" applyFill="1" applyBorder="1"/>
    <xf numFmtId="0" fontId="3" fillId="25" borderId="10" xfId="0" applyNumberFormat="1" applyFont="1" applyFill="1" applyBorder="1"/>
    <xf numFmtId="0" fontId="3" fillId="24" borderId="10" xfId="0" applyNumberFormat="1" applyFont="1" applyFill="1" applyBorder="1" applyAlignment="1">
      <alignment horizontal="center"/>
    </xf>
    <xf numFmtId="0" fontId="3" fillId="24" borderId="10" xfId="0" applyNumberFormat="1" applyFont="1" applyFill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/>
    </xf>
    <xf numFmtId="0" fontId="30" fillId="25" borderId="10" xfId="0" applyNumberFormat="1" applyFont="1" applyFill="1" applyBorder="1"/>
    <xf numFmtId="164" fontId="3" fillId="0" borderId="0" xfId="0" applyNumberFormat="1" applyFont="1"/>
    <xf numFmtId="0" fontId="0" fillId="0" borderId="0" xfId="0" applyNumberFormat="1" applyAlignment="1"/>
    <xf numFmtId="0" fontId="10" fillId="0" borderId="0" xfId="0" applyFont="1" applyBorder="1"/>
    <xf numFmtId="0" fontId="3" fillId="27" borderId="0" xfId="0" applyNumberFormat="1" applyFont="1" applyFill="1"/>
    <xf numFmtId="0" fontId="3" fillId="0" borderId="0" xfId="0" applyNumberFormat="1" applyFont="1" applyFill="1" applyAlignment="1">
      <alignment horizontal="right" wrapText="1"/>
    </xf>
    <xf numFmtId="0" fontId="3" fillId="28" borderId="0" xfId="0" applyFont="1" applyFill="1" applyBorder="1"/>
    <xf numFmtId="0" fontId="3" fillId="24" borderId="10" xfId="0" applyNumberFormat="1" applyFont="1" applyFill="1" applyBorder="1" applyAlignment="1">
      <alignment horizontal="right"/>
    </xf>
    <xf numFmtId="0" fontId="35" fillId="0" borderId="10" xfId="0" applyNumberFormat="1" applyFont="1" applyBorder="1" applyAlignment="1">
      <alignment horizontal="center"/>
    </xf>
    <xf numFmtId="0" fontId="35" fillId="0" borderId="0" xfId="0" applyNumberFormat="1" applyFont="1" applyFill="1" applyBorder="1"/>
    <xf numFmtId="0" fontId="10" fillId="0" borderId="0" xfId="0" applyFont="1" applyFill="1" applyBorder="1"/>
    <xf numFmtId="0" fontId="30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/>
    <xf numFmtId="0" fontId="3" fillId="0" borderId="10" xfId="0" applyNumberFormat="1" applyFont="1" applyBorder="1" applyAlignment="1">
      <alignment horizont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0" fillId="25" borderId="0" xfId="0" applyNumberFormat="1" applyFont="1" applyFill="1" applyBorder="1"/>
    <xf numFmtId="0" fontId="10" fillId="0" borderId="0" xfId="0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64" fontId="30" fillId="25" borderId="0" xfId="0" applyNumberFormat="1" applyFont="1" applyFill="1" applyBorder="1"/>
    <xf numFmtId="2" fontId="30" fillId="25" borderId="0" xfId="0" applyNumberFormat="1" applyFont="1" applyFill="1" applyBorder="1"/>
    <xf numFmtId="0" fontId="30" fillId="0" borderId="0" xfId="0" applyNumberFormat="1" applyFont="1" applyBorder="1"/>
    <xf numFmtId="0" fontId="30" fillId="25" borderId="0" xfId="0" applyNumberFormat="1" applyFont="1" applyFill="1" applyBorder="1" applyAlignment="1">
      <alignment horizontal="center" vertical="center"/>
    </xf>
    <xf numFmtId="164" fontId="30" fillId="25" borderId="0" xfId="0" applyNumberFormat="1" applyFont="1" applyFill="1" applyBorder="1" applyAlignment="1">
      <alignment horizontal="center" vertical="center"/>
    </xf>
    <xf numFmtId="0" fontId="30" fillId="25" borderId="0" xfId="28" applyNumberFormat="1" applyFont="1" applyFill="1" applyBorder="1"/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0" fillId="0" borderId="0" xfId="0" applyNumberFormat="1" applyFont="1" applyBorder="1"/>
    <xf numFmtId="166" fontId="3" fillId="0" borderId="0" xfId="0" applyNumberFormat="1" applyFont="1" applyBorder="1"/>
    <xf numFmtId="164" fontId="3" fillId="0" borderId="0" xfId="0" applyNumberFormat="1" applyFont="1" applyBorder="1"/>
    <xf numFmtId="0" fontId="3" fillId="0" borderId="14" xfId="0" applyNumberFormat="1" applyFont="1" applyBorder="1" applyAlignment="1">
      <alignment horizontal="center" vertical="center"/>
    </xf>
    <xf numFmtId="0" fontId="3" fillId="24" borderId="0" xfId="0" applyNumberFormat="1" applyFont="1" applyFill="1" applyBorder="1" applyAlignment="1">
      <alignment horizontal="center" vertical="center"/>
    </xf>
    <xf numFmtId="2" fontId="3" fillId="24" borderId="10" xfId="0" applyNumberFormat="1" applyFont="1" applyFill="1" applyBorder="1" applyAlignment="1">
      <alignment horizontal="center"/>
    </xf>
    <xf numFmtId="2" fontId="3" fillId="0" borderId="15" xfId="0" applyNumberFormat="1" applyFont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/>
    <xf numFmtId="2" fontId="3" fillId="0" borderId="10" xfId="0" applyNumberFormat="1" applyFont="1" applyBorder="1" applyAlignment="1">
      <alignment horizontal="center" vertical="center"/>
    </xf>
    <xf numFmtId="0" fontId="30" fillId="0" borderId="0" xfId="28" applyNumberFormat="1" applyFont="1" applyFill="1" applyBorder="1"/>
    <xf numFmtId="2" fontId="35" fillId="0" borderId="0" xfId="0" applyNumberFormat="1" applyFont="1" applyFill="1" applyBorder="1" applyAlignment="1">
      <alignment horizontal="right"/>
    </xf>
    <xf numFmtId="0" fontId="35" fillId="0" borderId="0" xfId="0" applyNumberFormat="1" applyFont="1"/>
    <xf numFmtId="0" fontId="30" fillId="0" borderId="10" xfId="0" applyNumberFormat="1" applyFont="1" applyBorder="1" applyAlignment="1">
      <alignment horizontal="center" vertical="center"/>
    </xf>
    <xf numFmtId="0" fontId="30" fillId="0" borderId="1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5" fillId="29" borderId="0" xfId="0" applyNumberFormat="1" applyFont="1" applyFill="1" applyAlignment="1">
      <alignment horizontal="center" vertical="center"/>
    </xf>
    <xf numFmtId="0" fontId="35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3" fillId="24" borderId="14" xfId="0" applyNumberFormat="1" applyFont="1" applyFill="1" applyBorder="1" applyAlignment="1">
      <alignment horizontal="center" vertical="center"/>
    </xf>
    <xf numFmtId="0" fontId="3" fillId="24" borderId="1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 wrapText="1"/>
    </xf>
    <xf numFmtId="0" fontId="3" fillId="0" borderId="0" xfId="0" applyNumberFormat="1" applyFont="1" applyFill="1" applyBorder="1" applyAlignment="1">
      <alignment horizontal="right" wrapText="1"/>
    </xf>
    <xf numFmtId="0" fontId="3" fillId="26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/>
    </xf>
    <xf numFmtId="0" fontId="0" fillId="0" borderId="0" xfId="0" applyNumberFormat="1" applyAlignment="1"/>
    <xf numFmtId="0" fontId="0" fillId="0" borderId="0" xfId="0" applyNumberFormat="1" applyAlignment="1">
      <alignment horizontal="right"/>
    </xf>
    <xf numFmtId="0" fontId="3" fillId="0" borderId="16" xfId="0" applyNumberFormat="1" applyFont="1" applyBorder="1" applyAlignment="1">
      <alignment horizontal="right"/>
    </xf>
    <xf numFmtId="0" fontId="10" fillId="0" borderId="0" xfId="0" applyFont="1"/>
    <xf numFmtId="0" fontId="10" fillId="0" borderId="0" xfId="0" applyFont="1" applyBorder="1"/>
    <xf numFmtId="0" fontId="3" fillId="0" borderId="16" xfId="0" applyNumberFormat="1" applyFont="1" applyFill="1" applyBorder="1" applyAlignment="1">
      <alignment horizontal="right"/>
    </xf>
    <xf numFmtId="0" fontId="3" fillId="0" borderId="17" xfId="0" applyNumberFormat="1" applyFont="1" applyBorder="1" applyAlignment="1">
      <alignment horizontal="right"/>
    </xf>
    <xf numFmtId="0" fontId="9" fillId="0" borderId="0" xfId="0" applyNumberFormat="1" applyFont="1" applyBorder="1" applyAlignment="1">
      <alignment horizontal="right"/>
    </xf>
    <xf numFmtId="4" fontId="9" fillId="0" borderId="0" xfId="0" applyNumberFormat="1" applyFont="1" applyBorder="1" applyAlignment="1">
      <alignment horizontal="right" vertical="center"/>
    </xf>
    <xf numFmtId="0" fontId="30" fillId="0" borderId="21" xfId="0" applyNumberFormat="1" applyFont="1" applyBorder="1" applyAlignment="1">
      <alignment horizontal="center" vertical="center"/>
    </xf>
    <xf numFmtId="0" fontId="30" fillId="0" borderId="10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/>
    </xf>
    <xf numFmtId="0" fontId="30" fillId="0" borderId="20" xfId="0" applyNumberFormat="1" applyFont="1" applyBorder="1" applyAlignment="1">
      <alignment horizontal="center" vertical="center"/>
    </xf>
    <xf numFmtId="0" fontId="30" fillId="0" borderId="11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C323"/>
  <sheetViews>
    <sheetView showGridLines="0" tabSelected="1" topLeftCell="A136" zoomScaleSheetLayoutView="100" workbookViewId="0">
      <selection activeCell="E140" sqref="E140:G140"/>
    </sheetView>
  </sheetViews>
  <sheetFormatPr defaultRowHeight="12.75"/>
  <cols>
    <col min="1" max="1" width="3.7109375" style="8" customWidth="1"/>
    <col min="2" max="2" width="20" style="3" customWidth="1"/>
    <col min="3" max="3" width="10.28515625" style="3" customWidth="1"/>
    <col min="4" max="4" width="11.42578125" style="3" customWidth="1"/>
    <col min="5" max="5" width="11.5703125" style="3" customWidth="1"/>
    <col min="6" max="6" width="8.28515625" style="3" customWidth="1"/>
    <col min="7" max="7" width="55.140625" style="3" customWidth="1"/>
    <col min="8" max="8" width="13.7109375" style="3" bestFit="1" customWidth="1"/>
    <col min="9" max="9" width="9.7109375" style="3" bestFit="1" customWidth="1"/>
    <col min="10" max="10" width="6.140625" style="3" hidden="1" customWidth="1"/>
    <col min="11" max="11" width="6.140625" style="3" customWidth="1"/>
    <col min="12" max="12" width="10.140625" style="3" bestFit="1" customWidth="1"/>
    <col min="13" max="16384" width="9.140625" style="3"/>
  </cols>
  <sheetData>
    <row r="1" spans="1:12" ht="27" hidden="1" customHeight="1" thickTop="1">
      <c r="B1" s="105" t="s">
        <v>95</v>
      </c>
      <c r="C1" s="106"/>
      <c r="D1" s="106"/>
      <c r="E1" s="106"/>
      <c r="F1" s="106"/>
      <c r="G1" s="106"/>
      <c r="H1" s="106"/>
      <c r="I1" s="106"/>
    </row>
    <row r="2" spans="1:12" ht="15.75" hidden="1">
      <c r="B2" s="107" t="s">
        <v>0</v>
      </c>
      <c r="C2" s="107"/>
      <c r="D2" s="107"/>
      <c r="E2" s="108"/>
      <c r="F2" s="108"/>
      <c r="G2" s="108"/>
      <c r="H2" s="108"/>
      <c r="I2" s="108"/>
    </row>
    <row r="3" spans="1:12" ht="15.75" hidden="1">
      <c r="D3" s="109" t="s">
        <v>152</v>
      </c>
      <c r="E3" s="109"/>
      <c r="F3" s="109"/>
    </row>
    <row r="4" spans="1:12" ht="15.75" hidden="1">
      <c r="D4" s="21"/>
      <c r="E4" s="8"/>
      <c r="F4" s="8"/>
    </row>
    <row r="5" spans="1:12" ht="15.75" hidden="1">
      <c r="B5" s="1" t="s">
        <v>1</v>
      </c>
      <c r="C5" s="46">
        <v>1.5</v>
      </c>
      <c r="D5" s="1" t="s">
        <v>2</v>
      </c>
      <c r="E5" s="1"/>
      <c r="F5" s="1"/>
      <c r="G5" s="1"/>
      <c r="H5" s="1"/>
      <c r="I5" s="1"/>
      <c r="J5" s="4"/>
      <c r="K5" s="4"/>
      <c r="L5" s="4"/>
    </row>
    <row r="6" spans="1:12" s="13" customFormat="1" ht="15.75" hidden="1" customHeight="1">
      <c r="A6" s="8"/>
      <c r="B6" s="1" t="s">
        <v>64</v>
      </c>
      <c r="C6" s="1"/>
      <c r="D6" s="47">
        <f>IF(C5=0.75,0.08,IF(C5=1.2,0.12,IF(C5=1,0.1,IF(C5=1.25,0.12,0.14))))</f>
        <v>0.14000000000000001</v>
      </c>
      <c r="E6" s="1" t="s">
        <v>2</v>
      </c>
      <c r="F6" s="1"/>
      <c r="G6" s="1"/>
      <c r="H6" s="1"/>
      <c r="I6" s="1"/>
    </row>
    <row r="7" spans="1:12" ht="15.75" hidden="1">
      <c r="B7" s="1" t="s">
        <v>65</v>
      </c>
      <c r="C7" s="1"/>
      <c r="D7" s="1" t="str">
        <f>""&amp;C5&amp;"+2x"&amp;D6&amp;"="</f>
        <v>1.5+2x0.14=</v>
      </c>
      <c r="E7" s="47">
        <f>C5+2*D6</f>
        <v>1.78</v>
      </c>
      <c r="F7" s="1" t="s">
        <v>2</v>
      </c>
      <c r="G7" s="1"/>
      <c r="H7" s="1"/>
      <c r="I7" s="1"/>
      <c r="J7" s="4"/>
      <c r="K7" s="4"/>
      <c r="L7" s="4"/>
    </row>
    <row r="8" spans="1:12" s="12" customFormat="1" ht="15.75" hidden="1">
      <c r="A8" s="79"/>
      <c r="B8" s="2"/>
      <c r="C8" s="2"/>
      <c r="D8" s="2"/>
      <c r="E8" s="7"/>
      <c r="F8" s="2"/>
      <c r="G8" s="2"/>
      <c r="H8" s="2"/>
      <c r="I8" s="2"/>
      <c r="J8" s="9"/>
      <c r="K8" s="9"/>
      <c r="L8" s="9"/>
    </row>
    <row r="9" spans="1:12" ht="15.75" hidden="1">
      <c r="B9" s="27" t="s">
        <v>3</v>
      </c>
      <c r="C9" s="1"/>
      <c r="D9" s="1"/>
      <c r="E9" s="1"/>
      <c r="F9" s="1"/>
      <c r="G9" s="1"/>
      <c r="H9" s="1"/>
      <c r="I9" s="1"/>
      <c r="J9" s="4"/>
      <c r="K9" s="4"/>
      <c r="L9" s="4"/>
    </row>
    <row r="10" spans="1:12" ht="15.75" hidden="1">
      <c r="B10" s="30" t="s">
        <v>30</v>
      </c>
      <c r="C10" s="29" t="s">
        <v>4</v>
      </c>
      <c r="D10" s="29" t="s">
        <v>5</v>
      </c>
      <c r="E10" s="29" t="s">
        <v>6</v>
      </c>
      <c r="F10" s="110" t="s">
        <v>7</v>
      </c>
      <c r="G10" s="111"/>
      <c r="H10" s="112"/>
      <c r="I10" s="30" t="s">
        <v>8</v>
      </c>
      <c r="J10" s="4"/>
      <c r="K10" s="4"/>
      <c r="L10" s="4"/>
    </row>
    <row r="11" spans="1:12" ht="15.75" hidden="1">
      <c r="B11" s="30" t="s">
        <v>132</v>
      </c>
      <c r="C11" s="48">
        <v>0.3</v>
      </c>
      <c r="D11" s="29">
        <f>C11+E11/4</f>
        <v>0.35</v>
      </c>
      <c r="E11" s="48">
        <v>0.2</v>
      </c>
      <c r="F11" s="113" t="str">
        <f>"("&amp;C11&amp;"+"&amp;D11&amp;")/2x"&amp;E11&amp;"="</f>
        <v>(0.3+0.35)/2x0.2=</v>
      </c>
      <c r="G11" s="110"/>
      <c r="H11" s="31">
        <f>ROUND((C11+D11)/2*E11,3)</f>
        <v>6.5000000000000002E-2</v>
      </c>
      <c r="I11" s="51">
        <f>ROUND(SQRT(E11^2+(D11-C11)^2),3)</f>
        <v>0.20599999999999999</v>
      </c>
      <c r="J11" s="4"/>
      <c r="K11" s="4"/>
      <c r="L11" s="4"/>
    </row>
    <row r="12" spans="1:12" ht="15.75" hidden="1">
      <c r="B12" s="30" t="s">
        <v>133</v>
      </c>
      <c r="C12" s="29">
        <f>C11</f>
        <v>0.3</v>
      </c>
      <c r="D12" s="29">
        <f>ROUND(C12+E12/4,2)</f>
        <v>0.71</v>
      </c>
      <c r="E12" s="29">
        <f>m-D6</f>
        <v>1.6400000000000001</v>
      </c>
      <c r="F12" s="113" t="str">
        <f>"("&amp;C12&amp;"+"&amp;D12&amp;")/2x"&amp;E12&amp;"="</f>
        <v>(0.3+0.71)/2x1.64=</v>
      </c>
      <c r="G12" s="110"/>
      <c r="H12" s="31">
        <f>ROUND((C12+D12)/2*E12,3)</f>
        <v>0.82799999999999996</v>
      </c>
      <c r="I12" s="51">
        <f>ROUND(SQRT(E12^2+(D12-C12)^2),3)</f>
        <v>1.69</v>
      </c>
      <c r="J12" s="4"/>
      <c r="K12" s="4"/>
      <c r="L12" s="4"/>
    </row>
    <row r="13" spans="1:12" ht="15.75" hidden="1">
      <c r="B13" s="1" t="s">
        <v>66</v>
      </c>
      <c r="C13" s="1"/>
      <c r="D13" s="1"/>
      <c r="E13" s="1"/>
      <c r="F13" s="1"/>
      <c r="G13" s="1"/>
      <c r="H13" s="1"/>
      <c r="I13" s="1"/>
      <c r="J13" s="4"/>
      <c r="K13" s="4"/>
      <c r="L13" s="4"/>
    </row>
    <row r="14" spans="1:12" ht="15.75" hidden="1">
      <c r="B14" s="114" t="s">
        <v>67</v>
      </c>
      <c r="C14" s="114"/>
      <c r="D14" s="46">
        <v>2.31</v>
      </c>
      <c r="E14" s="1" t="s">
        <v>2</v>
      </c>
      <c r="F14" s="1"/>
      <c r="G14" s="1"/>
      <c r="H14" s="1"/>
      <c r="I14" s="1"/>
      <c r="J14" s="4"/>
      <c r="K14" s="4"/>
      <c r="L14" s="4"/>
    </row>
    <row r="15" spans="1:12" ht="15.75" hidden="1">
      <c r="B15" s="114" t="s">
        <v>68</v>
      </c>
      <c r="C15" s="114"/>
      <c r="D15" s="46">
        <v>2.69</v>
      </c>
      <c r="E15" s="1" t="s">
        <v>2</v>
      </c>
      <c r="F15" s="1"/>
      <c r="G15" s="1"/>
      <c r="H15" s="1"/>
      <c r="I15" s="1"/>
      <c r="J15" s="15"/>
      <c r="K15" s="4"/>
      <c r="L15" s="4"/>
    </row>
    <row r="16" spans="1:12" ht="15.75" hidden="1">
      <c r="B16" s="1" t="s">
        <v>73</v>
      </c>
      <c r="C16" s="1"/>
      <c r="D16" s="1"/>
      <c r="E16" s="1"/>
      <c r="F16" s="1"/>
      <c r="G16" s="1"/>
      <c r="H16" s="1"/>
      <c r="I16" s="1"/>
      <c r="J16" s="15"/>
      <c r="K16" s="4"/>
      <c r="L16" s="4"/>
    </row>
    <row r="17" spans="1:18" ht="18.75" hidden="1">
      <c r="A17" s="71" t="s">
        <v>123</v>
      </c>
      <c r="B17" s="114" t="str">
        <f>"("&amp;H11&amp;"+"&amp;H12&amp;")/2x("&amp;D14&amp;"+"&amp;D15&amp;")x2="</f>
        <v>(0.065+0.828)/2x(2.31+2.69)x2=</v>
      </c>
      <c r="C17" s="114"/>
      <c r="D17" s="114"/>
      <c r="E17" s="114"/>
      <c r="F17" s="114"/>
      <c r="G17" s="114"/>
      <c r="H17" s="70">
        <f>ROUND((H11+H12)/2*2*(D14+D15),3)</f>
        <v>4.4649999999999999</v>
      </c>
      <c r="I17" s="1" t="s">
        <v>9</v>
      </c>
      <c r="J17" s="15"/>
      <c r="K17" s="4"/>
      <c r="L17" s="4"/>
    </row>
    <row r="18" spans="1:18" ht="15.75" hidden="1">
      <c r="B18" s="33" t="s">
        <v>69</v>
      </c>
      <c r="C18" s="32"/>
      <c r="D18" s="32"/>
      <c r="E18" s="32"/>
      <c r="F18" s="32"/>
      <c r="G18" s="32"/>
      <c r="H18" s="75"/>
      <c r="I18" s="1"/>
      <c r="K18" s="4"/>
      <c r="L18" s="4"/>
    </row>
    <row r="19" spans="1:18" ht="15.75" hidden="1">
      <c r="A19" s="71" t="s">
        <v>121</v>
      </c>
      <c r="B19" s="32"/>
      <c r="C19" s="32"/>
      <c r="D19" s="32"/>
      <c r="E19" s="32"/>
      <c r="F19" s="32"/>
      <c r="G19" s="32" t="str">
        <f>"("&amp;I11&amp;"+"&amp;I12&amp;")/2x("&amp;D14&amp;"+"&amp;D15&amp;")x2="</f>
        <v>(0.206+1.69)/2x(2.31+2.69)x2=</v>
      </c>
      <c r="H19" s="70">
        <f>ROUND(IF(I19=0,"0",IF(I19=1,(I11+I12)/2*(D14+D15)*2)),3)</f>
        <v>9.48</v>
      </c>
      <c r="I19" s="55">
        <v>1</v>
      </c>
      <c r="J19" s="4"/>
      <c r="K19" s="1" t="s">
        <v>134</v>
      </c>
      <c r="L19" s="4"/>
    </row>
    <row r="20" spans="1:18" ht="15.75" hidden="1">
      <c r="A20" s="71"/>
      <c r="B20" s="1" t="s">
        <v>70</v>
      </c>
      <c r="C20" s="1"/>
      <c r="D20" s="1"/>
      <c r="E20" s="1"/>
      <c r="F20" s="1"/>
      <c r="G20" s="1"/>
      <c r="H20" s="75"/>
      <c r="I20" s="1"/>
      <c r="J20" s="4"/>
      <c r="K20" s="4"/>
      <c r="L20" s="4"/>
    </row>
    <row r="21" spans="1:18" ht="18.75" hidden="1">
      <c r="A21" s="71" t="s">
        <v>117</v>
      </c>
      <c r="B21" s="114" t="str">
        <f>"("&amp;I11&amp;"+"&amp;I12&amp;")/2x("&amp;D14&amp;"+"&amp;D15&amp;")x2+("&amp;E11&amp;"+"&amp;E12&amp;")/2x("&amp;D14&amp;"+"&amp;D15&amp;")x2="</f>
        <v>(0.206+1.69)/2x(2.31+2.69)x2+(0.2+1.64)/2x(2.31+2.69)x2=</v>
      </c>
      <c r="C21" s="114"/>
      <c r="D21" s="114"/>
      <c r="E21" s="114"/>
      <c r="F21" s="114"/>
      <c r="G21" s="114"/>
      <c r="H21" s="70">
        <f>(I11+I12)/2*(D14+D15)*2+(E11+E12)/2*(D14+D15)*2</f>
        <v>18.68</v>
      </c>
      <c r="I21" s="1" t="s">
        <v>10</v>
      </c>
      <c r="J21" s="4"/>
      <c r="K21" s="4"/>
      <c r="L21" s="4"/>
    </row>
    <row r="22" spans="1:18" s="12" customFormat="1" ht="15.75" hidden="1">
      <c r="A22" s="79"/>
      <c r="B22" s="65"/>
      <c r="C22" s="65"/>
      <c r="D22" s="65"/>
      <c r="E22" s="65"/>
      <c r="F22" s="65"/>
      <c r="G22" s="65"/>
      <c r="H22" s="60"/>
      <c r="I22" s="2"/>
      <c r="J22" s="9"/>
      <c r="K22" s="9"/>
      <c r="L22" s="9"/>
      <c r="O22" s="3"/>
      <c r="R22" s="3"/>
    </row>
    <row r="23" spans="1:18" ht="15.75" hidden="1">
      <c r="B23" s="27" t="s">
        <v>43</v>
      </c>
      <c r="C23" s="1"/>
      <c r="D23" s="1"/>
      <c r="E23" s="1"/>
      <c r="F23" s="1"/>
      <c r="G23" s="1"/>
      <c r="H23" s="7"/>
      <c r="I23" s="1"/>
      <c r="J23" s="4"/>
      <c r="K23" s="4"/>
      <c r="L23" s="4"/>
    </row>
    <row r="24" spans="1:18" ht="18.75" hidden="1">
      <c r="B24" s="30"/>
      <c r="C24" s="30" t="s">
        <v>44</v>
      </c>
      <c r="D24" s="30" t="s">
        <v>45</v>
      </c>
      <c r="E24" s="30" t="s">
        <v>46</v>
      </c>
      <c r="F24" s="110" t="s">
        <v>47</v>
      </c>
      <c r="G24" s="112"/>
      <c r="H24" s="14"/>
      <c r="I24" s="1"/>
      <c r="J24" s="4"/>
      <c r="K24" s="4"/>
      <c r="L24" s="4"/>
      <c r="M24" s="54"/>
      <c r="N24" s="12"/>
    </row>
    <row r="25" spans="1:18" ht="15.75" hidden="1">
      <c r="B25" s="30" t="s">
        <v>48</v>
      </c>
      <c r="C25" s="48">
        <v>0.4</v>
      </c>
      <c r="D25" s="30">
        <f>C5+2*C11</f>
        <v>2.1</v>
      </c>
      <c r="E25" s="115">
        <v>0.27</v>
      </c>
      <c r="F25" s="34" t="str">
        <f>""&amp;C25&amp;"x"&amp;D25&amp;"="</f>
        <v>0.4x2.1=</v>
      </c>
      <c r="G25" s="35">
        <f>ROUND(C25*D25,3)</f>
        <v>0.84</v>
      </c>
      <c r="H25" s="14"/>
      <c r="I25" s="1"/>
      <c r="J25" s="4"/>
      <c r="K25" s="4"/>
      <c r="L25" s="4"/>
    </row>
    <row r="26" spans="1:18" ht="15.75" hidden="1">
      <c r="B26" s="30" t="s">
        <v>49</v>
      </c>
      <c r="C26" s="30">
        <f>ROUND(C25+E25/4,3)</f>
        <v>0.46800000000000003</v>
      </c>
      <c r="D26" s="30">
        <f>D25</f>
        <v>2.1</v>
      </c>
      <c r="E26" s="116"/>
      <c r="F26" s="34" t="str">
        <f>""&amp;C26&amp;"x"&amp;D26&amp;"="</f>
        <v>0.468x2.1=</v>
      </c>
      <c r="G26" s="35">
        <f>ROUND(C26*D26,3)</f>
        <v>0.98299999999999998</v>
      </c>
      <c r="H26" s="14"/>
      <c r="I26" s="1"/>
      <c r="J26" s="4"/>
      <c r="K26" s="4"/>
      <c r="L26" s="4"/>
    </row>
    <row r="27" spans="1:18" ht="15.75" hidden="1">
      <c r="B27" s="30" t="s">
        <v>50</v>
      </c>
      <c r="C27" s="85">
        <f>ROUND(C25+(E27+E25)/4,3)</f>
        <v>0.878</v>
      </c>
      <c r="D27" s="91">
        <f>D26+2*E27/4</f>
        <v>2.92</v>
      </c>
      <c r="E27" s="38">
        <f>E12</f>
        <v>1.6400000000000001</v>
      </c>
      <c r="F27" s="34" t="str">
        <f>""&amp;C27&amp;"x"&amp;D27&amp;"="</f>
        <v>0.878x2.92=</v>
      </c>
      <c r="G27" s="35">
        <f>ROUND(C27*D27,3)</f>
        <v>2.5640000000000001</v>
      </c>
      <c r="H27" s="14"/>
      <c r="I27" s="1"/>
      <c r="J27" s="4"/>
      <c r="K27" s="4"/>
      <c r="L27" s="4"/>
    </row>
    <row r="28" spans="1:18" ht="36.75" hidden="1" customHeight="1">
      <c r="B28" s="66" t="s">
        <v>113</v>
      </c>
      <c r="C28" s="86">
        <v>1</v>
      </c>
      <c r="D28" s="1"/>
      <c r="E28" s="1"/>
      <c r="F28" s="1"/>
      <c r="G28" s="1"/>
      <c r="H28" s="14"/>
      <c r="I28" s="1"/>
      <c r="J28" s="4"/>
      <c r="K28" s="4"/>
      <c r="L28" s="4"/>
    </row>
    <row r="29" spans="1:18" ht="18.75" hidden="1">
      <c r="B29" s="1" t="s">
        <v>51</v>
      </c>
      <c r="C29" s="114" t="str">
        <f>"πx"&amp;E7&amp;"^2/4="</f>
        <v>πx1.78^2/4=</v>
      </c>
      <c r="D29" s="114"/>
      <c r="E29" s="1">
        <f>ROUND(3.1416*E7^2/4,3)</f>
        <v>2.488</v>
      </c>
      <c r="F29" s="1" t="s">
        <v>10</v>
      </c>
      <c r="G29" s="1"/>
      <c r="H29" s="14"/>
      <c r="I29" s="1"/>
      <c r="J29" s="4"/>
      <c r="K29" s="4"/>
      <c r="L29" s="4"/>
      <c r="N29" s="82"/>
    </row>
    <row r="30" spans="1:18" ht="15.75" hidden="1">
      <c r="B30" s="1" t="s">
        <v>11</v>
      </c>
      <c r="C30" s="114" t="str">
        <f>"("&amp;C26&amp;"+"&amp;C27&amp;")/2="</f>
        <v>(0.468+0.878)/2=</v>
      </c>
      <c r="D30" s="117"/>
      <c r="E30" s="1">
        <f>ROUND((C26+C27)/2,3)</f>
        <v>0.67300000000000004</v>
      </c>
      <c r="F30" s="1" t="s">
        <v>2</v>
      </c>
      <c r="G30" s="1"/>
      <c r="H30" s="14"/>
      <c r="I30" s="1"/>
      <c r="J30" s="4"/>
      <c r="K30" s="4"/>
      <c r="L30" s="4"/>
    </row>
    <row r="31" spans="1:18" ht="15.75" hidden="1">
      <c r="B31" s="1" t="s">
        <v>73</v>
      </c>
      <c r="C31" s="1"/>
      <c r="D31" s="1"/>
      <c r="E31" s="1"/>
      <c r="F31" s="1"/>
      <c r="G31" s="1"/>
      <c r="H31" s="14"/>
      <c r="I31" s="1"/>
      <c r="J31" s="4"/>
      <c r="K31" s="4"/>
      <c r="L31" s="4"/>
    </row>
    <row r="32" spans="1:18" ht="18.75" hidden="1">
      <c r="A32" s="71" t="s">
        <v>123</v>
      </c>
      <c r="B32" s="118" t="str">
        <f>"(("&amp;G25&amp;"+"&amp;G26&amp;")/2x"&amp;E25&amp;"+("&amp;G26&amp;"+"&amp;G27&amp;")/2x"&amp;E27&amp;"-("&amp;E29&amp;"x"&amp;E30&amp;"x"&amp;C28&amp;"))x2="</f>
        <v>((0.84+0.983)/2x0.27+(0.983+2.564)/2x1.64-(2.488x0.673x1))x2=</v>
      </c>
      <c r="C32" s="118"/>
      <c r="D32" s="118"/>
      <c r="E32" s="118"/>
      <c r="F32" s="118"/>
      <c r="G32" s="118"/>
      <c r="H32" s="76">
        <f>ROUND((G25+G26)/2*E25+(G26+G27)/2*E27-(E29*E30*C28),3)*2</f>
        <v>2.96</v>
      </c>
      <c r="I32" s="1" t="s">
        <v>9</v>
      </c>
      <c r="J32" s="4"/>
      <c r="K32" s="4"/>
      <c r="L32" s="4"/>
      <c r="M32" s="54"/>
    </row>
    <row r="33" spans="1:14" s="13" customFormat="1" ht="15.75" hidden="1">
      <c r="A33" s="71"/>
      <c r="B33" s="1" t="s">
        <v>71</v>
      </c>
      <c r="C33" s="1"/>
      <c r="D33" s="1"/>
      <c r="E33" s="1"/>
      <c r="F33" s="1"/>
      <c r="G33" s="1"/>
      <c r="H33" s="75"/>
      <c r="I33" s="1"/>
    </row>
    <row r="34" spans="1:14" ht="32.25" hidden="1" customHeight="1">
      <c r="A34" s="71" t="s">
        <v>117</v>
      </c>
      <c r="B34" s="119" t="str">
        <f>"((("&amp;D27&amp;"+"&amp;D26&amp;")/2x("&amp;E25&amp;"+"&amp;E27&amp;"))-"&amp;E29&amp;" + (("&amp;C25&amp;"+"&amp;C27&amp;")/2xSQRT(("&amp;E25&amp;"+"&amp;E27&amp;")^2+("&amp;C27&amp;"-"&amp;C25&amp;")^2))x2 + (("&amp;D27&amp;"+"&amp;D25&amp;")/2xSQRT(("&amp;E25&amp;"+"&amp;E27&amp;")^2+("&amp;C27&amp;"-"&amp;C25&amp;")^2))-"&amp;E29&amp;") x 2="</f>
        <v>(((2.92+2.1)/2x(0.27+1.64))-2.488 + ((0.4+0.878)/2xSQRT((0.27+1.64)^2+(0.878-0.4)^2))x2 + ((2.92+2.1)/2xSQRT((0.27+1.64)^2+(0.878-0.4)^2))-2.488) x 2=</v>
      </c>
      <c r="C34" s="119"/>
      <c r="D34" s="119"/>
      <c r="E34" s="119"/>
      <c r="F34" s="119"/>
      <c r="G34" s="120"/>
      <c r="H34" s="77">
        <f>((((D27+D25)/2)*(E25+E27)-(E29))+(((C25+C27)/2)*SQRT(((E25+E27)^2)+((C27-C25)^2))*2+(((D25+D27)/2)*SQRT(((E25+E27)^2)+((C27-C25)^2))-(E29))))*2</f>
        <v>14.552618702529909</v>
      </c>
      <c r="I34" s="33" t="s">
        <v>10</v>
      </c>
      <c r="J34" s="4"/>
      <c r="K34" s="4"/>
      <c r="L34" s="4"/>
    </row>
    <row r="35" spans="1:14" s="61" customFormat="1" ht="16.5" hidden="1" customHeight="1">
      <c r="A35" s="80"/>
      <c r="B35" s="56"/>
      <c r="C35" s="56"/>
      <c r="D35" s="56"/>
      <c r="E35" s="56"/>
      <c r="F35" s="56"/>
      <c r="G35" s="63"/>
      <c r="H35" s="64"/>
      <c r="I35" s="2"/>
      <c r="J35" s="9"/>
      <c r="K35" s="9"/>
      <c r="L35" s="9"/>
    </row>
    <row r="36" spans="1:14" ht="14.25" hidden="1" customHeight="1">
      <c r="B36" s="36" t="s">
        <v>52</v>
      </c>
      <c r="C36" s="1"/>
      <c r="D36" s="1"/>
      <c r="E36" s="1"/>
      <c r="F36" s="1"/>
      <c r="G36" s="1"/>
      <c r="H36" s="14"/>
      <c r="I36" s="1"/>
      <c r="J36" s="4"/>
      <c r="K36" s="4"/>
      <c r="L36" s="4"/>
    </row>
    <row r="37" spans="1:14" ht="14.25" hidden="1" customHeight="1">
      <c r="B37" s="37" t="s">
        <v>39</v>
      </c>
      <c r="C37" s="30" t="s">
        <v>11</v>
      </c>
      <c r="D37" s="30" t="s">
        <v>12</v>
      </c>
      <c r="E37" s="110" t="s">
        <v>14</v>
      </c>
      <c r="F37" s="112"/>
      <c r="G37" s="1"/>
      <c r="H37" s="14"/>
      <c r="I37" s="1"/>
      <c r="J37" s="4"/>
      <c r="K37" s="4"/>
      <c r="L37" s="4"/>
    </row>
    <row r="38" spans="1:14" ht="14.25" hidden="1" customHeight="1">
      <c r="B38" s="30" t="s">
        <v>15</v>
      </c>
      <c r="C38" s="49">
        <f>C27+0.21</f>
        <v>1.0880000000000001</v>
      </c>
      <c r="D38" s="91">
        <f>D27+2*0.2</f>
        <v>3.32</v>
      </c>
      <c r="E38" s="38">
        <f>0.3+D6</f>
        <v>0.44</v>
      </c>
      <c r="F38" s="49"/>
      <c r="G38" s="121">
        <v>1</v>
      </c>
      <c r="K38" s="4"/>
      <c r="L38" s="1" t="s">
        <v>89</v>
      </c>
      <c r="M38" s="14"/>
      <c r="N38" s="1"/>
    </row>
    <row r="39" spans="1:14" ht="15.75" hidden="1">
      <c r="B39" s="38" t="s">
        <v>16</v>
      </c>
      <c r="C39" s="38">
        <f>+((D11+0.2)+(D12+0.2))/2</f>
        <v>0.73</v>
      </c>
      <c r="D39" s="38">
        <f>+D14</f>
        <v>2.31</v>
      </c>
      <c r="E39" s="38">
        <f>E38</f>
        <v>0.44</v>
      </c>
      <c r="F39" s="49"/>
      <c r="G39" s="121"/>
      <c r="K39" s="4"/>
      <c r="L39" s="1" t="s">
        <v>90</v>
      </c>
      <c r="M39" s="14"/>
      <c r="N39" s="1"/>
    </row>
    <row r="40" spans="1:14" ht="15.75" hidden="1">
      <c r="B40" s="29" t="s">
        <v>13</v>
      </c>
      <c r="C40" s="49">
        <v>0.8</v>
      </c>
      <c r="D40" s="49">
        <v>4.92</v>
      </c>
      <c r="E40" s="49">
        <v>0.3</v>
      </c>
      <c r="F40" s="49">
        <v>0.2</v>
      </c>
      <c r="G40" s="1"/>
      <c r="H40" s="14"/>
      <c r="I40" s="1"/>
      <c r="J40" s="4"/>
      <c r="K40" s="4"/>
      <c r="L40" s="4"/>
    </row>
    <row r="41" spans="1:14" ht="18.75" hidden="1">
      <c r="B41" s="1" t="s">
        <v>86</v>
      </c>
      <c r="C41" s="1"/>
      <c r="D41" s="1"/>
      <c r="E41" s="1"/>
      <c r="F41" s="1"/>
      <c r="G41" s="1"/>
      <c r="H41" s="14"/>
      <c r="I41" s="1"/>
      <c r="J41" s="4"/>
      <c r="K41" s="4"/>
      <c r="L41" s="4"/>
    </row>
    <row r="42" spans="1:14" ht="18.75" hidden="1">
      <c r="A42" s="71" t="s">
        <v>129</v>
      </c>
      <c r="B42" s="118" t="str">
        <f>"("&amp;C38&amp;"x"&amp;E38&amp;"x"&amp;D38&amp;"+"&amp;C39&amp;"x"&amp;D39&amp;"x"&amp;E39&amp;"x2+("&amp;C40&amp;"x"&amp;E40&amp;"+"&amp;E39&amp;"x"&amp;F40&amp;")x"&amp;D40&amp;")x"&amp;G38&amp;"="</f>
        <v>(1.088x0.44x3.32+0.73x2.31x0.44x2+(0.8x0.3+0.44x0.2)x4.92)x1=</v>
      </c>
      <c r="C42" s="118"/>
      <c r="D42" s="118"/>
      <c r="E42" s="118"/>
      <c r="F42" s="118"/>
      <c r="G42" s="118"/>
      <c r="H42" s="70">
        <f>ROUND((C38*D38*E38+C39*D39*E39*2+((C40*E40+E39*F40)*D40))*G38,3)</f>
        <v>4.6870000000000003</v>
      </c>
      <c r="I42" s="1" t="s">
        <v>9</v>
      </c>
      <c r="J42" s="4"/>
      <c r="L42" s="4"/>
    </row>
    <row r="43" spans="1:14" ht="15.75" hidden="1">
      <c r="A43" s="71"/>
      <c r="B43" s="39" t="s">
        <v>72</v>
      </c>
      <c r="C43" s="24"/>
      <c r="D43" s="24"/>
      <c r="E43" s="24"/>
      <c r="F43" s="24"/>
      <c r="G43" s="24"/>
      <c r="H43" s="75"/>
      <c r="I43" s="1"/>
      <c r="J43" s="4"/>
      <c r="K43" s="4"/>
      <c r="L43" s="4"/>
    </row>
    <row r="44" spans="1:14" ht="18.75" hidden="1">
      <c r="A44" s="71" t="s">
        <v>117</v>
      </c>
      <c r="B44" s="24"/>
      <c r="C44" s="24"/>
      <c r="D44" s="24"/>
      <c r="E44" s="24"/>
      <c r="F44" s="24"/>
      <c r="G44" s="24" t="str">
        <f>"("&amp;D38&amp;"+"&amp;C38&amp;")x"&amp;E38&amp;"x2 + ("&amp;E39&amp;"x"&amp;D39&amp;"x4) + (("&amp;E40&amp;"x"&amp;C40&amp;"+"&amp;F40&amp;"x"&amp;E39&amp;")x2) + ("&amp;D40&amp;"x"&amp;C40&amp;"x2)="</f>
        <v>(3.32+1.088)x0.44x2 + (0.44x2.31x4) + ((0.3x0.8+0.2x0.44)x2) + (4.92x0.8x2)=</v>
      </c>
      <c r="H44" s="73">
        <f>ROUND((((D38+C38)*E38*2)+(E39*D39*4)+((E40*C40+F40*E39)*2)+(D40*C40*2))*G38,3)</f>
        <v>16.472999999999999</v>
      </c>
      <c r="I44" s="1" t="s">
        <v>10</v>
      </c>
      <c r="J44" s="4"/>
      <c r="L44" s="4"/>
    </row>
    <row r="45" spans="1:14" ht="15.75" hidden="1">
      <c r="B45" s="1" t="s">
        <v>105</v>
      </c>
      <c r="C45" s="58">
        <v>0.1</v>
      </c>
      <c r="D45" s="1" t="s">
        <v>2</v>
      </c>
      <c r="E45" s="1"/>
      <c r="F45" s="1"/>
      <c r="G45" s="1"/>
      <c r="H45" s="75"/>
      <c r="I45" s="1"/>
      <c r="J45" s="4"/>
      <c r="K45" s="4"/>
      <c r="L45" s="4"/>
    </row>
    <row r="46" spans="1:14" ht="18.75" hidden="1">
      <c r="A46" s="71" t="s">
        <v>122</v>
      </c>
      <c r="B46" s="118" t="str">
        <f>"(("&amp;D38&amp;"x"&amp;C38&amp;"x"&amp;C45&amp;") + ("&amp;D39&amp;"x"&amp;C39&amp;"x"&amp;C45&amp;"x2))x"&amp;G38&amp;"="</f>
        <v>((3.32x1.088x0.1) + (2.31x0.73x0.1x2))x1=</v>
      </c>
      <c r="C46" s="118"/>
      <c r="D46" s="118"/>
      <c r="E46" s="118"/>
      <c r="F46" s="118"/>
      <c r="G46" s="118"/>
      <c r="H46" s="70">
        <f>ROUND(((D38*C38*C45)+(D39*C39*C45*2))*G38,3)</f>
        <v>0.69799999999999995</v>
      </c>
      <c r="I46" s="1" t="s">
        <v>9</v>
      </c>
      <c r="J46" s="4"/>
      <c r="L46" s="4"/>
      <c r="M46" s="3">
        <f>SUM(H46,H56,H63,H68,H73,H90,H96,H103,H110,H115,H119)</f>
        <v>7.9669999999999996</v>
      </c>
    </row>
    <row r="47" spans="1:14" ht="15.75" hidden="1">
      <c r="B47" s="37" t="s">
        <v>53</v>
      </c>
      <c r="C47" s="30" t="s">
        <v>11</v>
      </c>
      <c r="D47" s="30" t="s">
        <v>12</v>
      </c>
      <c r="E47" s="110" t="s">
        <v>14</v>
      </c>
      <c r="F47" s="112"/>
      <c r="G47" s="1"/>
      <c r="H47" s="14"/>
      <c r="I47" s="1"/>
      <c r="J47" s="4"/>
      <c r="K47" s="4"/>
      <c r="L47" s="4"/>
    </row>
    <row r="48" spans="1:14" ht="15.75" hidden="1">
      <c r="B48" s="30" t="s">
        <v>15</v>
      </c>
      <c r="C48" s="49">
        <v>1.07</v>
      </c>
      <c r="D48" s="91">
        <f>D38</f>
        <v>3.32</v>
      </c>
      <c r="E48" s="30">
        <f>E38</f>
        <v>0.44</v>
      </c>
      <c r="F48" s="30"/>
      <c r="G48" s="121">
        <v>1</v>
      </c>
      <c r="K48" s="4"/>
      <c r="L48" s="1" t="s">
        <v>91</v>
      </c>
      <c r="M48" s="14"/>
      <c r="N48" s="1"/>
    </row>
    <row r="49" spans="1:14" ht="15.75" hidden="1">
      <c r="B49" s="38" t="s">
        <v>16</v>
      </c>
      <c r="C49" s="38">
        <f>+C39</f>
        <v>0.73</v>
      </c>
      <c r="D49" s="38">
        <f>+D15</f>
        <v>2.69</v>
      </c>
      <c r="E49" s="38">
        <f>+E39</f>
        <v>0.44</v>
      </c>
      <c r="F49" s="38"/>
      <c r="G49" s="121"/>
      <c r="K49" s="4"/>
      <c r="L49" s="1" t="s">
        <v>92</v>
      </c>
      <c r="M49" s="14"/>
      <c r="N49" s="1"/>
    </row>
    <row r="50" spans="1:14" ht="15.75" hidden="1">
      <c r="B50" s="29" t="s">
        <v>13</v>
      </c>
      <c r="C50" s="49">
        <v>0.83</v>
      </c>
      <c r="D50" s="49">
        <v>5.28</v>
      </c>
      <c r="E50" s="41">
        <f>+E40</f>
        <v>0.3</v>
      </c>
      <c r="F50" s="30">
        <f>+F40</f>
        <v>0.2</v>
      </c>
      <c r="G50" s="1"/>
      <c r="H50" s="14"/>
      <c r="I50" s="1"/>
      <c r="J50" s="4"/>
      <c r="K50" s="4"/>
      <c r="L50" s="4"/>
    </row>
    <row r="51" spans="1:14" s="13" customFormat="1" ht="15.75" hidden="1" customHeight="1">
      <c r="A51" s="8"/>
      <c r="B51" s="1" t="s">
        <v>149</v>
      </c>
      <c r="C51" s="1"/>
      <c r="D51" s="1"/>
      <c r="E51" s="1"/>
      <c r="F51" s="1"/>
      <c r="G51" s="1"/>
      <c r="H51" s="14"/>
      <c r="I51" s="1"/>
    </row>
    <row r="52" spans="1:14" ht="18.75" hidden="1">
      <c r="A52" s="71" t="s">
        <v>129</v>
      </c>
      <c r="B52" s="118" t="str">
        <f>"("&amp;C48&amp;"x"&amp;E48&amp;"x"&amp;D48&amp;"+"&amp;C49&amp;"x"&amp;D49&amp;"x"&amp;E49&amp;"x2+("&amp;C50&amp;"x"&amp;E50&amp;"+"&amp;E49&amp;"x"&amp;F50&amp;")x"&amp;D50&amp;")x"&amp;G48&amp;"="</f>
        <v>(1.07x0.44x3.32+0.73x2.69x0.44x2+(0.83x0.3+0.44x0.2)x5.28)x1=</v>
      </c>
      <c r="C52" s="118"/>
      <c r="D52" s="118"/>
      <c r="E52" s="118"/>
      <c r="F52" s="118"/>
      <c r="G52" s="118"/>
      <c r="H52" s="70">
        <f>ROUND((C48*D48*E48+C49*D49*E49*2+((C50*E50+E49*F50)*D50))*G48,3)</f>
        <v>5.07</v>
      </c>
      <c r="I52" s="1" t="s">
        <v>9</v>
      </c>
      <c r="J52" s="4"/>
      <c r="L52" s="4"/>
    </row>
    <row r="53" spans="1:14" ht="15.75" hidden="1">
      <c r="A53" s="71"/>
      <c r="B53" s="39" t="s">
        <v>72</v>
      </c>
      <c r="C53" s="24"/>
      <c r="D53" s="24"/>
      <c r="E53" s="24"/>
      <c r="F53" s="24"/>
      <c r="G53" s="24"/>
      <c r="H53" s="75"/>
      <c r="I53" s="1"/>
      <c r="J53" s="4"/>
      <c r="K53" s="4"/>
      <c r="L53" s="4"/>
    </row>
    <row r="54" spans="1:14" ht="18.75" hidden="1">
      <c r="A54" s="71" t="s">
        <v>117</v>
      </c>
      <c r="B54" s="24"/>
      <c r="C54" s="24"/>
      <c r="D54" s="24"/>
      <c r="E54" s="24"/>
      <c r="F54" s="24"/>
      <c r="G54" s="24" t="str">
        <f>"("&amp;D48&amp;"+"&amp;C48&amp;")x"&amp;E48&amp;"x2 + ("&amp;E49&amp;"x"&amp;D49&amp;"x4) + (("&amp;E50&amp;"x"&amp;C50&amp;"+"&amp;F50&amp;"x"&amp;E49&amp;")x2) + ("&amp;D50&amp;"x"&amp;C50&amp;"x2)="</f>
        <v>(3.32+1.07)x0.44x2 + (0.44x2.69x4) + ((0.3x0.83+0.2x0.44)x2) + (5.28x0.83x2)=</v>
      </c>
      <c r="H54" s="73">
        <f>ROUND((((D48+C48)*E48*2)+(E49*D49*4)+((E50*C50+F50*E49)*2)+(D50*C50*2))*G48,3)</f>
        <v>18.036000000000001</v>
      </c>
      <c r="I54" s="1" t="s">
        <v>10</v>
      </c>
      <c r="J54" s="4"/>
      <c r="K54" s="4"/>
      <c r="L54" s="4"/>
    </row>
    <row r="55" spans="1:14" ht="15.75" hidden="1">
      <c r="A55" s="71"/>
      <c r="B55" s="1" t="s">
        <v>105</v>
      </c>
      <c r="C55" s="58">
        <v>0.1</v>
      </c>
      <c r="D55" s="1" t="s">
        <v>2</v>
      </c>
      <c r="E55" s="1"/>
      <c r="F55" s="1"/>
      <c r="G55" s="1"/>
      <c r="H55" s="75"/>
      <c r="I55" s="1"/>
      <c r="J55" s="4"/>
      <c r="K55" s="4"/>
      <c r="L55" s="4"/>
    </row>
    <row r="56" spans="1:14" ht="18.75" hidden="1">
      <c r="A56" s="71" t="s">
        <v>122</v>
      </c>
      <c r="B56" s="118" t="str">
        <f>"(("&amp;D48&amp;"x"&amp;C48&amp;"x"&amp;C55&amp;") + ("&amp;D49&amp;"x"&amp;C49&amp;"x"&amp;C55&amp;"x2))x"&amp;G48&amp;"="</f>
        <v>((3.32x1.07x0.1) + (2.69x0.73x0.1x2))x1=</v>
      </c>
      <c r="C56" s="118"/>
      <c r="D56" s="118"/>
      <c r="E56" s="118"/>
      <c r="F56" s="118"/>
      <c r="G56" s="118"/>
      <c r="H56" s="70">
        <f>ROUND(((D48*C48*C55)+(D49*C49*C55*2))*G48,3)</f>
        <v>0.748</v>
      </c>
      <c r="I56" s="1" t="s">
        <v>9</v>
      </c>
      <c r="J56" s="4"/>
      <c r="L56" s="4"/>
    </row>
    <row r="57" spans="1:14" s="12" customFormat="1" ht="15.75" hidden="1">
      <c r="A57" s="79"/>
      <c r="B57" s="7"/>
      <c r="C57" s="7"/>
      <c r="D57" s="19"/>
      <c r="E57" s="19"/>
      <c r="F57" s="60"/>
      <c r="G57" s="7"/>
      <c r="H57" s="7"/>
      <c r="I57" s="7"/>
      <c r="J57" s="9"/>
      <c r="K57" s="9"/>
      <c r="L57" s="9"/>
    </row>
    <row r="58" spans="1:14" ht="15.75" hidden="1">
      <c r="B58" s="27" t="s">
        <v>100</v>
      </c>
      <c r="C58" s="1"/>
      <c r="D58" s="1"/>
      <c r="E58" s="1"/>
      <c r="F58" s="1"/>
      <c r="G58" s="1"/>
      <c r="H58" s="14"/>
      <c r="I58" s="1"/>
      <c r="J58" s="4"/>
      <c r="K58" s="4"/>
      <c r="L58" s="4"/>
    </row>
    <row r="59" spans="1:14" ht="36" hidden="1" customHeight="1">
      <c r="B59" s="40" t="s">
        <v>54</v>
      </c>
      <c r="C59" s="69" t="s">
        <v>11</v>
      </c>
      <c r="D59" s="68" t="s">
        <v>98</v>
      </c>
      <c r="E59" s="68" t="s">
        <v>99</v>
      </c>
      <c r="F59" s="69" t="s">
        <v>14</v>
      </c>
      <c r="G59" s="1"/>
      <c r="H59" s="14"/>
      <c r="I59" s="1"/>
      <c r="J59" s="4"/>
      <c r="K59" s="4"/>
      <c r="L59" s="4"/>
    </row>
    <row r="60" spans="1:14" ht="15.75" hidden="1">
      <c r="B60" s="38" t="s">
        <v>16</v>
      </c>
      <c r="C60" s="48">
        <v>2</v>
      </c>
      <c r="D60" s="41">
        <f>C5</f>
        <v>1.5</v>
      </c>
      <c r="E60" s="41">
        <f>ROUND(TAN(30*PI()/180)*C60*2+C5,2)</f>
        <v>3.81</v>
      </c>
      <c r="F60" s="41">
        <f>E38</f>
        <v>0.44</v>
      </c>
      <c r="G60" s="1"/>
      <c r="H60" s="14"/>
      <c r="I60" s="1"/>
      <c r="J60" s="4"/>
      <c r="K60" s="4"/>
      <c r="L60" s="4"/>
    </row>
    <row r="61" spans="1:14" ht="20.25" hidden="1">
      <c r="A61" s="71" t="s">
        <v>124</v>
      </c>
      <c r="B61" s="1" t="s">
        <v>150</v>
      </c>
      <c r="C61" s="1"/>
      <c r="E61" s="118" t="str">
        <f>"("&amp;D60&amp;"+"&amp;E60&amp;")/2x"&amp;C60&amp;"x"&amp;F60&amp;"="</f>
        <v>(1.5+3.81)/2x2x0.44=</v>
      </c>
      <c r="F61" s="118"/>
      <c r="G61" s="118"/>
      <c r="H61" s="70">
        <f>+ROUND((D60+E60)/2*C60*F60,3)</f>
        <v>2.3359999999999999</v>
      </c>
      <c r="I61" s="1" t="s">
        <v>9</v>
      </c>
      <c r="J61" s="4"/>
      <c r="K61" s="4"/>
    </row>
    <row r="62" spans="1:14" ht="20.25" hidden="1">
      <c r="A62" s="71" t="s">
        <v>117</v>
      </c>
      <c r="B62" s="1" t="s">
        <v>96</v>
      </c>
      <c r="C62" s="1"/>
      <c r="E62" s="118" t="str">
        <f>""&amp;F60&amp;"x"&amp;C60&amp;"x2="</f>
        <v>0.44x2x2=</v>
      </c>
      <c r="F62" s="118"/>
      <c r="G62" s="118"/>
      <c r="H62" s="73">
        <f>+ROUND(F60*C60*2,3)</f>
        <v>1.76</v>
      </c>
      <c r="I62" s="1" t="s">
        <v>10</v>
      </c>
      <c r="J62" s="4"/>
      <c r="K62" s="4"/>
    </row>
    <row r="63" spans="1:14" ht="18.75" hidden="1">
      <c r="A63" s="71" t="s">
        <v>122</v>
      </c>
      <c r="B63" s="1" t="s">
        <v>106</v>
      </c>
      <c r="C63" s="1"/>
      <c r="E63" s="118" t="str">
        <f>"("&amp;D60&amp;"+"&amp;E60&amp;")/2x"&amp;C60&amp;"x"&amp;C55&amp;"="</f>
        <v>(1.5+3.81)/2x2x0.1=</v>
      </c>
      <c r="F63" s="118"/>
      <c r="G63" s="118"/>
      <c r="H63" s="70">
        <f>+ROUND((D60+E60)/2*C60*C55,3)</f>
        <v>0.53100000000000003</v>
      </c>
      <c r="I63" s="1" t="s">
        <v>9</v>
      </c>
      <c r="J63" s="4"/>
    </row>
    <row r="64" spans="1:14" ht="15.75" hidden="1">
      <c r="B64" s="40" t="s">
        <v>56</v>
      </c>
      <c r="C64" s="29" t="s">
        <v>11</v>
      </c>
      <c r="D64" s="29" t="s">
        <v>98</v>
      </c>
      <c r="E64" s="29" t="s">
        <v>99</v>
      </c>
      <c r="F64" s="29" t="s">
        <v>14</v>
      </c>
      <c r="G64" s="1"/>
      <c r="H64" s="14"/>
      <c r="I64" s="1"/>
      <c r="J64" s="4"/>
      <c r="K64" s="4"/>
      <c r="L64" s="4"/>
    </row>
    <row r="65" spans="1:12" ht="15.75" hidden="1">
      <c r="B65" s="38" t="s">
        <v>16</v>
      </c>
      <c r="C65" s="48">
        <v>2.33</v>
      </c>
      <c r="D65" s="41">
        <f>C5</f>
        <v>1.5</v>
      </c>
      <c r="E65" s="41">
        <f>ROUND(TAN(30*PI()/180)*C65*2+C5,2)</f>
        <v>4.1900000000000004</v>
      </c>
      <c r="F65" s="41">
        <f>E48</f>
        <v>0.44</v>
      </c>
      <c r="G65" s="1"/>
      <c r="H65" s="14"/>
      <c r="I65" s="1"/>
      <c r="J65" s="4"/>
      <c r="K65" s="4"/>
      <c r="L65" s="4"/>
    </row>
    <row r="66" spans="1:12" ht="21.75" hidden="1" customHeight="1">
      <c r="A66" s="71" t="s">
        <v>124</v>
      </c>
      <c r="B66" s="1" t="s">
        <v>150</v>
      </c>
      <c r="C66" s="1"/>
      <c r="E66" s="118" t="str">
        <f>"("&amp;D65&amp;"+"&amp;E65&amp;")/2x"&amp;C65&amp;"x"&amp;F65&amp;"="</f>
        <v>(1.5+4.19)/2x2.33x0.44=</v>
      </c>
      <c r="F66" s="118"/>
      <c r="G66" s="118"/>
      <c r="H66" s="70">
        <f>+ROUND((D65+E65)/2*C65*F65,3)</f>
        <v>2.9169999999999998</v>
      </c>
      <c r="I66" s="1" t="s">
        <v>9</v>
      </c>
      <c r="J66" s="4"/>
      <c r="K66" s="4"/>
    </row>
    <row r="67" spans="1:12" s="13" customFormat="1" ht="21" hidden="1" customHeight="1">
      <c r="A67" s="71" t="s">
        <v>117</v>
      </c>
      <c r="B67" s="1" t="s">
        <v>96</v>
      </c>
      <c r="C67" s="1"/>
      <c r="E67" s="118" t="str">
        <f>""&amp;F65&amp;"x"&amp;C65&amp;"x2="</f>
        <v>0.44x2.33x2=</v>
      </c>
      <c r="F67" s="118"/>
      <c r="G67" s="118"/>
      <c r="H67" s="73">
        <f>+ROUND(F65*C65*2,3)</f>
        <v>2.0499999999999998</v>
      </c>
      <c r="I67" s="1" t="s">
        <v>10</v>
      </c>
    </row>
    <row r="68" spans="1:12" s="13" customFormat="1" ht="21" hidden="1" customHeight="1">
      <c r="A68" s="71" t="s">
        <v>122</v>
      </c>
      <c r="B68" s="1" t="s">
        <v>97</v>
      </c>
      <c r="C68" s="1"/>
      <c r="E68" s="118" t="str">
        <f>"("&amp;D65&amp;"+"&amp;E65&amp;")/2x"&amp;C65&amp;"x"&amp;C55&amp;"="</f>
        <v>(1.5+4.19)/2x2.33x0.1=</v>
      </c>
      <c r="F68" s="118"/>
      <c r="G68" s="118"/>
      <c r="H68" s="70">
        <f>+ROUND((D65+E65)/2*C65*C55,3)</f>
        <v>0.66300000000000003</v>
      </c>
      <c r="I68" s="1" t="s">
        <v>9</v>
      </c>
    </row>
    <row r="69" spans="1:12" ht="22.5" hidden="1" customHeight="1">
      <c r="B69" s="27" t="s">
        <v>101</v>
      </c>
      <c r="C69" s="1"/>
      <c r="D69" s="1"/>
      <c r="E69" s="1"/>
      <c r="F69" s="1"/>
      <c r="G69" s="1"/>
      <c r="H69" s="14"/>
      <c r="I69" s="1"/>
      <c r="J69" s="4"/>
      <c r="L69" s="4"/>
    </row>
    <row r="70" spans="1:12" ht="15.75" hidden="1">
      <c r="B70" s="1"/>
      <c r="C70" s="29" t="s">
        <v>17</v>
      </c>
      <c r="D70" s="29" t="s">
        <v>93</v>
      </c>
      <c r="E70" s="30" t="s">
        <v>18</v>
      </c>
      <c r="F70" s="28" t="s">
        <v>74</v>
      </c>
      <c r="G70" s="50" t="s">
        <v>58</v>
      </c>
      <c r="H70" s="14"/>
      <c r="I70" s="1"/>
      <c r="J70" s="4"/>
      <c r="K70" s="4"/>
      <c r="L70" s="4"/>
    </row>
    <row r="71" spans="1:12" ht="15.75" hidden="1">
      <c r="B71" s="43"/>
      <c r="C71" s="48">
        <v>0.98599999999999999</v>
      </c>
      <c r="D71" s="48">
        <v>3.51</v>
      </c>
      <c r="E71" s="48">
        <v>2.34</v>
      </c>
      <c r="F71" s="41">
        <f>IF(C5=0.75,0.38,IF(C5=1,0.4,IF(C5=1.25,0.42,0.44)))</f>
        <v>0.44</v>
      </c>
      <c r="G71" s="34"/>
      <c r="H71" s="14"/>
      <c r="I71" s="1"/>
      <c r="J71" s="4"/>
      <c r="K71" s="4"/>
      <c r="L71" s="4"/>
    </row>
    <row r="72" spans="1:12" ht="18.75" hidden="1">
      <c r="A72" s="71" t="s">
        <v>127</v>
      </c>
      <c r="B72" s="1" t="s">
        <v>20</v>
      </c>
      <c r="D72" s="122" t="str">
        <f>""&amp;C71&amp;"x"&amp;D71&amp;"="</f>
        <v>0.986x3.51=</v>
      </c>
      <c r="E72" s="122"/>
      <c r="F72" s="123"/>
      <c r="G72" s="123"/>
      <c r="H72" s="70">
        <f>ROUND(C71*D71,3)</f>
        <v>3.4609999999999999</v>
      </c>
      <c r="I72" s="1" t="s">
        <v>9</v>
      </c>
      <c r="J72" s="4"/>
      <c r="K72" s="4"/>
    </row>
    <row r="73" spans="1:12" ht="18.75" hidden="1">
      <c r="A73" s="71" t="s">
        <v>122</v>
      </c>
      <c r="B73" s="1" t="s">
        <v>21</v>
      </c>
      <c r="D73" s="122" t="str">
        <f>""&amp;E71&amp;"x"&amp;D71&amp;"x"&amp;C55&amp;"="</f>
        <v>2.34x3.51x0.1=</v>
      </c>
      <c r="E73" s="124"/>
      <c r="F73" s="124"/>
      <c r="G73" s="124"/>
      <c r="H73" s="70">
        <f>ROUND(E71*D71*C55,3)</f>
        <v>0.82099999999999995</v>
      </c>
      <c r="I73" s="1" t="s">
        <v>9</v>
      </c>
      <c r="J73" s="4"/>
      <c r="K73" s="4"/>
    </row>
    <row r="74" spans="1:12" ht="18.75" hidden="1">
      <c r="A74" s="71" t="s">
        <v>117</v>
      </c>
      <c r="B74" s="1" t="s">
        <v>22</v>
      </c>
      <c r="D74" s="118" t="str">
        <f>""&amp;F71&amp;"x"&amp;D71&amp;"x2="</f>
        <v>0.44x3.51x2=</v>
      </c>
      <c r="E74" s="118"/>
      <c r="F74" s="118"/>
      <c r="G74" s="118"/>
      <c r="H74" s="70">
        <f>ROUND(F71*2*D71,3)</f>
        <v>3.089</v>
      </c>
      <c r="I74" s="1" t="s">
        <v>10</v>
      </c>
      <c r="J74" s="4"/>
    </row>
    <row r="75" spans="1:12" ht="15.75" hidden="1">
      <c r="B75" s="1"/>
      <c r="C75" s="1"/>
      <c r="D75" s="1"/>
      <c r="E75" s="1"/>
      <c r="F75" s="42"/>
      <c r="G75" s="42"/>
      <c r="H75" s="14"/>
      <c r="I75" s="1"/>
      <c r="J75" s="4"/>
      <c r="K75" s="4"/>
      <c r="L75" s="4"/>
    </row>
    <row r="76" spans="1:12" s="20" customFormat="1" ht="15.75" hidden="1">
      <c r="A76" s="81"/>
      <c r="B76" s="27" t="s">
        <v>87</v>
      </c>
      <c r="C76" s="1"/>
      <c r="D76" s="1"/>
      <c r="E76" s="1"/>
      <c r="F76" s="1"/>
      <c r="G76" s="1"/>
      <c r="H76" s="14"/>
      <c r="I76" s="1"/>
      <c r="J76" s="4"/>
      <c r="K76" s="4"/>
      <c r="L76" s="4"/>
    </row>
    <row r="77" spans="1:12" s="20" customFormat="1" ht="15.75" hidden="1">
      <c r="A77" s="81"/>
      <c r="B77" s="1" t="s">
        <v>23</v>
      </c>
      <c r="C77" s="1"/>
      <c r="D77" s="1"/>
      <c r="E77" s="1"/>
      <c r="F77" s="1"/>
      <c r="G77" s="1"/>
      <c r="H77" s="14"/>
      <c r="I77" s="1"/>
      <c r="J77" s="4"/>
      <c r="K77" s="4"/>
      <c r="L77" s="15"/>
    </row>
    <row r="78" spans="1:12" s="20" customFormat="1" ht="15.75" hidden="1">
      <c r="A78" s="81"/>
      <c r="B78" s="29" t="s">
        <v>75</v>
      </c>
      <c r="C78" s="29" t="s">
        <v>76</v>
      </c>
      <c r="D78" s="29" t="s">
        <v>24</v>
      </c>
      <c r="E78" s="29" t="s">
        <v>19</v>
      </c>
      <c r="F78" s="29" t="s">
        <v>25</v>
      </c>
      <c r="G78" s="42"/>
      <c r="H78" s="14"/>
      <c r="I78" s="1"/>
      <c r="J78" s="4"/>
      <c r="K78" s="4"/>
      <c r="L78" s="4"/>
    </row>
    <row r="79" spans="1:12" s="20" customFormat="1" ht="15.75" hidden="1">
      <c r="A79" s="71" t="s">
        <v>128</v>
      </c>
      <c r="B79" s="48">
        <v>67.02</v>
      </c>
      <c r="C79" s="48">
        <v>0</v>
      </c>
      <c r="D79" s="29">
        <f>ROUND(PI()*(C5+E7),3)</f>
        <v>10.304</v>
      </c>
      <c r="E79" s="29">
        <v>0.72</v>
      </c>
      <c r="F79" s="48">
        <v>6</v>
      </c>
      <c r="G79" s="43"/>
      <c r="H79" s="83">
        <f>+F79</f>
        <v>6</v>
      </c>
      <c r="I79" s="1"/>
      <c r="J79" s="4"/>
      <c r="K79" s="4"/>
      <c r="L79" s="4"/>
    </row>
    <row r="80" spans="1:12" s="20" customFormat="1" ht="15.75" hidden="1">
      <c r="A80" s="71" t="s">
        <v>119</v>
      </c>
      <c r="B80" s="1" t="s">
        <v>107</v>
      </c>
      <c r="C80" s="1"/>
      <c r="F80" s="125" t="str">
        <f>""&amp;B79&amp;"x"&amp;F79&amp;"="</f>
        <v>67.02x6=</v>
      </c>
      <c r="G80" s="122"/>
      <c r="H80" s="70">
        <f>B79*F79</f>
        <v>402.12</v>
      </c>
      <c r="I80" s="1" t="s">
        <v>26</v>
      </c>
      <c r="J80" s="4"/>
    </row>
    <row r="81" spans="1:12" ht="18.75" hidden="1">
      <c r="A81" s="71" t="s">
        <v>118</v>
      </c>
      <c r="B81" s="1" t="s">
        <v>108</v>
      </c>
      <c r="C81" s="1"/>
      <c r="F81" s="118" t="str">
        <f>""&amp;D79&amp;"x"&amp;F79&amp;"="</f>
        <v>10.304x6=</v>
      </c>
      <c r="G81" s="118"/>
      <c r="H81" s="70">
        <f>D79*F79</f>
        <v>61.823999999999998</v>
      </c>
      <c r="I81" s="1" t="s">
        <v>10</v>
      </c>
      <c r="J81" s="4"/>
    </row>
    <row r="82" spans="1:12" s="20" customFormat="1" ht="18.75" hidden="1">
      <c r="A82" s="71" t="s">
        <v>126</v>
      </c>
      <c r="B82" s="1" t="s">
        <v>109</v>
      </c>
      <c r="C82" s="1"/>
      <c r="F82" s="1"/>
      <c r="G82" s="1" t="str">
        <f>""&amp;E79&amp;"x"&amp;F79&amp;"="</f>
        <v>0.72x6=</v>
      </c>
      <c r="H82" s="70">
        <f>E79*F79</f>
        <v>4.32</v>
      </c>
      <c r="I82" s="1" t="s">
        <v>9</v>
      </c>
      <c r="J82" s="4"/>
    </row>
    <row r="83" spans="1:12" s="20" customFormat="1" ht="18.75" hidden="1">
      <c r="A83" s="71" t="s">
        <v>121</v>
      </c>
      <c r="B83" s="1" t="s">
        <v>114</v>
      </c>
      <c r="C83" s="1"/>
      <c r="F83" s="1"/>
      <c r="G83" s="1" t="str">
        <f>"3.14159x"&amp;m&amp;"x"&amp;F79&amp;"="</f>
        <v>3.14159x1.78x6=</v>
      </c>
      <c r="H83" s="70">
        <f>+PI()*m*F79</f>
        <v>33.552209540338993</v>
      </c>
      <c r="I83" s="1" t="s">
        <v>10</v>
      </c>
      <c r="J83" s="4"/>
    </row>
    <row r="84" spans="1:12" s="20" customFormat="1" ht="15.75" hidden="1">
      <c r="A84" s="81"/>
      <c r="B84" s="27" t="s">
        <v>102</v>
      </c>
      <c r="C84" s="1"/>
      <c r="D84" s="1"/>
      <c r="E84" s="1"/>
      <c r="F84" s="1"/>
      <c r="G84" s="1"/>
      <c r="H84" s="14"/>
      <c r="I84" s="2"/>
      <c r="J84" s="9"/>
    </row>
    <row r="85" spans="1:12" s="20" customFormat="1" ht="15.75" hidden="1">
      <c r="A85" s="81"/>
      <c r="B85" s="59" t="s">
        <v>54</v>
      </c>
      <c r="C85" s="29" t="s">
        <v>11</v>
      </c>
      <c r="D85" s="29" t="s">
        <v>104</v>
      </c>
      <c r="E85" s="29" t="s">
        <v>14</v>
      </c>
      <c r="F85" s="54"/>
      <c r="G85" s="1"/>
      <c r="H85" s="14"/>
      <c r="I85" s="2"/>
      <c r="J85" s="9"/>
      <c r="K85" s="9"/>
      <c r="L85" s="4"/>
    </row>
    <row r="86" spans="1:12" s="20" customFormat="1" ht="15.75" hidden="1">
      <c r="A86" s="81"/>
      <c r="B86" s="38" t="s">
        <v>103</v>
      </c>
      <c r="C86" s="48">
        <v>1</v>
      </c>
      <c r="D86" s="48">
        <v>6.92</v>
      </c>
      <c r="E86" s="48">
        <v>0.25</v>
      </c>
      <c r="F86" s="54"/>
      <c r="G86" s="1"/>
      <c r="H86" s="14"/>
      <c r="I86" s="2"/>
      <c r="J86" s="9"/>
      <c r="K86" s="9"/>
      <c r="L86" s="4"/>
    </row>
    <row r="87" spans="1:12" s="20" customFormat="1" ht="15.75" hidden="1">
      <c r="A87" s="81"/>
      <c r="B87" s="38" t="s">
        <v>13</v>
      </c>
      <c r="C87" s="48">
        <v>0</v>
      </c>
      <c r="D87" s="41">
        <f>+D86*0</f>
        <v>0</v>
      </c>
      <c r="E87" s="48">
        <v>0</v>
      </c>
      <c r="F87" s="54"/>
      <c r="G87" s="1"/>
      <c r="H87" s="14"/>
      <c r="I87" s="2"/>
      <c r="J87" s="9"/>
      <c r="K87" s="9"/>
      <c r="L87" s="4"/>
    </row>
    <row r="88" spans="1:12" s="20" customFormat="1" ht="20.25" hidden="1">
      <c r="A88" s="71" t="s">
        <v>124</v>
      </c>
      <c r="B88" s="1" t="s">
        <v>150</v>
      </c>
      <c r="D88" s="118" t="str">
        <f>"("&amp;C86&amp;"x"&amp;D86&amp;"x"&amp;E86&amp;")+("&amp;C87&amp;"x"&amp;D87&amp;"x"&amp;E87&amp;")="</f>
        <v>(1x6.92x0.25)+(0x0x0)=</v>
      </c>
      <c r="E88" s="118"/>
      <c r="F88" s="118"/>
      <c r="G88" s="122"/>
      <c r="H88" s="70">
        <f>+ROUND((C86*D86*E86)+(C87*D87*E87),3)</f>
        <v>1.73</v>
      </c>
      <c r="I88" s="1" t="s">
        <v>9</v>
      </c>
      <c r="J88" s="9"/>
      <c r="K88" s="9"/>
    </row>
    <row r="89" spans="1:12" s="20" customFormat="1" ht="20.25" hidden="1">
      <c r="A89" s="71" t="s">
        <v>117</v>
      </c>
      <c r="B89" s="1" t="s">
        <v>96</v>
      </c>
      <c r="D89" s="118" t="str">
        <f>"("&amp;E86&amp;"x"&amp;C86&amp;"x2)+("&amp;C87&amp;"x"&amp;E87&amp;"x2)+("&amp;C87&amp;"x"&amp;D87&amp;"x2)="</f>
        <v>(0.25x1x2)+(0x0x2)+(0x0x2)=</v>
      </c>
      <c r="E89" s="118"/>
      <c r="F89" s="118"/>
      <c r="G89" s="122"/>
      <c r="H89" s="73">
        <f>+ROUND((E86*C86*2)+(E87*C87*2)+(C87*D87*2),3)</f>
        <v>0.5</v>
      </c>
      <c r="I89" s="1" t="s">
        <v>10</v>
      </c>
      <c r="J89" s="9"/>
      <c r="K89" s="9"/>
    </row>
    <row r="90" spans="1:12" s="20" customFormat="1" ht="20.25" hidden="1">
      <c r="A90" s="71" t="s">
        <v>122</v>
      </c>
      <c r="B90" s="1" t="s">
        <v>97</v>
      </c>
      <c r="D90" s="1"/>
      <c r="E90" s="118" t="str">
        <f>""&amp;D86&amp;"x"&amp;C86&amp;"x"&amp;C55&amp;"="</f>
        <v>6.92x1x0.1=</v>
      </c>
      <c r="F90" s="118"/>
      <c r="G90" s="118"/>
      <c r="H90" s="70">
        <f>+ROUND(C86*D86*C55,3)</f>
        <v>0.69199999999999995</v>
      </c>
      <c r="I90" s="1" t="s">
        <v>9</v>
      </c>
      <c r="J90" s="9"/>
      <c r="K90" s="9"/>
    </row>
    <row r="91" spans="1:12" s="61" customFormat="1" ht="15.75" hidden="1">
      <c r="A91" s="80"/>
      <c r="B91" s="59" t="s">
        <v>56</v>
      </c>
      <c r="C91" s="29" t="s">
        <v>11</v>
      </c>
      <c r="D91" s="29" t="s">
        <v>104</v>
      </c>
      <c r="E91" s="29" t="s">
        <v>14</v>
      </c>
      <c r="F91" s="54"/>
      <c r="G91" s="1"/>
      <c r="H91" s="14"/>
      <c r="I91" s="7"/>
      <c r="J91" s="9"/>
      <c r="K91" s="9"/>
      <c r="L91" s="9"/>
    </row>
    <row r="92" spans="1:12" s="61" customFormat="1" ht="15.75" hidden="1">
      <c r="A92" s="80"/>
      <c r="B92" s="38" t="s">
        <v>103</v>
      </c>
      <c r="C92" s="48">
        <v>1.7</v>
      </c>
      <c r="D92" s="48">
        <v>7.28</v>
      </c>
      <c r="E92" s="48">
        <v>0.25</v>
      </c>
      <c r="F92" s="54"/>
      <c r="G92" s="1"/>
      <c r="H92" s="14"/>
      <c r="I92" s="7"/>
      <c r="J92" s="9"/>
      <c r="K92" s="9"/>
      <c r="L92" s="9"/>
    </row>
    <row r="93" spans="1:12" s="61" customFormat="1" ht="15.75" hidden="1">
      <c r="A93" s="80"/>
      <c r="B93" s="38" t="s">
        <v>13</v>
      </c>
      <c r="C93" s="48">
        <v>0.5</v>
      </c>
      <c r="D93" s="41">
        <f>+D92</f>
        <v>7.28</v>
      </c>
      <c r="E93" s="48">
        <v>0.3</v>
      </c>
      <c r="F93" s="54"/>
      <c r="G93" s="1"/>
      <c r="H93" s="14"/>
      <c r="I93" s="7"/>
      <c r="J93" s="9"/>
      <c r="K93" s="9"/>
      <c r="L93" s="9"/>
    </row>
    <row r="94" spans="1:12" s="61" customFormat="1" ht="20.25" hidden="1">
      <c r="A94" s="80" t="s">
        <v>124</v>
      </c>
      <c r="B94" s="1" t="s">
        <v>151</v>
      </c>
      <c r="D94" s="1"/>
      <c r="E94" s="118" t="str">
        <f>"("&amp;C92&amp;"x"&amp;D92&amp;"x"&amp;E92&amp;")+("&amp;C93&amp;"x"&amp;D93&amp;"x"&amp;E93&amp;")="</f>
        <v>(1.7x7.28x0.25)+(0.5x7.28x0.3)=</v>
      </c>
      <c r="F94" s="118"/>
      <c r="G94" s="118"/>
      <c r="H94" s="70">
        <f>+ROUND((C92*D92*E92)+(C93*D93*E93),3)</f>
        <v>4.1859999999999999</v>
      </c>
      <c r="I94" s="1" t="s">
        <v>9</v>
      </c>
      <c r="J94" s="9"/>
      <c r="K94" s="9"/>
    </row>
    <row r="95" spans="1:12" s="61" customFormat="1" ht="20.25" hidden="1">
      <c r="A95" s="80" t="s">
        <v>117</v>
      </c>
      <c r="B95" s="1" t="s">
        <v>111</v>
      </c>
      <c r="D95" s="118" t="str">
        <f>"("&amp;E92&amp;"x"&amp;C92&amp;"x2)+("&amp;C93&amp;"x"&amp;E93&amp;"x2)+("&amp;C93&amp;"x"&amp;D93&amp;"x2)="</f>
        <v>(0.25x1.7x2)+(0.5x0.3x2)+(0.5x7.28x2)=</v>
      </c>
      <c r="E95" s="118"/>
      <c r="F95" s="118"/>
      <c r="G95" s="122"/>
      <c r="H95" s="73">
        <f>+ROUND((E92*C92*2)+(E93*C93*2)+(C93*D93*2),3)</f>
        <v>8.43</v>
      </c>
      <c r="I95" s="1" t="s">
        <v>10</v>
      </c>
      <c r="J95" s="9"/>
      <c r="K95" s="9"/>
    </row>
    <row r="96" spans="1:12" s="20" customFormat="1" ht="20.25" hidden="1">
      <c r="A96" s="71" t="s">
        <v>122</v>
      </c>
      <c r="B96" s="1" t="s">
        <v>112</v>
      </c>
      <c r="D96" s="1"/>
      <c r="E96" s="118" t="str">
        <f>""&amp;D92&amp;"x"&amp;C92&amp;"x"&amp;C55&amp;"="</f>
        <v>7.28x1.7x0.1=</v>
      </c>
      <c r="F96" s="126"/>
      <c r="G96" s="127"/>
      <c r="H96" s="70">
        <f>+ROUND(C92*D92*C55,3)</f>
        <v>1.238</v>
      </c>
      <c r="I96" s="1" t="s">
        <v>9</v>
      </c>
      <c r="J96" s="9"/>
    </row>
    <row r="97" spans="1:14" s="20" customFormat="1" ht="15.75" hidden="1">
      <c r="A97" s="81"/>
      <c r="B97" s="1"/>
      <c r="C97" s="1"/>
      <c r="D97" s="1"/>
      <c r="E97" s="1"/>
      <c r="F97" s="2"/>
      <c r="G97" s="2"/>
      <c r="H97" s="7"/>
      <c r="I97" s="2"/>
      <c r="J97" s="9"/>
      <c r="K97" s="9"/>
      <c r="L97" s="4"/>
    </row>
    <row r="98" spans="1:14" s="20" customFormat="1" ht="15.75" hidden="1">
      <c r="A98" s="81"/>
      <c r="B98" s="27" t="s">
        <v>110</v>
      </c>
      <c r="C98" s="1"/>
      <c r="D98" s="1"/>
      <c r="E98" s="1"/>
      <c r="F98" s="1"/>
      <c r="G98" s="1"/>
      <c r="H98" s="14"/>
      <c r="I98" s="1"/>
      <c r="J98" s="4"/>
      <c r="K98" s="57"/>
      <c r="L98" s="4"/>
    </row>
    <row r="99" spans="1:14" s="20" customFormat="1" ht="15.75" hidden="1">
      <c r="A99" s="81"/>
      <c r="B99" s="40" t="s">
        <v>77</v>
      </c>
      <c r="C99" s="29" t="s">
        <v>59</v>
      </c>
      <c r="D99" s="29" t="s">
        <v>78</v>
      </c>
      <c r="E99" s="29" t="s">
        <v>11</v>
      </c>
      <c r="F99" s="29" t="s">
        <v>79</v>
      </c>
      <c r="G99" s="50" t="s">
        <v>40</v>
      </c>
      <c r="H99" s="14"/>
      <c r="I99" s="1"/>
      <c r="J99" s="4"/>
      <c r="K99" s="4"/>
      <c r="L99" s="4"/>
    </row>
    <row r="100" spans="1:14" ht="15.75" hidden="1">
      <c r="B100" s="29" t="s">
        <v>60</v>
      </c>
      <c r="C100" s="48">
        <v>4</v>
      </c>
      <c r="D100" s="41">
        <f>D86</f>
        <v>6.92</v>
      </c>
      <c r="E100" s="48">
        <f>0.26+3.16+0.5</f>
        <v>3.92</v>
      </c>
      <c r="F100" s="29">
        <f>C100/2+D100/2</f>
        <v>5.46</v>
      </c>
      <c r="G100" s="50">
        <v>0.25</v>
      </c>
      <c r="H100" s="14"/>
      <c r="I100" s="1"/>
      <c r="J100" s="4"/>
      <c r="K100" s="4"/>
      <c r="L100" s="4"/>
    </row>
    <row r="101" spans="1:14" ht="15.75" hidden="1">
      <c r="B101" s="29" t="s">
        <v>80</v>
      </c>
      <c r="C101" s="29">
        <f>D25</f>
        <v>2.1</v>
      </c>
      <c r="D101" s="29">
        <f>D40</f>
        <v>4.92</v>
      </c>
      <c r="E101" s="48">
        <v>3.16</v>
      </c>
      <c r="F101" s="29">
        <f>C101/2+D101/2</f>
        <v>3.51</v>
      </c>
      <c r="G101" s="34"/>
      <c r="H101" s="14"/>
      <c r="I101" s="1"/>
      <c r="J101" s="4"/>
      <c r="K101" s="4"/>
      <c r="L101" s="44"/>
    </row>
    <row r="102" spans="1:14" ht="20.25" hidden="1">
      <c r="A102" s="71" t="s">
        <v>125</v>
      </c>
      <c r="B102" s="1" t="s">
        <v>55</v>
      </c>
      <c r="C102" s="128" t="str">
        <f>"((("&amp;$C$100&amp;"+"&amp;$D$100&amp;")/2x"&amp;$E$100&amp;") - (("&amp;$C$101&amp;"+"&amp;$D$101&amp;")/2x"&amp;$E$101&amp;"))x"&amp;G100&amp;"="</f>
        <v>(((4+6.92)/2x3.92) - ((2.1+4.92)/2x3.16))x0.25=</v>
      </c>
      <c r="D102" s="128"/>
      <c r="E102" s="128"/>
      <c r="F102" s="128"/>
      <c r="G102" s="128"/>
      <c r="H102" s="74">
        <f>ROUND(((C100+D100)/2*E100-(C101+D101)/2*E101)*0.25,3)</f>
        <v>2.5779999999999998</v>
      </c>
      <c r="I102" s="1" t="s">
        <v>9</v>
      </c>
      <c r="J102" s="4"/>
    </row>
    <row r="103" spans="1:14" ht="20.25" hidden="1">
      <c r="A103" s="71" t="s">
        <v>122</v>
      </c>
      <c r="B103" s="1" t="s">
        <v>81</v>
      </c>
      <c r="C103" s="129" t="str">
        <f>"((("&amp;F100&amp;"+0.1x2)x"&amp;E100&amp;")-(("&amp;F101&amp;"+2x0.1)x"&amp;E101&amp;"))x0.1="</f>
        <v>(((5.46+0.1x2)x3.92)-((3.51+2x0.1)x3.16))x0.1=</v>
      </c>
      <c r="D103" s="129"/>
      <c r="E103" s="129"/>
      <c r="F103" s="129"/>
      <c r="G103" s="129"/>
      <c r="H103" s="70">
        <f>ROUND((F100+2*0.1)*E100*0.1-(F101+2*0.1)*E101*0.1,3)</f>
        <v>1.046</v>
      </c>
      <c r="I103" s="1" t="s">
        <v>9</v>
      </c>
      <c r="J103" s="4"/>
    </row>
    <row r="104" spans="1:14" ht="15.75" hidden="1">
      <c r="B104" s="40" t="s">
        <v>82</v>
      </c>
      <c r="C104" s="29" t="s">
        <v>59</v>
      </c>
      <c r="D104" s="29" t="s">
        <v>78</v>
      </c>
      <c r="E104" s="29" t="s">
        <v>11</v>
      </c>
      <c r="F104" s="29" t="s">
        <v>79</v>
      </c>
      <c r="G104" s="50" t="s">
        <v>40</v>
      </c>
      <c r="H104" s="14"/>
      <c r="I104" s="1"/>
      <c r="J104" s="4"/>
      <c r="K104" s="4"/>
      <c r="L104" s="4"/>
    </row>
    <row r="105" spans="1:14" ht="15.75" hidden="1">
      <c r="B105" s="29" t="s">
        <v>60</v>
      </c>
      <c r="C105" s="48">
        <v>4</v>
      </c>
      <c r="D105" s="41">
        <f>D92</f>
        <v>7.28</v>
      </c>
      <c r="E105" s="48">
        <f>0.77+3.56+0.5</f>
        <v>4.83</v>
      </c>
      <c r="F105" s="29">
        <f>C105/2+D105/2</f>
        <v>5.6400000000000006</v>
      </c>
      <c r="G105" s="50">
        <v>0.25</v>
      </c>
      <c r="H105" s="14"/>
      <c r="I105" s="1"/>
      <c r="J105" s="4"/>
      <c r="K105" s="4"/>
      <c r="L105" s="4"/>
    </row>
    <row r="106" spans="1:14" ht="15.75" hidden="1">
      <c r="B106" s="29" t="s">
        <v>80</v>
      </c>
      <c r="C106" s="29">
        <f>C101</f>
        <v>2.1</v>
      </c>
      <c r="D106" s="29">
        <f>D50</f>
        <v>5.28</v>
      </c>
      <c r="E106" s="48">
        <v>3.56</v>
      </c>
      <c r="F106" s="29">
        <f>C106/2+D106/2</f>
        <v>3.6900000000000004</v>
      </c>
      <c r="G106" s="34"/>
      <c r="H106" s="14"/>
      <c r="I106" s="1"/>
      <c r="J106" s="4"/>
      <c r="K106" s="4"/>
      <c r="L106" s="4"/>
      <c r="M106" s="12"/>
      <c r="N106" s="12"/>
    </row>
    <row r="107" spans="1:14" ht="18.75" hidden="1">
      <c r="B107" s="14" t="s">
        <v>57</v>
      </c>
      <c r="C107" s="14"/>
      <c r="D107" s="14"/>
      <c r="E107" s="14"/>
      <c r="F107" s="14"/>
      <c r="G107" s="14"/>
      <c r="H107" s="14"/>
      <c r="I107" s="14"/>
      <c r="J107" s="15"/>
      <c r="K107" s="4"/>
      <c r="L107" s="4"/>
    </row>
    <row r="108" spans="1:14" ht="18.75" hidden="1">
      <c r="A108" s="71" t="s">
        <v>125</v>
      </c>
      <c r="C108" s="118" t="str">
        <f>"((("&amp;C105&amp;"+"&amp;D105&amp;")/2x"&amp;E105&amp;") - (("&amp;C106&amp;"+"&amp;D106&amp;")/2x"&amp;E106&amp;"))x"&amp;G105&amp;"="</f>
        <v>(((4+7.28)/2x4.83) - ((2.1+5.28)/2x3.56))x0.25=</v>
      </c>
      <c r="D108" s="118"/>
      <c r="E108" s="118"/>
      <c r="F108" s="118"/>
      <c r="G108" s="122"/>
      <c r="H108" s="74">
        <f>ROUND(((C105+D105)/2*E105-(C106+D106)/2*E106)*G105,3)</f>
        <v>3.5259999999999998</v>
      </c>
      <c r="I108" s="1" t="s">
        <v>9</v>
      </c>
      <c r="J108" s="15"/>
      <c r="K108" s="4"/>
    </row>
    <row r="109" spans="1:14" ht="18.75" hidden="1">
      <c r="A109" s="71"/>
      <c r="B109" s="1" t="s">
        <v>83</v>
      </c>
      <c r="C109" s="1"/>
      <c r="D109" s="1"/>
      <c r="E109" s="1"/>
      <c r="F109" s="1"/>
      <c r="G109" s="1"/>
      <c r="H109" s="14"/>
      <c r="I109" s="67"/>
      <c r="K109" s="4"/>
      <c r="L109" s="84"/>
    </row>
    <row r="110" spans="1:14" ht="18.75" hidden="1">
      <c r="A110" s="71" t="s">
        <v>122</v>
      </c>
      <c r="C110" s="118" t="str">
        <f>"((("&amp;C105&amp;"+"&amp;D105&amp;")/2x"&amp;E105&amp;")-(("&amp;C106&amp;"+"&amp;D106&amp;")/2x"&amp;E106&amp;"))x0.1="</f>
        <v>(((4+7.28)/2x4.83)-((2.1+5.28)/2x3.56))x0.1=</v>
      </c>
      <c r="D110" s="123"/>
      <c r="E110" s="123"/>
      <c r="F110" s="123"/>
      <c r="G110" s="123"/>
      <c r="H110" s="70">
        <f>ROUND(((F105*E105)-(F106*E106))*0.1,3)</f>
        <v>1.41</v>
      </c>
      <c r="I110" s="1" t="s">
        <v>9</v>
      </c>
      <c r="J110" s="4"/>
      <c r="K110" s="4"/>
    </row>
    <row r="111" spans="1:14" ht="15.75" hidden="1">
      <c r="B111" s="1" t="s">
        <v>140</v>
      </c>
      <c r="C111" s="24"/>
      <c r="D111" s="53"/>
      <c r="E111" s="53"/>
      <c r="F111" s="53"/>
      <c r="G111" s="53"/>
      <c r="H111" s="62"/>
      <c r="I111" s="1"/>
      <c r="J111" s="4"/>
      <c r="K111" s="4"/>
    </row>
    <row r="112" spans="1:14" s="4" customFormat="1" ht="15.75" hidden="1">
      <c r="A112" s="15"/>
      <c r="B112" s="37" t="s">
        <v>77</v>
      </c>
      <c r="C112" s="30" t="s">
        <v>40</v>
      </c>
      <c r="D112" s="30" t="s">
        <v>141</v>
      </c>
      <c r="E112" s="30" t="s">
        <v>11</v>
      </c>
      <c r="F112" s="90"/>
      <c r="G112" s="90"/>
      <c r="H112" s="62"/>
      <c r="I112" s="1"/>
    </row>
    <row r="113" spans="1:12" s="4" customFormat="1" ht="15.75" hidden="1">
      <c r="A113" s="15"/>
      <c r="B113" s="30"/>
      <c r="C113" s="30">
        <v>0.3</v>
      </c>
      <c r="D113" s="30">
        <v>0.8</v>
      </c>
      <c r="E113" s="30">
        <v>2</v>
      </c>
      <c r="F113" s="90"/>
      <c r="G113" s="90"/>
      <c r="H113" s="62"/>
      <c r="I113" s="1"/>
    </row>
    <row r="114" spans="1:12" s="4" customFormat="1" ht="20.25" hidden="1">
      <c r="A114" s="15" t="s">
        <v>142</v>
      </c>
      <c r="B114" s="14" t="s">
        <v>143</v>
      </c>
      <c r="C114" s="24"/>
      <c r="D114" s="90"/>
      <c r="E114" s="114" t="str">
        <f>""&amp;C113&amp;"x"&amp;D113&amp;"x"&amp;E113&amp;"="</f>
        <v>0.3x0.8x2=</v>
      </c>
      <c r="F114" s="114"/>
      <c r="G114" s="114"/>
      <c r="H114" s="70">
        <f>+C113*D113*E113</f>
        <v>0.48</v>
      </c>
      <c r="I114" s="1" t="s">
        <v>9</v>
      </c>
    </row>
    <row r="115" spans="1:12" s="4" customFormat="1" ht="20.25" hidden="1">
      <c r="A115" s="71" t="s">
        <v>122</v>
      </c>
      <c r="B115" s="1" t="s">
        <v>144</v>
      </c>
      <c r="C115" s="24"/>
      <c r="D115" s="90"/>
      <c r="E115" s="114" t="str">
        <f>""&amp;C113&amp;"x"&amp;E113&amp;"x0,1="</f>
        <v>0.3x2x0,1=</v>
      </c>
      <c r="F115" s="114"/>
      <c r="G115" s="114"/>
      <c r="H115" s="70">
        <f>+C113*E113*0.1</f>
        <v>0.06</v>
      </c>
      <c r="I115" s="1" t="s">
        <v>9</v>
      </c>
    </row>
    <row r="116" spans="1:12" s="4" customFormat="1" ht="15.75" hidden="1">
      <c r="A116" s="15"/>
      <c r="B116" s="37" t="s">
        <v>82</v>
      </c>
      <c r="C116" s="30" t="s">
        <v>40</v>
      </c>
      <c r="D116" s="30" t="s">
        <v>141</v>
      </c>
      <c r="E116" s="30" t="s">
        <v>11</v>
      </c>
      <c r="F116" s="90"/>
      <c r="G116" s="90"/>
      <c r="H116" s="62"/>
      <c r="I116" s="1"/>
    </row>
    <row r="117" spans="1:12" s="4" customFormat="1" ht="15.75" hidden="1">
      <c r="A117" s="15"/>
      <c r="B117" s="30"/>
      <c r="C117" s="30">
        <v>0.3</v>
      </c>
      <c r="D117" s="30">
        <v>0.8</v>
      </c>
      <c r="E117" s="30">
        <v>2</v>
      </c>
      <c r="F117" s="90"/>
      <c r="G117" s="90"/>
      <c r="H117" s="62"/>
      <c r="I117" s="1"/>
    </row>
    <row r="118" spans="1:12" s="4" customFormat="1" ht="20.25" hidden="1">
      <c r="A118" s="15" t="s">
        <v>142</v>
      </c>
      <c r="B118" s="14" t="s">
        <v>143</v>
      </c>
      <c r="C118" s="24"/>
      <c r="D118" s="90"/>
      <c r="E118" s="114" t="str">
        <f>""&amp;C117&amp;"x"&amp;D117&amp;"x"&amp;E117&amp;"="</f>
        <v>0.3x0.8x2=</v>
      </c>
      <c r="F118" s="114"/>
      <c r="G118" s="114"/>
      <c r="H118" s="70">
        <f>+C117*D117*E117</f>
        <v>0.48</v>
      </c>
      <c r="I118" s="1" t="s">
        <v>9</v>
      </c>
    </row>
    <row r="119" spans="1:12" s="4" customFormat="1" ht="20.25" hidden="1">
      <c r="A119" s="71" t="s">
        <v>122</v>
      </c>
      <c r="B119" s="1" t="s">
        <v>144</v>
      </c>
      <c r="C119" s="24"/>
      <c r="D119" s="90"/>
      <c r="E119" s="114" t="str">
        <f>""&amp;C117&amp;"x"&amp;E117&amp;"x0,1="</f>
        <v>0.3x2x0,1=</v>
      </c>
      <c r="F119" s="114"/>
      <c r="G119" s="114"/>
      <c r="H119" s="70">
        <f>+C117*E117*0.1</f>
        <v>0.06</v>
      </c>
      <c r="I119" s="1" t="s">
        <v>9</v>
      </c>
    </row>
    <row r="120" spans="1:12" ht="15.75" hidden="1">
      <c r="B120" s="27" t="s">
        <v>88</v>
      </c>
      <c r="C120" s="1"/>
      <c r="D120" s="1"/>
      <c r="E120" s="1"/>
      <c r="F120" s="1"/>
      <c r="G120" s="1"/>
      <c r="H120" s="14"/>
      <c r="I120" s="1"/>
      <c r="J120" s="4"/>
      <c r="K120" s="4"/>
      <c r="L120" s="4"/>
    </row>
    <row r="121" spans="1:12" ht="15.75" hidden="1">
      <c r="B121" s="1" t="s">
        <v>30</v>
      </c>
      <c r="C121" s="113" t="s">
        <v>77</v>
      </c>
      <c r="D121" s="29">
        <v>1</v>
      </c>
      <c r="E121" s="29" t="s">
        <v>94</v>
      </c>
      <c r="F121" s="29" t="s">
        <v>31</v>
      </c>
      <c r="G121" s="30" t="s">
        <v>32</v>
      </c>
      <c r="H121" s="14"/>
      <c r="I121" s="1"/>
    </row>
    <row r="122" spans="1:12" ht="15.75" hidden="1">
      <c r="B122" s="1"/>
      <c r="C122" s="113"/>
      <c r="D122" s="87">
        <v>0</v>
      </c>
      <c r="E122" s="48">
        <v>11.6</v>
      </c>
      <c r="F122" s="48">
        <v>2.4239999999999999</v>
      </c>
      <c r="G122" s="48">
        <v>3.3919999999999999</v>
      </c>
      <c r="H122" s="14"/>
      <c r="I122" s="1"/>
    </row>
    <row r="123" spans="1:12" ht="15.75" hidden="1">
      <c r="B123" s="1" t="s">
        <v>33</v>
      </c>
      <c r="C123" s="113"/>
      <c r="D123" s="48">
        <v>0</v>
      </c>
      <c r="E123" s="48">
        <v>2.0699999999999998</v>
      </c>
      <c r="F123" s="48">
        <v>4.82</v>
      </c>
      <c r="G123" s="48">
        <v>7.57</v>
      </c>
      <c r="H123" s="14"/>
      <c r="I123" s="1"/>
    </row>
    <row r="124" spans="1:12" ht="15.75" hidden="1">
      <c r="A124" s="71"/>
      <c r="B124" s="1" t="s">
        <v>34</v>
      </c>
      <c r="C124" s="1"/>
      <c r="E124" s="130"/>
      <c r="F124" s="130"/>
      <c r="G124" s="130"/>
      <c r="H124" s="92"/>
      <c r="I124" s="2"/>
    </row>
    <row r="125" spans="1:12" ht="18.75" hidden="1">
      <c r="A125" s="71" t="s">
        <v>130</v>
      </c>
      <c r="B125" s="131" t="str">
        <f>""&amp;D122&amp;"x"&amp;D123&amp;"+("&amp;D122&amp;"+"&amp;E122&amp;")/2x"&amp;E123&amp;"+("&amp;E122&amp;"+"&amp;F122&amp;")/2x"&amp;F123&amp;"+("&amp;F122&amp;"+"&amp;G122&amp;")/2x"&amp;G123&amp;"="</f>
        <v>0x0+(0+11.6)/2x2.07+(11.6+2.424)/2x4.82+(2.424+3.392)/2x7.57=</v>
      </c>
      <c r="C125" s="131"/>
      <c r="D125" s="131"/>
      <c r="E125" s="131"/>
      <c r="F125" s="131"/>
      <c r="G125" s="131"/>
      <c r="H125" s="78">
        <f>ROUND((D122*D123)+((D122+E122)/2*E123)+(E122+F122)/2*F123+(F122+G122)/2*G123,3)</f>
        <v>67.816999999999993</v>
      </c>
      <c r="I125" s="1" t="s">
        <v>9</v>
      </c>
    </row>
    <row r="126" spans="1:12" ht="18.75" hidden="1">
      <c r="A126" s="71" t="s">
        <v>131</v>
      </c>
      <c r="B126" s="1" t="s">
        <v>35</v>
      </c>
      <c r="C126" s="1"/>
      <c r="E126" s="43"/>
      <c r="F126" s="130" t="str">
        <f>"0.333x"&amp;H125&amp;"="</f>
        <v>0.333x67.817=</v>
      </c>
      <c r="G126" s="130"/>
      <c r="H126" s="70">
        <f>ROUND(0.333*H125,3)</f>
        <v>22.582999999999998</v>
      </c>
      <c r="I126" s="1" t="s">
        <v>9</v>
      </c>
    </row>
    <row r="127" spans="1:12" ht="15.75" hidden="1">
      <c r="A127" s="71"/>
      <c r="B127" s="1" t="s">
        <v>30</v>
      </c>
      <c r="C127" s="113" t="s">
        <v>82</v>
      </c>
      <c r="D127" s="29" t="s">
        <v>31</v>
      </c>
      <c r="E127" s="29" t="s">
        <v>32</v>
      </c>
      <c r="F127" s="29" t="s">
        <v>94</v>
      </c>
      <c r="G127" s="30" t="s">
        <v>146</v>
      </c>
      <c r="H127" s="14"/>
      <c r="I127" s="1"/>
    </row>
    <row r="128" spans="1:12" ht="15.75" hidden="1">
      <c r="A128" s="71"/>
      <c r="B128" s="1"/>
      <c r="C128" s="113"/>
      <c r="D128" s="87">
        <v>0</v>
      </c>
      <c r="E128" s="48">
        <v>0</v>
      </c>
      <c r="F128" s="48">
        <v>0</v>
      </c>
      <c r="G128" s="48">
        <v>0</v>
      </c>
      <c r="H128" s="14"/>
      <c r="I128" s="1"/>
    </row>
    <row r="129" spans="1:55" ht="15.75" hidden="1">
      <c r="B129" s="1" t="s">
        <v>33</v>
      </c>
      <c r="C129" s="113"/>
      <c r="D129" s="48">
        <v>0</v>
      </c>
      <c r="E129" s="48">
        <v>1.4</v>
      </c>
      <c r="F129" s="48">
        <v>3.05</v>
      </c>
      <c r="G129" s="48">
        <v>0</v>
      </c>
      <c r="H129" s="14"/>
      <c r="I129" s="1"/>
    </row>
    <row r="130" spans="1:55" ht="15.75" hidden="1">
      <c r="A130" s="71"/>
      <c r="B130" s="1" t="s">
        <v>34</v>
      </c>
      <c r="C130" s="1"/>
      <c r="E130" s="130"/>
      <c r="F130" s="130"/>
      <c r="G130" s="130"/>
      <c r="H130" s="92"/>
      <c r="I130" s="2"/>
    </row>
    <row r="131" spans="1:55" ht="18.75" hidden="1">
      <c r="A131" s="71" t="s">
        <v>130</v>
      </c>
      <c r="B131" s="131" t="str">
        <f>""&amp;D128&amp;"x"&amp;D129&amp;"+("&amp;D128&amp;"+"&amp;E128&amp;")/2x"&amp;E129&amp;"+("&amp;E128&amp;"+"&amp;F128&amp;")/2x"&amp;F129&amp;"+("&amp;F128&amp;"+"&amp;G128&amp;")/2x"&amp;G129&amp;"="</f>
        <v>0x0+(0+0)/2x1.4+(0+0)/2x3.05+(0+0)/2x0=</v>
      </c>
      <c r="C131" s="131"/>
      <c r="D131" s="131"/>
      <c r="E131" s="131"/>
      <c r="F131" s="131"/>
      <c r="G131" s="131"/>
      <c r="H131" s="78">
        <f>ROUND((D128*D129)+((D128+E128)/2*E129)+(E128+F128)/2*F129+(F128+G128)/2*G129,3)</f>
        <v>0</v>
      </c>
      <c r="I131" s="1" t="s">
        <v>9</v>
      </c>
    </row>
    <row r="132" spans="1:55" ht="18.75" hidden="1">
      <c r="A132" s="71" t="s">
        <v>131</v>
      </c>
      <c r="B132" s="1" t="s">
        <v>35</v>
      </c>
      <c r="C132" s="1"/>
      <c r="E132" s="43"/>
      <c r="F132" s="130" t="str">
        <f>"0.333x"&amp;H131&amp;"="</f>
        <v>0.333x0=</v>
      </c>
      <c r="G132" s="130"/>
      <c r="H132" s="70">
        <f>ROUND(0.333*H131,3)</f>
        <v>0</v>
      </c>
      <c r="I132" s="1" t="s">
        <v>9</v>
      </c>
    </row>
    <row r="133" spans="1:55" ht="15.75" hidden="1">
      <c r="B133" s="27"/>
      <c r="C133" s="1"/>
      <c r="D133" s="43"/>
      <c r="E133" s="43"/>
      <c r="F133" s="45"/>
      <c r="G133" s="7"/>
      <c r="H133" s="94">
        <f>SUM(H17:H21)+SUM(H32:H34)+SUM(H39:H126)</f>
        <v>738.10982824286884</v>
      </c>
      <c r="I133" s="1"/>
    </row>
    <row r="134" spans="1:55" ht="15.75" hidden="1">
      <c r="B134" s="27"/>
      <c r="C134" s="1"/>
      <c r="D134" s="43"/>
      <c r="E134" s="43"/>
      <c r="F134" s="45"/>
      <c r="G134" s="7"/>
      <c r="H134" s="1"/>
      <c r="I134" s="1"/>
    </row>
    <row r="135" spans="1:55" s="13" customFormat="1" ht="15.75">
      <c r="A135" s="8"/>
      <c r="B135" s="1"/>
      <c r="C135" s="1"/>
      <c r="D135" s="1"/>
      <c r="E135" s="24"/>
      <c r="F135" s="24"/>
      <c r="G135" s="2"/>
      <c r="H135" s="1"/>
      <c r="I135" s="1"/>
      <c r="L135" s="9"/>
      <c r="M135" s="4"/>
      <c r="N135" s="4"/>
      <c r="O135" s="4"/>
      <c r="P135" s="4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</row>
    <row r="136" spans="1:55" ht="18">
      <c r="B136" s="134" t="s">
        <v>61</v>
      </c>
      <c r="C136" s="135"/>
      <c r="D136" s="135"/>
      <c r="E136" s="135"/>
      <c r="F136" s="135"/>
      <c r="G136" s="135"/>
      <c r="H136" s="135"/>
      <c r="I136" s="135"/>
      <c r="L136" s="9"/>
      <c r="M136" s="4"/>
      <c r="N136" s="4"/>
      <c r="O136" s="4"/>
      <c r="P136" s="4"/>
    </row>
    <row r="137" spans="1:55" ht="33" customHeight="1">
      <c r="B137" s="132" t="s">
        <v>36</v>
      </c>
      <c r="C137" s="133"/>
      <c r="D137" s="133"/>
      <c r="E137" s="136" t="s">
        <v>153</v>
      </c>
      <c r="F137" s="137"/>
      <c r="G137" s="138"/>
      <c r="H137" s="95" t="s">
        <v>27</v>
      </c>
      <c r="I137" s="96" t="s">
        <v>28</v>
      </c>
      <c r="J137" s="1"/>
      <c r="K137" s="1"/>
      <c r="L137" s="1"/>
      <c r="O137" s="9"/>
      <c r="P137" s="4"/>
      <c r="Q137" s="4"/>
      <c r="R137" s="4"/>
      <c r="S137" s="4"/>
    </row>
    <row r="138" spans="1:55" ht="24.95" customHeight="1">
      <c r="A138" s="71" t="s">
        <v>126</v>
      </c>
      <c r="B138" s="139" t="s">
        <v>42</v>
      </c>
      <c r="C138" s="113"/>
      <c r="D138" s="113"/>
      <c r="E138" s="110" t="str">
        <f>""&amp;E79&amp;"*"&amp;F79&amp;""</f>
        <v>0.72*6</v>
      </c>
      <c r="F138" s="111"/>
      <c r="G138" s="112"/>
      <c r="H138" s="30" t="s">
        <v>9</v>
      </c>
      <c r="I138" s="88"/>
      <c r="J138" s="1"/>
      <c r="K138" s="67"/>
      <c r="L138" s="97">
        <f t="shared" ref="L138:L154" si="0">thu</f>
        <v>4.32</v>
      </c>
      <c r="M138" s="98">
        <f>+I138-L138</f>
        <v>-4.32</v>
      </c>
      <c r="O138" s="9"/>
      <c r="P138" s="4"/>
      <c r="Q138" s="4"/>
      <c r="R138" s="4"/>
      <c r="S138" s="4"/>
    </row>
    <row r="139" spans="1:55" ht="24.95" customHeight="1">
      <c r="A139" s="71" t="s">
        <v>127</v>
      </c>
      <c r="B139" s="139" t="s">
        <v>135</v>
      </c>
      <c r="C139" s="113"/>
      <c r="D139" s="113"/>
      <c r="E139" s="110" t="str">
        <f>""&amp;C71&amp;"*"&amp;D71&amp;""</f>
        <v>0.986*3.51</v>
      </c>
      <c r="F139" s="111"/>
      <c r="G139" s="112"/>
      <c r="H139" s="30" t="s">
        <v>9</v>
      </c>
      <c r="I139" s="88"/>
      <c r="J139" s="1"/>
      <c r="K139" s="67"/>
      <c r="L139" s="97">
        <f t="shared" si="0"/>
        <v>3.4608599999999998</v>
      </c>
      <c r="M139" s="98">
        <f t="shared" ref="M139:M154" si="1">+I139-L139</f>
        <v>-3.4608599999999998</v>
      </c>
      <c r="O139" s="9"/>
      <c r="P139" s="4"/>
      <c r="Q139" s="4"/>
      <c r="R139" s="4"/>
      <c r="S139" s="4"/>
    </row>
    <row r="140" spans="1:55" ht="24.95" customHeight="1">
      <c r="A140" s="71" t="s">
        <v>118</v>
      </c>
      <c r="B140" s="139" t="s">
        <v>62</v>
      </c>
      <c r="C140" s="113"/>
      <c r="D140" s="113"/>
      <c r="E140" s="110" t="str">
        <f>""&amp;D79&amp;"*"&amp;F79&amp;""</f>
        <v>10.304*6</v>
      </c>
      <c r="F140" s="111"/>
      <c r="G140" s="112"/>
      <c r="H140" s="30" t="s">
        <v>10</v>
      </c>
      <c r="I140" s="88"/>
      <c r="J140" s="1"/>
      <c r="K140" s="67"/>
      <c r="L140" s="97">
        <f t="shared" si="0"/>
        <v>61.823999999999998</v>
      </c>
      <c r="M140" s="98">
        <f t="shared" si="1"/>
        <v>-61.823999999999998</v>
      </c>
      <c r="O140" s="9"/>
      <c r="P140" s="4"/>
      <c r="Q140" s="4"/>
      <c r="R140" s="4"/>
      <c r="S140" s="4"/>
    </row>
    <row r="141" spans="1:55" ht="24.95" customHeight="1">
      <c r="A141" s="71" t="s">
        <v>119</v>
      </c>
      <c r="B141" s="139" t="s">
        <v>63</v>
      </c>
      <c r="C141" s="113"/>
      <c r="D141" s="113"/>
      <c r="E141" s="110" t="str">
        <f>""&amp;B79&amp;"*"&amp;F79&amp;""</f>
        <v>67.02*6</v>
      </c>
      <c r="F141" s="111"/>
      <c r="G141" s="112"/>
      <c r="H141" s="30" t="s">
        <v>26</v>
      </c>
      <c r="I141" s="88"/>
      <c r="J141" s="1"/>
      <c r="K141" s="67"/>
      <c r="L141" s="97">
        <f t="shared" si="0"/>
        <v>402.12</v>
      </c>
      <c r="M141" s="98">
        <f t="shared" si="1"/>
        <v>-402.12</v>
      </c>
      <c r="O141" s="9"/>
      <c r="P141" s="4"/>
      <c r="Q141" s="4"/>
      <c r="R141" s="4"/>
      <c r="S141" s="4"/>
    </row>
    <row r="142" spans="1:55" ht="24.95" customHeight="1">
      <c r="A142" s="71" t="s">
        <v>128</v>
      </c>
      <c r="B142" s="139" t="s">
        <v>37</v>
      </c>
      <c r="C142" s="113"/>
      <c r="D142" s="113"/>
      <c r="E142" s="110" t="str">
        <f>""&amp;F79&amp;""</f>
        <v>6</v>
      </c>
      <c r="F142" s="111"/>
      <c r="G142" s="112"/>
      <c r="H142" s="30" t="s">
        <v>29</v>
      </c>
      <c r="I142" s="88"/>
      <c r="J142" s="1"/>
      <c r="K142" s="67"/>
      <c r="L142" s="97">
        <f t="shared" si="0"/>
        <v>6</v>
      </c>
      <c r="M142" s="98">
        <f t="shared" si="1"/>
        <v>-6</v>
      </c>
      <c r="O142" s="9"/>
      <c r="P142" s="4"/>
      <c r="Q142" s="4"/>
      <c r="R142" s="4"/>
      <c r="S142" s="4"/>
    </row>
    <row r="143" spans="1:55" ht="24.95" customHeight="1">
      <c r="A143" s="71" t="s">
        <v>120</v>
      </c>
      <c r="B143" s="139" t="s">
        <v>115</v>
      </c>
      <c r="C143" s="113"/>
      <c r="D143" s="113"/>
      <c r="E143" s="110" t="str">
        <f>""&amp;I142&amp;"-1"</f>
        <v>-1</v>
      </c>
      <c r="F143" s="111"/>
      <c r="G143" s="112"/>
      <c r="H143" s="30" t="s">
        <v>116</v>
      </c>
      <c r="I143" s="88"/>
      <c r="J143" s="1"/>
      <c r="K143" s="67"/>
      <c r="L143" s="97">
        <f t="shared" si="0"/>
        <v>5</v>
      </c>
      <c r="M143" s="98">
        <f t="shared" si="1"/>
        <v>-5</v>
      </c>
      <c r="O143" s="9"/>
      <c r="P143" s="4"/>
      <c r="Q143" s="4"/>
      <c r="R143" s="4"/>
      <c r="S143" s="4"/>
    </row>
    <row r="144" spans="1:55" ht="69.75" customHeight="1">
      <c r="A144" s="71" t="s">
        <v>121</v>
      </c>
      <c r="B144" s="139" t="s">
        <v>84</v>
      </c>
      <c r="C144" s="113"/>
      <c r="D144" s="113"/>
      <c r="E144" s="143" t="str">
        <f>"("&amp;I11&amp;"+"&amp;I12&amp;")/2*("&amp;D14&amp;"+"&amp;D15&amp;")*2+3.14159*"&amp;m&amp;"*"&amp;F79&amp;""</f>
        <v>(0.206+1.69)/2*(2.31+2.69)*2+3.14159*1.78*6</v>
      </c>
      <c r="F144" s="144"/>
      <c r="G144" s="145"/>
      <c r="H144" s="30" t="s">
        <v>10</v>
      </c>
      <c r="I144" s="88"/>
      <c r="J144" s="1"/>
      <c r="K144" s="67"/>
      <c r="L144" s="97">
        <f t="shared" si="0"/>
        <v>43.032181199999997</v>
      </c>
      <c r="M144" s="98">
        <f t="shared" si="1"/>
        <v>-43.032181199999997</v>
      </c>
      <c r="O144" s="10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</row>
    <row r="145" spans="1:19" ht="138" customHeight="1">
      <c r="A145" s="71" t="s">
        <v>122</v>
      </c>
      <c r="B145" s="139" t="s">
        <v>136</v>
      </c>
      <c r="C145" s="113"/>
      <c r="D145" s="113"/>
      <c r="E145" s="143" t="str">
        <f>"(("&amp;D38&amp;"*"&amp;C38&amp;"*"&amp;C45&amp;") + ("&amp;D39&amp;"*"&amp;C39&amp;"*"&amp;C45&amp;"*2))*"&amp;G38&amp;"+(("&amp;D48&amp;"*"&amp;C48&amp;"*"&amp;C55&amp;") + ("&amp;D49&amp;"*"&amp;C49&amp;"*"&amp;C55&amp;"*2))*"&amp;G48&amp;"+("&amp;D60&amp;"+"&amp;E60&amp;")/2*"&amp;C60&amp;"*"&amp;C55&amp;"+("&amp;D65&amp;"+"&amp;E65&amp;")/2*"&amp;C65&amp;"*"&amp;C55&amp;"+"&amp;E71&amp;"*"&amp;D71&amp;"*"&amp;C55&amp;"+"&amp;D86&amp;"*"&amp;C86&amp;"*"&amp;C55&amp;"+"&amp;D92&amp;"*"&amp;C92&amp;"*"&amp;C55&amp;"+((("&amp;F100&amp;"+0.1*2)*"&amp;E100&amp;")-(("&amp;F101&amp;"+2*0.1)*"&amp;E101&amp;"))*0.1+((("&amp;C105&amp;"+"&amp;D105&amp;")/2*"&amp;E105&amp;")-(("&amp;C106&amp;"+"&amp;D106&amp;")/2*"&amp;E106&amp;"))*0.1+"&amp;C113&amp;"*"&amp;E113&amp;"*0.1+"&amp;C117&amp;"*"&amp;E117&amp;"*0.1"</f>
        <v>((3.32*1.088*0.1) + (2.31*0.73*0.1*2))*1+((3.32*1.07*0.1) + (2.69*0.73*0.1*2))*1+(1.5+3.81)/2*2*0.1+(1.5+4.19)/2*2.33*0.1+2.34*3.51*0.1+6.92*1*0.1+7.28*1.7*0.1+(((5.46+0.1*2)*3.92)-((3.51+2*0.1)*3.16))*0.1+(((4+7.28)/2*4.83)-((2.1+5.28)/2*3.56))*0.1+0.3*2*0.1+0.3*2*0.1</v>
      </c>
      <c r="F145" s="144"/>
      <c r="G145" s="145"/>
      <c r="H145" s="30" t="s">
        <v>9</v>
      </c>
      <c r="I145" s="89"/>
      <c r="J145" s="1"/>
      <c r="K145" s="67"/>
      <c r="L145" s="99" t="e">
        <f t="shared" si="0"/>
        <v>#VALUE!</v>
      </c>
      <c r="M145" s="98" t="e">
        <f t="shared" si="1"/>
        <v>#VALUE!</v>
      </c>
      <c r="O145" s="9"/>
      <c r="P145" s="4"/>
      <c r="Q145" s="4"/>
      <c r="R145" s="4"/>
      <c r="S145" s="4"/>
    </row>
    <row r="146" spans="1:19" ht="51" hidden="1" customHeight="1">
      <c r="A146" s="71" t="s">
        <v>123</v>
      </c>
      <c r="B146" s="139" t="s">
        <v>137</v>
      </c>
      <c r="C146" s="113"/>
      <c r="D146" s="113"/>
      <c r="E146" s="143" t="str">
        <f>"("&amp;H11&amp;"+"&amp;H12&amp;")/2*("&amp;D14&amp;"+"&amp;D15&amp;")*2+(("&amp;G25&amp;"+"&amp;G26&amp;")/2*"&amp;E25&amp;"+("&amp;G26&amp;"+"&amp;G27&amp;")/2*"&amp;E27&amp;"-("&amp;E29&amp;"*"&amp;E30&amp;"*"&amp;C28&amp;"))*2"</f>
        <v>(0.065+0.828)/2*(2.31+2.69)*2+((0.84+0.983)/2*0.27+(0.983+2.564)/2*1.64-(2.488*0.673*1))*2</v>
      </c>
      <c r="F146" s="144"/>
      <c r="G146" s="145"/>
      <c r="H146" s="30" t="s">
        <v>9</v>
      </c>
      <c r="I146" s="88"/>
      <c r="J146" s="1"/>
      <c r="K146" s="67"/>
      <c r="L146" s="100">
        <f t="shared" si="0"/>
        <v>7.4254419999999994</v>
      </c>
      <c r="M146" s="98">
        <f t="shared" si="1"/>
        <v>-7.4254419999999994</v>
      </c>
      <c r="O146" s="9"/>
      <c r="P146" s="101"/>
      <c r="Q146" s="4"/>
      <c r="R146" s="4"/>
      <c r="S146" s="4"/>
    </row>
    <row r="147" spans="1:19" ht="54" hidden="1" customHeight="1">
      <c r="A147" s="71" t="s">
        <v>129</v>
      </c>
      <c r="B147" s="139" t="s">
        <v>138</v>
      </c>
      <c r="C147" s="113"/>
      <c r="D147" s="113"/>
      <c r="E147" s="143" t="str">
        <f>"("&amp;C38&amp;"*"&amp;E38&amp;"*"&amp;D38&amp;"+"&amp;C39&amp;"*"&amp;D39&amp;"*"&amp;E39&amp;"*2+("&amp;C40&amp;"*"&amp;E40&amp;"+"&amp;E39&amp;"*"&amp;F40&amp;")*"&amp;D40&amp;")*"&amp;G38&amp;"+("&amp;C48&amp;"*"&amp;E48&amp;"*"&amp;D48&amp;"+"&amp;C49&amp;"*"&amp;D49&amp;"*"&amp;E49&amp;"*2+("&amp;C50&amp;"*"&amp;E50&amp;"+"&amp;E49&amp;"*"&amp;F50&amp;")*"&amp;D50&amp;")*"&amp;G48&amp;""</f>
        <v>(1.088*0.44*3.32+0.73*2.31*0.44*2+(0.8*0.3+0.44*0.2)*4.92)*1+(1.07*0.44*3.32+0.73*2.69*0.44*2+(0.83*0.3+0.44*0.2)*5.28)*1</v>
      </c>
      <c r="F147" s="144"/>
      <c r="G147" s="145"/>
      <c r="H147" s="30" t="s">
        <v>9</v>
      </c>
      <c r="I147" s="88"/>
      <c r="J147" s="1"/>
      <c r="K147" s="67"/>
      <c r="L147" s="100">
        <f t="shared" si="0"/>
        <v>9.7575263999999997</v>
      </c>
      <c r="M147" s="98">
        <f t="shared" si="1"/>
        <v>-9.7575263999999997</v>
      </c>
      <c r="O147" s="9"/>
      <c r="P147" s="4"/>
      <c r="Q147" s="4"/>
      <c r="R147" s="4"/>
      <c r="S147" s="4"/>
    </row>
    <row r="148" spans="1:19" ht="168" customHeight="1">
      <c r="A148" s="71" t="s">
        <v>117</v>
      </c>
      <c r="B148" s="139" t="s">
        <v>41</v>
      </c>
      <c r="C148" s="113"/>
      <c r="D148" s="113"/>
      <c r="E148" s="143" t="str">
        <f>"("&amp;I11&amp;"+"&amp;I12&amp;")/2*("&amp;D14&amp;"+"&amp;D15&amp;")*2+("&amp;E11&amp;"+"&amp;E12&amp;")/2*("&amp;D14&amp;"+"&amp;D15&amp;")*2+((("&amp;D27&amp;"+"&amp;D26&amp;")/2*("&amp;E25&amp;"+"&amp;E27&amp;"))-"&amp;E29&amp;" + (("&amp;C25&amp;"+"&amp;C27&amp;")/2*SQRT(("&amp;E25&amp;"+"&amp;E27&amp;")^2+("&amp;C27&amp;"-"&amp;C25&amp;")^2))*2 + (("&amp;D27&amp;"+"&amp;D25&amp;")/2*SQRT(("&amp;E25&amp;"+"&amp;E27&amp;")^2+("&amp;C27&amp;"-"&amp;C25&amp;")^2))-"&amp;E29&amp;") * 2+((("&amp;D27&amp;"+"&amp;D26&amp;")/2*("&amp;E25&amp;"+"&amp;E27&amp;"))-"&amp;E29&amp;" + (("&amp;C25&amp;"+"&amp;C27&amp;")/2*SQRT(("&amp;E25&amp;"+"&amp;E27&amp;")^2+("&amp;C27&amp;"-"&amp;C25&amp;")^2))*2 + (("&amp;D27&amp;"+"&amp;D25&amp;")/2*SQRT(("&amp;E25&amp;"+"&amp;E27&amp;")^2+("&amp;C27&amp;"-"&amp;C25&amp;")^2))-"&amp;E29&amp;") * 2+("&amp;D38&amp;"+"&amp;C38&amp;")*"&amp;E38&amp;"*2 + ("&amp;E39&amp;"*"&amp;D39&amp;"*4) + (("&amp;E40&amp;"*"&amp;C40&amp;"+"&amp;F40&amp;"*"&amp;E39&amp;")*2) + ("&amp;D40&amp;"*"&amp;C40&amp;"*2)+("&amp;D48&amp;"+"&amp;C48&amp;")*"&amp;E48&amp;"*2 + ("&amp;E49&amp;"*"&amp;D49&amp;"*4) + (("&amp;E50&amp;"*"&amp;C50&amp;"+"&amp;F50&amp;"*"&amp;E49&amp;")*2) + ("&amp;D50&amp;"*"&amp;C50&amp;"*2)+"&amp;F60&amp;"*"&amp;C60&amp;"*2+"&amp;F65&amp;"*"&amp;C65&amp;"*2+"&amp;F71&amp;"*"&amp;D71&amp;"*2+("&amp;E86&amp;"*"&amp;C86&amp;"*2)+("&amp;C87&amp;"*"&amp;E87&amp;"*2)+("&amp;C87&amp;"*"&amp;D87&amp;"*2)+("&amp;E92&amp;"*"&amp;C92&amp;"*2)+("&amp;C93&amp;"*"&amp;E93&amp;"*2)+("&amp;C93&amp;"*"&amp;D93&amp;"*2)"</f>
        <v>(0.206+1.69)/2*(2.31+2.69)*2+(0.2+1.64)/2*(2.31+2.69)*2+(((2.92+2.1)/2*(0.27+1.64))-2.488 + ((0.4+0.878)/2*SQRT((0.27+1.64)^2+(0.878-0.4)^2))*2 + ((2.92+2.1)/2*SQRT((0.27+1.64)^2+(0.878-0.4)^2))-2.488) * 2+(((2.92+2.1)/2*(0.27+1.64))-2.488 + ((0.4+0.878)/2*SQRT((0.27+1.64)^2+(0.878-0.4)^2))*2 + ((2.92+2.1)/2*SQRT((0.27+1.64)^2+(0.878-0.4)^2))-2.488) * 2+(3.32+1.088)*0.44*2 + (0.44*2.31*4) + ((0.3*0.8+0.2*0.44)*2) + (4.92*0.8*2)+(3.32+1.07)*0.44*2 + (0.44*2.69*4) + ((0.3*0.83+0.2*0.44)*2) + (5.28*0.83*2)+0.44*2*2+0.44*2.33*2+0.44*3.51*2+(0.25*1*2)+(0*0*2)+(0*0*2)+(0.25*1.7*2)+(0.5*0.3*2)+(0.5*7.28*2)</v>
      </c>
      <c r="F148" s="144"/>
      <c r="G148" s="145"/>
      <c r="H148" s="30" t="s">
        <v>10</v>
      </c>
      <c r="I148" s="88"/>
      <c r="J148" s="52"/>
      <c r="K148" s="67"/>
      <c r="L148" s="99" t="e">
        <f t="shared" si="0"/>
        <v>#VALUE!</v>
      </c>
      <c r="M148" s="98" t="e">
        <f t="shared" si="1"/>
        <v>#VALUE!</v>
      </c>
      <c r="O148" s="9"/>
      <c r="P148" s="4"/>
      <c r="Q148" s="4"/>
      <c r="R148" s="4"/>
      <c r="S148" s="4"/>
    </row>
    <row r="149" spans="1:19" ht="41.25" hidden="1" customHeight="1">
      <c r="A149" s="71" t="s">
        <v>124</v>
      </c>
      <c r="B149" s="139" t="s">
        <v>139</v>
      </c>
      <c r="C149" s="113"/>
      <c r="D149" s="113"/>
      <c r="E149" s="143" t="str">
        <f>"("&amp;D60&amp;"+"&amp;E60&amp;")/2*"&amp;C60&amp;"*"&amp;F60&amp;"+("&amp;D65&amp;"+"&amp;E65&amp;")/2*"&amp;C65&amp;"*"&amp;F65&amp;"+("&amp;C86&amp;"*"&amp;D86&amp;"*"&amp;E86&amp;")+("&amp;C87&amp;"*"&amp;D87&amp;"*"&amp;E87&amp;")+("&amp;C92&amp;"*"&amp;D92&amp;"*"&amp;E92&amp;")+("&amp;C93&amp;"*"&amp;D93&amp;"*"&amp;E93&amp;")"</f>
        <v>(1.5+3.81)/2*2*0.44+(1.5+4.19)/2*2.33*0.44+(1*6.92*0.25)+(0*0*0)+(1.7*7.28*0.25)+(0.5*7.28*0.3)</v>
      </c>
      <c r="F149" s="144"/>
      <c r="G149" s="145"/>
      <c r="H149" s="30" t="s">
        <v>9</v>
      </c>
      <c r="I149" s="89">
        <f t="shared" ref="I144:I154" si="2">SUMIF($A$13:$A$134,A149,$H$13:$H$134)</f>
        <v>11.169</v>
      </c>
      <c r="J149" s="1"/>
      <c r="K149" s="67"/>
      <c r="L149" s="97">
        <f t="shared" si="0"/>
        <v>11.169094000000001</v>
      </c>
      <c r="M149" s="98">
        <f t="shared" si="1"/>
        <v>-9.4000000000704631E-5</v>
      </c>
      <c r="O149" s="9"/>
      <c r="P149" s="4"/>
      <c r="Q149" s="4"/>
      <c r="R149" s="4"/>
      <c r="S149" s="4"/>
    </row>
    <row r="150" spans="1:19" ht="45.75" hidden="1" customHeight="1">
      <c r="A150" s="71" t="s">
        <v>125</v>
      </c>
      <c r="B150" s="139" t="s">
        <v>147</v>
      </c>
      <c r="C150" s="113"/>
      <c r="D150" s="113"/>
      <c r="E150" s="143" t="str">
        <f>"((("&amp;$C$100&amp;"+"&amp;$D$100&amp;")/2*"&amp;$E$100&amp;")-(("&amp;$C$101&amp;"+"&amp;$D$101&amp;")/2*"&amp;$E$101&amp;"))*"&amp;G100&amp;"+((("&amp;C105&amp;"+"&amp;D105&amp;")/2*"&amp;E105&amp;")-(("&amp;C106&amp;"+"&amp;D106&amp;")/2*"&amp;E106&amp;"))*"&amp;G105&amp;""</f>
        <v>(((4+6.92)/2*3.92)-((2.1+4.92)/2*3.16))*0.25+(((4+7.28)/2*4.83)-((2.1+5.28)/2*3.56))*0.25</v>
      </c>
      <c r="F150" s="144"/>
      <c r="G150" s="145"/>
      <c r="H150" s="30" t="s">
        <v>9</v>
      </c>
      <c r="I150" s="88">
        <f t="shared" si="2"/>
        <v>6.1039999999999992</v>
      </c>
      <c r="J150" s="1"/>
      <c r="K150" s="67"/>
      <c r="L150" s="97">
        <f t="shared" si="0"/>
        <v>6.1040999999999999</v>
      </c>
      <c r="M150" s="98">
        <f t="shared" si="1"/>
        <v>-1.0000000000065512E-4</v>
      </c>
      <c r="O150" s="9"/>
      <c r="P150" s="4"/>
      <c r="Q150" s="4"/>
      <c r="R150" s="4"/>
      <c r="S150" s="4"/>
    </row>
    <row r="151" spans="1:19" ht="24.95" hidden="1" customHeight="1">
      <c r="A151" s="15" t="s">
        <v>142</v>
      </c>
      <c r="B151" s="140" t="s">
        <v>148</v>
      </c>
      <c r="C151" s="111"/>
      <c r="D151" s="112"/>
      <c r="E151" s="110" t="str">
        <f>""&amp;C113&amp;"*"&amp;D113&amp;"*"&amp;E113&amp;"+"&amp;C117&amp;"*"&amp;D117&amp;"*"&amp;E117&amp;""</f>
        <v>0.3*0.8*2+0.3*0.8*2</v>
      </c>
      <c r="F151" s="111"/>
      <c r="G151" s="112"/>
      <c r="H151" s="30" t="s">
        <v>9</v>
      </c>
      <c r="I151" s="88">
        <f t="shared" si="2"/>
        <v>0.96</v>
      </c>
      <c r="J151" s="1"/>
      <c r="K151" s="67"/>
      <c r="L151" s="97">
        <f t="shared" si="0"/>
        <v>0.96</v>
      </c>
      <c r="M151" s="98">
        <f t="shared" si="1"/>
        <v>0</v>
      </c>
      <c r="O151" s="9"/>
      <c r="P151" s="4"/>
      <c r="Q151" s="4"/>
      <c r="R151" s="4"/>
      <c r="S151" s="4"/>
    </row>
    <row r="152" spans="1:19" ht="24.95" hidden="1" customHeight="1">
      <c r="A152" s="15"/>
      <c r="B152" s="140" t="s">
        <v>145</v>
      </c>
      <c r="C152" s="111"/>
      <c r="D152" s="112"/>
      <c r="E152" s="110"/>
      <c r="F152" s="111"/>
      <c r="G152" s="112"/>
      <c r="H152" s="30" t="s">
        <v>9</v>
      </c>
      <c r="I152" s="88">
        <f t="shared" si="2"/>
        <v>0</v>
      </c>
      <c r="J152" s="1"/>
      <c r="K152" s="67"/>
      <c r="L152" s="97" t="e">
        <f t="shared" si="0"/>
        <v>#VALUE!</v>
      </c>
      <c r="M152" s="98" t="e">
        <f t="shared" si="1"/>
        <v>#VALUE!</v>
      </c>
      <c r="O152" s="9"/>
      <c r="P152" s="4"/>
      <c r="Q152" s="4"/>
      <c r="R152" s="4"/>
      <c r="S152" s="4"/>
    </row>
    <row r="153" spans="1:19" ht="24.95" hidden="1" customHeight="1">
      <c r="A153" s="71" t="s">
        <v>130</v>
      </c>
      <c r="B153" s="139" t="s">
        <v>38</v>
      </c>
      <c r="C153" s="113"/>
      <c r="D153" s="113"/>
      <c r="E153" s="110" t="str">
        <f>""&amp;D122&amp;"*"&amp;D123&amp;"+("&amp;D122&amp;"+"&amp;E122&amp;")/2*"&amp;E123&amp;"+("&amp;E122&amp;"+"&amp;F122&amp;")/2*"&amp;F123&amp;"+("&amp;F122&amp;"+"&amp;G122&amp;")/2*"&amp;G123&amp;""</f>
        <v>0*0+(0+11.6)/2*2.07+(11.6+2.424)/2*4.82+(2.424+3.392)/2*7.57</v>
      </c>
      <c r="F153" s="111"/>
      <c r="G153" s="112"/>
      <c r="H153" s="30" t="s">
        <v>9</v>
      </c>
      <c r="I153" s="88">
        <f t="shared" si="2"/>
        <v>67.816999999999993</v>
      </c>
      <c r="J153" s="1"/>
      <c r="K153" s="67"/>
      <c r="L153" s="97">
        <f t="shared" si="0"/>
        <v>67.817400000000006</v>
      </c>
      <c r="M153" s="98">
        <f t="shared" si="1"/>
        <v>-4.0000000001327862E-4</v>
      </c>
      <c r="O153" s="6"/>
      <c r="P153" s="4"/>
      <c r="Q153" s="4"/>
      <c r="R153" s="4"/>
      <c r="S153" s="4"/>
    </row>
    <row r="154" spans="1:19" ht="24.95" hidden="1" customHeight="1" thickBot="1">
      <c r="A154" s="71" t="s">
        <v>131</v>
      </c>
      <c r="B154" s="141" t="s">
        <v>85</v>
      </c>
      <c r="C154" s="142"/>
      <c r="D154" s="142"/>
      <c r="E154" s="110" t="str">
        <f>"0.333*"&amp;H125&amp;""</f>
        <v>0.333*67.817</v>
      </c>
      <c r="F154" s="111"/>
      <c r="G154" s="112"/>
      <c r="H154" s="72" t="s">
        <v>9</v>
      </c>
      <c r="I154" s="88">
        <f t="shared" si="2"/>
        <v>22.582999999999998</v>
      </c>
      <c r="J154" s="1"/>
      <c r="K154" s="67"/>
      <c r="L154" s="97">
        <f t="shared" si="0"/>
        <v>22.583060999999997</v>
      </c>
      <c r="M154" s="98">
        <f t="shared" si="1"/>
        <v>-6.0999999998756493E-5</v>
      </c>
      <c r="O154" s="6"/>
      <c r="P154" s="4"/>
      <c r="Q154" s="4"/>
      <c r="R154" s="4"/>
      <c r="S154" s="4"/>
    </row>
    <row r="155" spans="1:19" ht="15.75">
      <c r="B155" s="1"/>
      <c r="C155" s="1"/>
      <c r="D155" s="1"/>
      <c r="E155" s="1"/>
      <c r="F155" s="1"/>
      <c r="G155" s="1"/>
      <c r="H155" s="1"/>
      <c r="I155" s="1"/>
      <c r="L155" s="9"/>
      <c r="M155" s="4"/>
      <c r="N155" s="4"/>
      <c r="O155" s="4"/>
      <c r="P155" s="4"/>
    </row>
    <row r="156" spans="1:19" ht="15.75">
      <c r="B156" s="17"/>
      <c r="C156" s="17"/>
      <c r="D156" s="17"/>
      <c r="E156" s="6"/>
      <c r="F156" s="93"/>
      <c r="G156" s="9"/>
      <c r="H156" s="9"/>
      <c r="L156" s="9"/>
      <c r="M156" s="4"/>
      <c r="N156" s="4"/>
      <c r="O156" s="4"/>
      <c r="P156" s="4"/>
    </row>
    <row r="157" spans="1:19" ht="15.75">
      <c r="B157" s="17"/>
      <c r="C157" s="17"/>
      <c r="D157" s="17"/>
      <c r="E157" s="103"/>
      <c r="F157" s="103"/>
      <c r="G157" s="103"/>
      <c r="H157" s="9"/>
      <c r="L157" s="9"/>
      <c r="M157" s="4"/>
      <c r="N157" s="4"/>
      <c r="O157" s="4"/>
      <c r="P157" s="4"/>
    </row>
    <row r="158" spans="1:19" ht="15.75">
      <c r="B158" s="17"/>
      <c r="C158" s="17"/>
      <c r="D158" s="17"/>
      <c r="E158" s="103"/>
      <c r="F158" s="103"/>
      <c r="G158" s="103"/>
      <c r="H158" s="9"/>
      <c r="L158" s="9"/>
      <c r="M158" s="4"/>
      <c r="N158" s="4"/>
      <c r="O158" s="4"/>
      <c r="P158" s="4"/>
    </row>
    <row r="159" spans="1:19" ht="15.75">
      <c r="B159" s="17"/>
      <c r="C159" s="17"/>
      <c r="D159" s="17"/>
      <c r="E159" s="103"/>
      <c r="F159" s="103"/>
      <c r="G159" s="103"/>
      <c r="H159" s="9"/>
      <c r="L159" s="9"/>
      <c r="M159" s="4"/>
      <c r="N159" s="4"/>
      <c r="O159" s="4"/>
      <c r="P159" s="4"/>
    </row>
    <row r="160" spans="1:19" ht="15.75">
      <c r="B160" s="17"/>
      <c r="C160" s="17"/>
      <c r="D160" s="17"/>
      <c r="E160" s="103"/>
      <c r="F160" s="103"/>
      <c r="G160" s="103"/>
      <c r="H160" s="9"/>
      <c r="L160" s="9"/>
      <c r="M160" s="4"/>
      <c r="N160" s="4"/>
      <c r="O160" s="4"/>
      <c r="P160" s="4"/>
    </row>
    <row r="161" spans="1:52" ht="15.75">
      <c r="B161" s="17"/>
      <c r="C161" s="17"/>
      <c r="D161" s="17"/>
      <c r="E161" s="103"/>
      <c r="F161" s="103"/>
      <c r="G161" s="103"/>
      <c r="H161" s="9"/>
      <c r="L161" s="11"/>
      <c r="M161" s="4"/>
      <c r="N161" s="4"/>
      <c r="O161" s="4"/>
      <c r="P161" s="4"/>
    </row>
    <row r="162" spans="1:52" ht="15.75">
      <c r="B162" s="16"/>
      <c r="C162" s="16"/>
      <c r="D162" s="16"/>
      <c r="E162" s="103"/>
      <c r="F162" s="103"/>
      <c r="G162" s="103"/>
      <c r="H162" s="9"/>
      <c r="L162" s="11"/>
      <c r="M162" s="4"/>
      <c r="N162" s="4"/>
      <c r="O162" s="4"/>
      <c r="P162" s="4"/>
    </row>
    <row r="163" spans="1:52" ht="15.75">
      <c r="B163" s="16"/>
      <c r="C163" s="16"/>
      <c r="D163" s="16"/>
      <c r="E163" s="103"/>
      <c r="F163" s="103"/>
      <c r="G163" s="103"/>
      <c r="H163" s="9"/>
      <c r="I163" s="4"/>
      <c r="J163" s="4"/>
      <c r="K163" s="4"/>
      <c r="L163" s="10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</row>
    <row r="164" spans="1:52" ht="15.75">
      <c r="B164" s="16"/>
      <c r="C164" s="16"/>
      <c r="D164" s="16"/>
      <c r="E164" s="103"/>
      <c r="F164" s="103"/>
      <c r="G164" s="103"/>
      <c r="H164" s="9"/>
      <c r="I164" s="4"/>
      <c r="J164" s="4"/>
      <c r="K164" s="4"/>
      <c r="L164" s="11"/>
      <c r="M164" s="4"/>
      <c r="N164" s="4"/>
      <c r="O164" s="4"/>
      <c r="P164" s="4"/>
    </row>
    <row r="165" spans="1:52" ht="15.75">
      <c r="B165" s="17"/>
      <c r="C165" s="17"/>
      <c r="D165" s="17"/>
      <c r="E165" s="103"/>
      <c r="F165" s="103"/>
      <c r="G165" s="103"/>
      <c r="H165" s="9"/>
      <c r="I165" s="4"/>
      <c r="J165" s="4"/>
      <c r="K165" s="4"/>
      <c r="L165" s="11"/>
      <c r="M165" s="4"/>
      <c r="N165" s="4"/>
      <c r="O165" s="4"/>
      <c r="P165" s="4"/>
    </row>
    <row r="166" spans="1:52" ht="15.75">
      <c r="B166" s="17"/>
      <c r="C166" s="17"/>
      <c r="D166" s="17"/>
      <c r="E166" s="103"/>
      <c r="F166" s="103"/>
      <c r="G166" s="103"/>
      <c r="H166" s="9"/>
      <c r="I166" s="4"/>
      <c r="J166" s="4"/>
      <c r="K166" s="4"/>
      <c r="L166" s="11"/>
      <c r="M166" s="4"/>
      <c r="N166" s="4"/>
      <c r="O166" s="4"/>
      <c r="P166" s="4"/>
    </row>
    <row r="167" spans="1:52" ht="78" customHeight="1">
      <c r="B167" s="17"/>
      <c r="C167" s="17"/>
      <c r="D167" s="17"/>
      <c r="E167" s="104"/>
      <c r="F167" s="104"/>
      <c r="G167" s="104"/>
      <c r="H167" s="102"/>
      <c r="I167" s="4"/>
      <c r="J167" s="4"/>
      <c r="K167" s="4"/>
      <c r="L167" s="11"/>
      <c r="M167" s="4"/>
      <c r="N167" s="4"/>
      <c r="O167" s="4"/>
      <c r="P167" s="4"/>
    </row>
    <row r="168" spans="1:52" ht="15.75">
      <c r="B168" s="17"/>
      <c r="C168" s="17"/>
      <c r="D168" s="17"/>
      <c r="E168" s="103"/>
      <c r="F168" s="103"/>
      <c r="G168" s="103"/>
      <c r="H168" s="9"/>
      <c r="I168" s="4"/>
      <c r="J168" s="4"/>
      <c r="K168" s="4"/>
      <c r="L168" s="11"/>
      <c r="M168" s="4"/>
      <c r="N168" s="4"/>
      <c r="O168" s="4"/>
      <c r="P168" s="4"/>
    </row>
    <row r="169" spans="1:52" ht="15.75">
      <c r="B169" s="17"/>
      <c r="C169" s="17"/>
      <c r="D169" s="17"/>
      <c r="E169" s="103"/>
      <c r="F169" s="103"/>
      <c r="G169" s="103"/>
      <c r="H169" s="9"/>
      <c r="I169" s="4"/>
      <c r="J169" s="4"/>
      <c r="K169" s="4"/>
      <c r="L169" s="11"/>
      <c r="M169" s="4"/>
      <c r="N169" s="4"/>
      <c r="O169" s="4"/>
      <c r="P169" s="4"/>
    </row>
    <row r="170" spans="1:52" ht="15.75">
      <c r="B170" s="16"/>
      <c r="C170" s="16"/>
      <c r="D170" s="16"/>
      <c r="E170" s="103"/>
      <c r="F170" s="103"/>
      <c r="G170" s="103"/>
      <c r="H170" s="9"/>
      <c r="I170" s="4"/>
      <c r="J170" s="4"/>
      <c r="K170" s="4"/>
      <c r="L170" s="11"/>
      <c r="M170" s="4"/>
      <c r="N170" s="4"/>
      <c r="O170" s="4"/>
      <c r="P170" s="4"/>
    </row>
    <row r="171" spans="1:52" ht="15.75">
      <c r="B171" s="16"/>
      <c r="C171" s="16"/>
      <c r="D171" s="16"/>
      <c r="E171" s="6"/>
      <c r="F171" s="5"/>
      <c r="G171" s="9"/>
      <c r="H171" s="9" t="str">
        <f ca="1">IFERROR(CALCULATE(G171),"")</f>
        <v/>
      </c>
      <c r="I171" s="4"/>
      <c r="J171" s="4"/>
      <c r="K171" s="4"/>
      <c r="L171" s="11"/>
      <c r="M171" s="4"/>
      <c r="N171" s="4"/>
      <c r="O171" s="4"/>
      <c r="P171" s="4"/>
    </row>
    <row r="172" spans="1:52" ht="15.75">
      <c r="B172" s="16"/>
      <c r="C172" s="16"/>
      <c r="D172" s="16"/>
      <c r="E172" s="6"/>
      <c r="F172" s="5"/>
      <c r="G172" s="9"/>
      <c r="H172" s="9"/>
      <c r="I172" s="4"/>
      <c r="J172" s="4"/>
      <c r="K172" s="4"/>
      <c r="L172" s="4"/>
    </row>
    <row r="173" spans="1:52" s="13" customFormat="1" ht="15.75" customHeight="1">
      <c r="A173" s="8"/>
      <c r="B173" s="16"/>
      <c r="C173" s="16"/>
      <c r="D173" s="16"/>
      <c r="E173" s="6"/>
      <c r="F173" s="5"/>
      <c r="G173" s="9"/>
      <c r="H173" s="9"/>
    </row>
    <row r="174" spans="1:52" ht="15.75">
      <c r="B174" s="16"/>
      <c r="C174" s="16"/>
      <c r="D174" s="16"/>
      <c r="E174" s="6"/>
      <c r="F174" s="5"/>
      <c r="G174" s="9"/>
      <c r="H174" s="9"/>
      <c r="I174" s="4"/>
      <c r="J174" s="4"/>
      <c r="K174" s="4"/>
      <c r="L174" s="4"/>
    </row>
    <row r="175" spans="1:52" ht="15.75">
      <c r="B175" s="16"/>
      <c r="C175" s="16"/>
      <c r="D175" s="16"/>
      <c r="E175" s="6"/>
      <c r="F175" s="5"/>
      <c r="G175" s="9"/>
      <c r="H175" s="9"/>
      <c r="I175" s="4"/>
      <c r="J175" s="4"/>
      <c r="K175" s="4"/>
      <c r="L175" s="4"/>
    </row>
    <row r="176" spans="1:52" ht="15.75">
      <c r="B176" s="16"/>
      <c r="C176" s="16"/>
      <c r="D176" s="16"/>
      <c r="E176" s="6"/>
      <c r="F176" s="5"/>
      <c r="G176" s="9"/>
      <c r="H176" s="9"/>
      <c r="I176" s="4"/>
      <c r="J176" s="4"/>
      <c r="K176" s="4"/>
      <c r="L176" s="4"/>
    </row>
    <row r="177" spans="1:12" ht="15.75">
      <c r="B177" s="16"/>
      <c r="C177" s="16"/>
      <c r="D177" s="16"/>
      <c r="E177" s="6"/>
      <c r="F177" s="25"/>
      <c r="G177" s="26"/>
      <c r="H177" s="9"/>
      <c r="I177" s="4"/>
      <c r="J177" s="4"/>
      <c r="K177" s="4"/>
      <c r="L177" s="4"/>
    </row>
    <row r="178" spans="1:12" ht="15.75">
      <c r="B178" s="16"/>
      <c r="C178" s="16"/>
      <c r="D178" s="16"/>
      <c r="E178" s="6"/>
      <c r="F178" s="25"/>
      <c r="G178" s="26"/>
      <c r="H178" s="9"/>
      <c r="I178" s="4"/>
      <c r="J178" s="4"/>
      <c r="K178" s="4"/>
      <c r="L178" s="4"/>
    </row>
    <row r="179" spans="1:12" ht="15.75">
      <c r="B179" s="17"/>
      <c r="C179" s="17"/>
      <c r="D179" s="17"/>
      <c r="E179" s="6"/>
      <c r="F179" s="25"/>
      <c r="G179" s="26"/>
      <c r="H179" s="9"/>
      <c r="I179" s="4"/>
      <c r="J179" s="4"/>
      <c r="K179" s="4"/>
      <c r="L179" s="4"/>
    </row>
    <row r="180" spans="1:12" ht="15.75">
      <c r="B180" s="17"/>
      <c r="C180" s="17"/>
      <c r="D180" s="17"/>
      <c r="E180" s="6"/>
      <c r="F180" s="25"/>
      <c r="G180" s="9"/>
      <c r="H180" s="9"/>
      <c r="I180" s="4"/>
      <c r="J180" s="4"/>
      <c r="K180" s="4"/>
      <c r="L180" s="4"/>
    </row>
    <row r="181" spans="1:12" ht="15.75">
      <c r="B181" s="16"/>
      <c r="C181" s="16"/>
      <c r="D181" s="16"/>
      <c r="E181" s="6"/>
      <c r="F181" s="25"/>
      <c r="G181" s="9"/>
      <c r="H181" s="9"/>
      <c r="I181" s="4"/>
      <c r="J181" s="4"/>
      <c r="K181" s="4"/>
      <c r="L181" s="4"/>
    </row>
    <row r="182" spans="1:12" ht="15.75">
      <c r="B182" s="16"/>
      <c r="C182" s="16"/>
      <c r="D182" s="16"/>
      <c r="E182" s="6"/>
      <c r="F182" s="25"/>
      <c r="G182" s="26"/>
      <c r="H182" s="9"/>
      <c r="I182" s="4"/>
      <c r="J182" s="4"/>
      <c r="K182" s="4"/>
      <c r="L182" s="4"/>
    </row>
    <row r="183" spans="1:12" ht="15.75">
      <c r="B183" s="17"/>
      <c r="C183" s="17"/>
      <c r="D183" s="17"/>
      <c r="E183" s="6"/>
      <c r="F183" s="25"/>
      <c r="G183" s="26"/>
      <c r="H183" s="9"/>
      <c r="I183" s="4"/>
      <c r="J183" s="4"/>
      <c r="K183" s="4"/>
      <c r="L183" s="4"/>
    </row>
    <row r="184" spans="1:12" ht="15.75">
      <c r="B184" s="16"/>
      <c r="C184" s="16"/>
      <c r="D184" s="16"/>
      <c r="E184" s="6"/>
      <c r="F184" s="25"/>
      <c r="G184" s="9"/>
      <c r="H184" s="9"/>
      <c r="I184" s="4"/>
      <c r="J184" s="4"/>
      <c r="K184" s="4"/>
      <c r="L184" s="4"/>
    </row>
    <row r="185" spans="1:12" ht="15.75">
      <c r="B185" s="16"/>
      <c r="C185" s="16"/>
      <c r="D185" s="16"/>
      <c r="E185" s="6"/>
      <c r="F185" s="25"/>
      <c r="G185" s="26"/>
      <c r="H185" s="9"/>
      <c r="I185" s="4"/>
      <c r="J185" s="4"/>
      <c r="K185" s="4"/>
      <c r="L185" s="4"/>
    </row>
    <row r="186" spans="1:12" s="13" customFormat="1" ht="15.75" customHeight="1">
      <c r="A186" s="8"/>
      <c r="B186" s="16"/>
      <c r="C186" s="16"/>
      <c r="D186" s="16"/>
      <c r="E186" s="6"/>
      <c r="F186" s="25"/>
      <c r="G186" s="26"/>
      <c r="H186" s="9"/>
    </row>
    <row r="187" spans="1:12" ht="15.75">
      <c r="B187" s="16"/>
      <c r="C187" s="16"/>
      <c r="D187" s="16"/>
      <c r="E187" s="6"/>
      <c r="F187" s="25"/>
      <c r="G187" s="26"/>
      <c r="H187" s="9"/>
      <c r="I187" s="4"/>
      <c r="J187" s="4"/>
      <c r="K187" s="4"/>
      <c r="L187" s="4"/>
    </row>
    <row r="188" spans="1:12" s="20" customFormat="1" ht="15.75">
      <c r="A188" s="81"/>
      <c r="B188" s="16"/>
      <c r="C188" s="16"/>
      <c r="D188" s="16"/>
      <c r="E188" s="6"/>
      <c r="F188" s="25"/>
      <c r="G188" s="9"/>
      <c r="H188" s="9"/>
      <c r="I188" s="4"/>
      <c r="J188" s="4"/>
      <c r="K188" s="4"/>
      <c r="L188" s="4"/>
    </row>
    <row r="189" spans="1:12" s="20" customFormat="1" ht="15.75">
      <c r="A189" s="81"/>
      <c r="B189" s="16"/>
      <c r="C189" s="16"/>
      <c r="D189" s="16"/>
      <c r="E189" s="6"/>
      <c r="F189" s="25"/>
      <c r="G189" s="9"/>
      <c r="H189" s="9"/>
      <c r="I189" s="4"/>
      <c r="J189" s="4"/>
      <c r="K189" s="4"/>
      <c r="L189" s="4"/>
    </row>
    <row r="190" spans="1:12" s="20" customFormat="1" ht="15.75">
      <c r="A190" s="81"/>
      <c r="B190" s="16"/>
      <c r="C190" s="16"/>
      <c r="D190" s="16"/>
      <c r="E190" s="6"/>
      <c r="F190" s="25"/>
      <c r="G190" s="9"/>
      <c r="H190" s="9"/>
      <c r="I190" s="4"/>
      <c r="J190" s="4"/>
      <c r="K190" s="4"/>
      <c r="L190" s="4"/>
    </row>
    <row r="191" spans="1:12" s="20" customFormat="1" ht="15.75">
      <c r="A191" s="81"/>
      <c r="B191" s="17"/>
      <c r="C191" s="17"/>
      <c r="D191" s="17"/>
      <c r="E191" s="6"/>
      <c r="F191" s="5"/>
      <c r="G191" s="9"/>
      <c r="H191" s="9"/>
      <c r="I191" s="4"/>
      <c r="J191" s="4"/>
      <c r="K191" s="4"/>
      <c r="L191" s="4"/>
    </row>
    <row r="192" spans="1:12" s="20" customFormat="1" ht="15.75">
      <c r="A192" s="81"/>
      <c r="B192" s="17"/>
      <c r="C192" s="17"/>
      <c r="D192" s="17"/>
      <c r="E192" s="6"/>
      <c r="F192" s="5"/>
      <c r="G192" s="9"/>
      <c r="H192" s="9"/>
      <c r="I192" s="4"/>
      <c r="J192" s="4"/>
      <c r="K192" s="4"/>
      <c r="L192" s="4"/>
    </row>
    <row r="193" spans="1:12" s="20" customFormat="1" ht="15.75">
      <c r="A193" s="81"/>
      <c r="B193" s="17"/>
      <c r="C193" s="17"/>
      <c r="D193" s="17"/>
      <c r="E193" s="6"/>
      <c r="F193" s="5"/>
      <c r="G193" s="9"/>
      <c r="H193" s="9"/>
      <c r="I193" s="4"/>
      <c r="J193" s="4"/>
      <c r="K193" s="4"/>
      <c r="L193" s="4"/>
    </row>
    <row r="194" spans="1:12" s="20" customFormat="1" ht="15.75">
      <c r="A194" s="81"/>
      <c r="B194" s="16"/>
      <c r="C194" s="16"/>
      <c r="D194" s="16"/>
      <c r="E194" s="6"/>
      <c r="F194" s="5"/>
      <c r="G194" s="9"/>
      <c r="H194" s="9"/>
      <c r="I194" s="4"/>
      <c r="J194" s="4"/>
      <c r="K194" s="4"/>
      <c r="L194" s="4"/>
    </row>
    <row r="195" spans="1:12" ht="15.75">
      <c r="B195" s="17"/>
      <c r="C195" s="17"/>
      <c r="D195" s="17"/>
      <c r="E195" s="17"/>
      <c r="F195" s="9"/>
      <c r="G195" s="9"/>
      <c r="H195" s="11"/>
      <c r="I195" s="4"/>
      <c r="J195" s="4"/>
      <c r="K195" s="4"/>
      <c r="L195" s="4"/>
    </row>
    <row r="196" spans="1:12" s="20" customFormat="1" ht="15.75">
      <c r="A196" s="81"/>
      <c r="B196" s="16"/>
      <c r="C196" s="16"/>
      <c r="D196" s="5"/>
      <c r="E196" s="18"/>
      <c r="F196" s="9"/>
      <c r="G196" s="9"/>
      <c r="H196" s="11"/>
      <c r="I196" s="4"/>
      <c r="J196" s="4"/>
      <c r="K196" s="4"/>
      <c r="L196" s="4"/>
    </row>
    <row r="197" spans="1:12" s="20" customFormat="1" ht="17.25" customHeight="1">
      <c r="A197" s="81"/>
      <c r="B197" s="16"/>
      <c r="C197" s="16"/>
      <c r="D197" s="5"/>
      <c r="E197" s="18"/>
      <c r="F197" s="9"/>
      <c r="G197" s="9"/>
      <c r="H197" s="11"/>
      <c r="I197" s="4"/>
      <c r="J197" s="4"/>
      <c r="K197" s="4"/>
      <c r="L197" s="4"/>
    </row>
    <row r="198" spans="1:12" s="20" customFormat="1" ht="31.5" customHeight="1">
      <c r="A198" s="81"/>
      <c r="B198" s="23"/>
      <c r="C198" s="23"/>
      <c r="D198" s="23"/>
      <c r="E198" s="23"/>
      <c r="F198" s="23"/>
      <c r="G198" s="9"/>
      <c r="H198" s="11"/>
      <c r="I198" s="4"/>
      <c r="J198" s="4"/>
      <c r="K198" s="4"/>
      <c r="L198" s="4"/>
    </row>
    <row r="199" spans="1:12" s="20" customFormat="1" ht="15.75">
      <c r="A199" s="81"/>
      <c r="B199" s="17"/>
      <c r="C199" s="17"/>
      <c r="D199" s="17"/>
      <c r="E199" s="6"/>
      <c r="F199" s="5"/>
      <c r="G199" s="9"/>
      <c r="H199" s="11"/>
      <c r="I199" s="4"/>
      <c r="J199" s="4"/>
      <c r="K199" s="4"/>
      <c r="L199" s="4"/>
    </row>
    <row r="200" spans="1:12" s="20" customFormat="1" ht="15.75">
      <c r="A200" s="81"/>
      <c r="B200" s="17"/>
      <c r="C200" s="17"/>
      <c r="D200" s="17"/>
      <c r="E200" s="6"/>
      <c r="F200" s="5"/>
      <c r="G200" s="9"/>
      <c r="H200" s="11"/>
      <c r="I200" s="4"/>
      <c r="J200" s="4"/>
      <c r="K200" s="4"/>
      <c r="L200" s="4"/>
    </row>
    <row r="201" spans="1:12" s="20" customFormat="1" ht="15.75">
      <c r="A201" s="81"/>
      <c r="B201" s="17"/>
      <c r="C201" s="17"/>
      <c r="D201" s="17"/>
      <c r="E201" s="6"/>
      <c r="F201" s="19"/>
      <c r="G201" s="9"/>
      <c r="H201" s="11"/>
      <c r="I201" s="4"/>
      <c r="J201" s="4"/>
      <c r="K201" s="4"/>
      <c r="L201" s="4"/>
    </row>
    <row r="202" spans="1:12" s="20" customFormat="1" ht="15.75">
      <c r="A202" s="81"/>
      <c r="B202" s="17"/>
      <c r="C202" s="17"/>
      <c r="D202" s="17"/>
      <c r="E202" s="6"/>
      <c r="F202" s="5"/>
      <c r="G202" s="9"/>
      <c r="H202" s="11"/>
      <c r="I202" s="4"/>
      <c r="J202" s="4"/>
      <c r="K202" s="4"/>
      <c r="L202" s="4"/>
    </row>
    <row r="203" spans="1:12" s="20" customFormat="1" ht="15.75">
      <c r="A203" s="81"/>
      <c r="B203" s="17"/>
      <c r="C203" s="17"/>
      <c r="D203" s="17"/>
      <c r="E203" s="6"/>
      <c r="F203" s="5"/>
      <c r="G203" s="9"/>
      <c r="H203" s="11"/>
      <c r="I203" s="4"/>
      <c r="J203" s="4"/>
      <c r="K203" s="4"/>
      <c r="L203" s="4"/>
    </row>
    <row r="204" spans="1:12" s="20" customFormat="1" ht="15.75">
      <c r="A204" s="81"/>
      <c r="B204" s="17"/>
      <c r="C204" s="17"/>
      <c r="D204" s="17"/>
      <c r="E204" s="6"/>
      <c r="F204" s="5"/>
      <c r="G204" s="9"/>
      <c r="H204" s="11"/>
      <c r="I204" s="4"/>
      <c r="J204" s="4"/>
      <c r="K204" s="4"/>
      <c r="L204" s="4"/>
    </row>
    <row r="205" spans="1:12" s="20" customFormat="1" ht="15.75">
      <c r="A205" s="81"/>
      <c r="B205" s="17"/>
      <c r="C205" s="17"/>
      <c r="D205" s="17"/>
      <c r="E205" s="6"/>
      <c r="F205" s="5"/>
      <c r="G205" s="9"/>
      <c r="H205" s="11"/>
      <c r="I205" s="4"/>
      <c r="J205" s="4"/>
      <c r="K205" s="4"/>
      <c r="L205" s="4"/>
    </row>
    <row r="206" spans="1:12" s="20" customFormat="1" ht="15.75">
      <c r="A206" s="81"/>
      <c r="B206" s="17"/>
      <c r="C206" s="17"/>
      <c r="D206" s="17"/>
      <c r="E206" s="6"/>
      <c r="F206" s="5"/>
      <c r="G206" s="9"/>
      <c r="H206" s="11"/>
      <c r="I206" s="4"/>
      <c r="J206" s="4"/>
      <c r="K206" s="4"/>
      <c r="L206" s="4"/>
    </row>
    <row r="207" spans="1:12" s="20" customFormat="1" ht="15.75">
      <c r="A207" s="81"/>
      <c r="B207" s="17"/>
      <c r="C207" s="17"/>
      <c r="D207" s="17"/>
      <c r="E207" s="6"/>
      <c r="F207" s="5"/>
      <c r="G207" s="9"/>
      <c r="H207" s="11"/>
      <c r="I207" s="4"/>
      <c r="J207" s="4"/>
      <c r="K207" s="4"/>
      <c r="L207" s="4"/>
    </row>
    <row r="208" spans="1:12" s="20" customFormat="1" ht="15.75">
      <c r="A208" s="81"/>
      <c r="B208" s="17"/>
      <c r="C208" s="17"/>
      <c r="D208" s="17"/>
      <c r="E208" s="6"/>
      <c r="F208" s="9"/>
      <c r="G208" s="9"/>
      <c r="H208" s="11"/>
      <c r="I208" s="4"/>
      <c r="J208" s="4"/>
      <c r="K208" s="4"/>
      <c r="L208" s="4"/>
    </row>
    <row r="209" spans="1:14" s="20" customFormat="1" ht="15.75">
      <c r="A209" s="81"/>
      <c r="B209" s="17"/>
      <c r="C209" s="17"/>
      <c r="D209" s="17"/>
      <c r="E209" s="6"/>
      <c r="F209" s="5"/>
      <c r="G209" s="9"/>
      <c r="H209" s="11"/>
      <c r="I209" s="4"/>
      <c r="J209" s="4"/>
      <c r="K209" s="4"/>
      <c r="L209" s="4"/>
    </row>
    <row r="210" spans="1:14" ht="18.75" customHeight="1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</row>
    <row r="211" spans="1:14" ht="9.75" customHeight="1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1:14" ht="9.75" customHeight="1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1:14" ht="9.75" customHeight="1">
      <c r="B213" s="12"/>
      <c r="C213" s="12"/>
      <c r="D213" s="22"/>
      <c r="E213" s="22"/>
      <c r="F213" s="22"/>
      <c r="G213" s="22"/>
      <c r="H213" s="12"/>
      <c r="I213" s="12"/>
      <c r="J213" s="12"/>
      <c r="K213" s="12"/>
      <c r="L213" s="12"/>
      <c r="M213" s="12"/>
      <c r="N213" s="12"/>
    </row>
    <row r="214" spans="1:14" ht="9.75" customHeight="1">
      <c r="B214" s="12"/>
      <c r="C214" s="12"/>
      <c r="D214" s="12"/>
      <c r="E214" s="10"/>
      <c r="F214" s="10"/>
      <c r="G214" s="10"/>
      <c r="H214" s="12"/>
      <c r="I214" s="12"/>
      <c r="J214" s="12"/>
      <c r="K214" s="12"/>
      <c r="L214" s="12"/>
      <c r="M214" s="12"/>
      <c r="N214" s="12"/>
    </row>
    <row r="215" spans="1:14" ht="9.75" customHeight="1">
      <c r="B215" s="12"/>
      <c r="C215" s="12"/>
      <c r="D215" s="12"/>
      <c r="E215" s="10"/>
      <c r="F215" s="10"/>
      <c r="G215" s="10"/>
      <c r="H215" s="12"/>
      <c r="I215" s="12"/>
      <c r="J215" s="12"/>
      <c r="K215" s="12"/>
      <c r="L215" s="12"/>
      <c r="M215" s="12"/>
      <c r="N215" s="12"/>
    </row>
    <row r="216" spans="1:14" ht="9.75" customHeight="1">
      <c r="B216" s="12"/>
      <c r="C216" s="12"/>
      <c r="D216" s="12"/>
      <c r="E216" s="10"/>
      <c r="F216" s="10"/>
      <c r="G216" s="10"/>
      <c r="H216" s="12"/>
      <c r="I216" s="12"/>
      <c r="J216" s="12"/>
      <c r="K216" s="12"/>
      <c r="L216" s="12"/>
      <c r="M216" s="12"/>
      <c r="N216" s="12"/>
    </row>
    <row r="217" spans="1:14" ht="9.75" customHeight="1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1:14" ht="9.75" customHeight="1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1:14" ht="9.75" customHeight="1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1:14" ht="9.75" customHeight="1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</row>
    <row r="221" spans="1:14" ht="9.75" customHeight="1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</row>
    <row r="222" spans="1:14" ht="9.75" customHeight="1">
      <c r="B222" s="12"/>
      <c r="C222" s="12"/>
      <c r="D222" s="12"/>
      <c r="E222" s="10"/>
      <c r="F222" s="10"/>
      <c r="G222" s="10"/>
      <c r="H222" s="10"/>
      <c r="I222" s="12"/>
      <c r="J222" s="12"/>
      <c r="K222" s="12"/>
      <c r="L222" s="12"/>
      <c r="M222" s="12"/>
      <c r="N222" s="12"/>
    </row>
    <row r="223" spans="1:14" ht="9.75" customHeight="1">
      <c r="B223" s="12"/>
      <c r="C223" s="12"/>
      <c r="D223" s="12"/>
      <c r="E223" s="10"/>
      <c r="F223" s="10"/>
      <c r="G223" s="10"/>
      <c r="H223" s="10"/>
      <c r="I223" s="12"/>
      <c r="J223" s="12"/>
      <c r="K223" s="12"/>
      <c r="L223" s="12"/>
      <c r="M223" s="12"/>
      <c r="N223" s="12"/>
    </row>
    <row r="224" spans="1:14" ht="9.75" customHeight="1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</row>
    <row r="225" spans="2:14" ht="9.75" customHeight="1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</row>
    <row r="226" spans="2:14" ht="9.75" customHeight="1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</row>
    <row r="227" spans="2:14" ht="9.75" customHeight="1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</row>
    <row r="228" spans="2:14" ht="9.75" customHeight="1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12"/>
      <c r="N228" s="12"/>
    </row>
    <row r="229" spans="2:14" ht="9.75" customHeight="1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12"/>
      <c r="N229" s="12"/>
    </row>
    <row r="230" spans="2:14" ht="9.75" customHeight="1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12"/>
      <c r="N230" s="12"/>
    </row>
    <row r="231" spans="2:14" ht="9.75" customHeight="1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12"/>
      <c r="N231" s="12"/>
    </row>
    <row r="232" spans="2:14" ht="9.75" customHeight="1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12"/>
      <c r="N232" s="12"/>
    </row>
    <row r="233" spans="2:14" ht="9.75" customHeight="1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12"/>
      <c r="N233" s="12"/>
    </row>
    <row r="234" spans="2:14" ht="9.75" customHeight="1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12"/>
      <c r="N234" s="12"/>
    </row>
    <row r="235" spans="2:14" ht="9.75" customHeight="1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12"/>
      <c r="N235" s="12"/>
    </row>
    <row r="236" spans="2:14" ht="9.75" customHeight="1">
      <c r="B236" s="9"/>
      <c r="C236" s="9"/>
      <c r="D236" s="9"/>
      <c r="E236" s="9"/>
      <c r="F236" s="9"/>
      <c r="G236" s="9"/>
      <c r="H236" s="9"/>
      <c r="I236" s="4"/>
      <c r="J236" s="4"/>
      <c r="K236" s="4"/>
      <c r="L236" s="4"/>
    </row>
    <row r="237" spans="2:14" ht="9.75" customHeight="1">
      <c r="B237" s="9"/>
      <c r="C237" s="9"/>
      <c r="D237" s="9"/>
      <c r="E237" s="9"/>
      <c r="F237" s="9"/>
      <c r="G237" s="9"/>
      <c r="H237" s="9"/>
      <c r="I237" s="4"/>
      <c r="J237" s="4"/>
      <c r="K237" s="4"/>
      <c r="L237" s="4"/>
    </row>
    <row r="238" spans="2:14" ht="9.75" customHeight="1">
      <c r="B238" s="9"/>
      <c r="C238" s="9"/>
      <c r="D238" s="9"/>
      <c r="E238" s="9"/>
      <c r="F238" s="9"/>
      <c r="G238" s="9"/>
      <c r="H238" s="9"/>
      <c r="I238" s="4"/>
      <c r="J238" s="4"/>
      <c r="K238" s="4"/>
      <c r="L238" s="4"/>
    </row>
    <row r="239" spans="2:14" ht="9.75" customHeight="1">
      <c r="B239" s="9"/>
      <c r="C239" s="9"/>
      <c r="D239" s="9"/>
      <c r="E239" s="9"/>
      <c r="F239" s="9"/>
      <c r="G239" s="9"/>
      <c r="H239" s="9"/>
      <c r="I239" s="4"/>
      <c r="J239" s="4"/>
      <c r="K239" s="4"/>
      <c r="L239" s="4"/>
    </row>
    <row r="240" spans="2:14" ht="9.75" customHeight="1">
      <c r="B240" s="9"/>
      <c r="C240" s="9"/>
      <c r="D240" s="9"/>
      <c r="E240" s="9"/>
      <c r="F240" s="9"/>
      <c r="G240" s="9"/>
      <c r="H240" s="9"/>
      <c r="I240" s="4"/>
      <c r="J240" s="4"/>
      <c r="K240" s="4"/>
      <c r="L240" s="4"/>
    </row>
    <row r="241" spans="2:12" ht="9.75" customHeight="1">
      <c r="B241" s="9"/>
      <c r="C241" s="9"/>
      <c r="D241" s="9"/>
      <c r="E241" s="9"/>
      <c r="F241" s="9"/>
      <c r="G241" s="9"/>
      <c r="H241" s="9"/>
      <c r="I241" s="4"/>
      <c r="J241" s="4"/>
      <c r="K241" s="4"/>
      <c r="L241" s="4"/>
    </row>
    <row r="242" spans="2:12" ht="9.75" customHeight="1">
      <c r="B242" s="9"/>
      <c r="C242" s="9"/>
      <c r="D242" s="9"/>
      <c r="E242" s="9"/>
      <c r="F242" s="9"/>
      <c r="G242" s="9"/>
      <c r="H242" s="9"/>
      <c r="I242" s="4"/>
      <c r="J242" s="4"/>
      <c r="K242" s="4"/>
      <c r="L242" s="4"/>
    </row>
    <row r="243" spans="2:12" ht="9.75" customHeight="1">
      <c r="B243" s="9"/>
      <c r="C243" s="9"/>
      <c r="D243" s="9"/>
      <c r="E243" s="9"/>
      <c r="F243" s="9"/>
      <c r="G243" s="9"/>
      <c r="H243" s="9"/>
      <c r="I243" s="4"/>
      <c r="J243" s="4"/>
      <c r="K243" s="4"/>
      <c r="L243" s="4"/>
    </row>
    <row r="244" spans="2:12" ht="9.75" customHeight="1">
      <c r="B244" s="9"/>
      <c r="C244" s="9"/>
      <c r="D244" s="9"/>
      <c r="E244" s="9"/>
      <c r="F244" s="9"/>
      <c r="G244" s="9"/>
      <c r="H244" s="9"/>
      <c r="I244" s="4"/>
      <c r="J244" s="4"/>
      <c r="K244" s="4"/>
      <c r="L244" s="4"/>
    </row>
    <row r="245" spans="2:12" ht="15.75">
      <c r="B245" s="9"/>
      <c r="C245" s="9"/>
      <c r="D245" s="9"/>
      <c r="E245" s="9"/>
      <c r="F245" s="9"/>
      <c r="G245" s="9"/>
      <c r="H245" s="9"/>
      <c r="I245" s="4"/>
      <c r="J245" s="4"/>
      <c r="K245" s="4"/>
      <c r="L245" s="4"/>
    </row>
    <row r="246" spans="2:12" ht="15.75">
      <c r="B246" s="9"/>
      <c r="C246" s="9"/>
      <c r="D246" s="9"/>
      <c r="E246" s="9"/>
      <c r="F246" s="9"/>
      <c r="G246" s="9"/>
      <c r="H246" s="9"/>
      <c r="I246" s="4"/>
      <c r="J246" s="4"/>
      <c r="K246" s="4"/>
      <c r="L246" s="4"/>
    </row>
    <row r="247" spans="2:12" ht="15.75">
      <c r="B247" s="9"/>
      <c r="C247" s="9"/>
      <c r="D247" s="9"/>
      <c r="E247" s="9"/>
      <c r="F247" s="9"/>
      <c r="G247" s="9"/>
      <c r="H247" s="9"/>
      <c r="I247" s="4"/>
      <c r="J247" s="4"/>
      <c r="K247" s="4"/>
      <c r="L247" s="4"/>
    </row>
    <row r="248" spans="2:12" ht="15.75">
      <c r="B248" s="9"/>
      <c r="C248" s="9"/>
      <c r="D248" s="9"/>
      <c r="E248" s="9"/>
      <c r="F248" s="9"/>
      <c r="G248" s="9"/>
      <c r="H248" s="9"/>
      <c r="I248" s="4"/>
      <c r="J248" s="4"/>
      <c r="K248" s="4"/>
      <c r="L248" s="4"/>
    </row>
    <row r="249" spans="2:12" ht="15.75">
      <c r="B249" s="9"/>
      <c r="C249" s="9"/>
      <c r="D249" s="9"/>
      <c r="E249" s="9"/>
      <c r="F249" s="9"/>
      <c r="G249" s="9"/>
      <c r="H249" s="9"/>
      <c r="I249" s="4"/>
      <c r="J249" s="4"/>
      <c r="K249" s="4"/>
      <c r="L249" s="4"/>
    </row>
    <row r="250" spans="2:12" ht="15.75">
      <c r="B250" s="9"/>
      <c r="C250" s="9"/>
      <c r="D250" s="9"/>
      <c r="E250" s="9"/>
      <c r="F250" s="9"/>
      <c r="G250" s="9"/>
      <c r="H250" s="9"/>
      <c r="I250" s="4"/>
      <c r="J250" s="4"/>
      <c r="K250" s="4"/>
      <c r="L250" s="4"/>
    </row>
    <row r="251" spans="2:12" ht="15.75">
      <c r="B251" s="9"/>
      <c r="C251" s="9"/>
      <c r="D251" s="9"/>
      <c r="E251" s="9"/>
      <c r="F251" s="9"/>
      <c r="G251" s="9"/>
      <c r="H251" s="9"/>
      <c r="I251" s="4"/>
      <c r="J251" s="4"/>
      <c r="K251" s="4"/>
      <c r="L251" s="4"/>
    </row>
    <row r="252" spans="2:12" ht="15.75">
      <c r="B252" s="9"/>
      <c r="C252" s="9"/>
      <c r="D252" s="9"/>
      <c r="E252" s="9"/>
      <c r="F252" s="9"/>
      <c r="G252" s="9"/>
      <c r="H252" s="9"/>
      <c r="I252" s="4"/>
      <c r="J252" s="4"/>
      <c r="K252" s="4"/>
      <c r="L252" s="4"/>
    </row>
    <row r="253" spans="2:12" ht="15.75">
      <c r="B253" s="9"/>
      <c r="C253" s="9"/>
      <c r="D253" s="9"/>
      <c r="E253" s="9"/>
      <c r="F253" s="9"/>
      <c r="G253" s="9"/>
      <c r="H253" s="9"/>
      <c r="I253" s="4"/>
      <c r="J253" s="4"/>
      <c r="K253" s="4"/>
      <c r="L253" s="4"/>
    </row>
    <row r="254" spans="2:12" ht="15.75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</row>
    <row r="255" spans="2:12" ht="15.75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</row>
    <row r="256" spans="2:12" ht="15.75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</row>
    <row r="257" spans="2:12" ht="15.75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</row>
    <row r="258" spans="2:12" ht="15.75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</row>
    <row r="259" spans="2:12" ht="15.75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</row>
    <row r="260" spans="2:12" ht="15.75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</row>
    <row r="261" spans="2:12" ht="15.75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</row>
    <row r="262" spans="2:12" ht="15.75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</row>
    <row r="263" spans="2:12" ht="15.75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</row>
    <row r="264" spans="2:12" ht="15.7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</row>
    <row r="265" spans="2:12" ht="15.75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</row>
    <row r="266" spans="2:12" ht="15.7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</row>
    <row r="267" spans="2:12" ht="15.75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</row>
    <row r="268" spans="2:12" ht="15.75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</row>
    <row r="269" spans="2:12" ht="15.75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</row>
    <row r="270" spans="2:12" ht="15.75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</row>
    <row r="271" spans="2:12" ht="15.75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</row>
    <row r="272" spans="2:12" ht="15.75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</row>
    <row r="273" spans="2:12" ht="15.75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</row>
    <row r="274" spans="2:12" ht="15.75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</row>
    <row r="275" spans="2:12" ht="15.75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</row>
    <row r="276" spans="2:12" ht="15.75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</row>
    <row r="277" spans="2:12" ht="15.75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2:12" ht="15.75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</row>
    <row r="279" spans="2:12" ht="15.75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</row>
    <row r="280" spans="2:12" ht="15.75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</row>
    <row r="281" spans="2:12" ht="15.75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</row>
    <row r="282" spans="2:12" ht="15.75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</row>
    <row r="283" spans="2:12" ht="15.75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</row>
    <row r="284" spans="2:12" ht="15.75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</row>
    <row r="285" spans="2:12" ht="15.75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</row>
    <row r="286" spans="2:12" ht="15.75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</row>
    <row r="287" spans="2:12" ht="15.75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</row>
    <row r="288" spans="2:12" ht="15.75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</row>
    <row r="289" spans="2:12" ht="15.75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</row>
    <row r="290" spans="2:12" ht="15.75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</row>
    <row r="291" spans="2:12" ht="15.75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</row>
    <row r="292" spans="2:12" ht="15.75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</row>
    <row r="293" spans="2:12" ht="15.75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</row>
    <row r="294" spans="2:12" ht="15.75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</row>
    <row r="295" spans="2:12" ht="15.75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</row>
    <row r="296" spans="2:12" ht="15.75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</row>
    <row r="297" spans="2:12" ht="15.75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</row>
    <row r="298" spans="2:12" ht="15.75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</row>
    <row r="299" spans="2:12" ht="15.75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</row>
    <row r="300" spans="2:12" ht="15.75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</row>
    <row r="301" spans="2:12" ht="15.75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</row>
    <row r="302" spans="2:12" ht="15.75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</row>
    <row r="303" spans="2:12" ht="15.75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</row>
    <row r="304" spans="2:12" ht="15.75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</row>
    <row r="305" spans="2:12" ht="15.75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</row>
    <row r="306" spans="2:12" ht="15.75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  <row r="307" spans="2:12" ht="15.75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</row>
    <row r="308" spans="2:12" ht="15.75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</row>
    <row r="309" spans="2:12" ht="15.75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</row>
    <row r="310" spans="2:12" ht="15.75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</row>
    <row r="311" spans="2:12" ht="15.75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</row>
    <row r="312" spans="2:12" ht="15.75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</row>
    <row r="313" spans="2:12" ht="15.75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</row>
    <row r="314" spans="2:12" ht="15.75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</row>
    <row r="315" spans="2:12" ht="15.75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</row>
    <row r="316" spans="2:12" ht="15.75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</row>
    <row r="317" spans="2:12" ht="15.75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</row>
    <row r="318" spans="2:12" ht="15.75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</row>
    <row r="319" spans="2:12" ht="15.75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</row>
    <row r="320" spans="2:12" ht="15.75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</row>
    <row r="321" spans="2:12" ht="15.75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</row>
    <row r="322" spans="2:12" ht="15.75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</row>
    <row r="323" spans="2:12" ht="15.75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</row>
  </sheetData>
  <autoFilter ref="A9:A156"/>
  <mergeCells count="109">
    <mergeCell ref="E150:G150"/>
    <mergeCell ref="E151:G151"/>
    <mergeCell ref="E152:G152"/>
    <mergeCell ref="E153:G153"/>
    <mergeCell ref="E154:G154"/>
    <mergeCell ref="E144:G144"/>
    <mergeCell ref="E145:G145"/>
    <mergeCell ref="E146:G146"/>
    <mergeCell ref="E147:G147"/>
    <mergeCell ref="E148:G148"/>
    <mergeCell ref="B150:D150"/>
    <mergeCell ref="B151:D151"/>
    <mergeCell ref="B152:D152"/>
    <mergeCell ref="B153:D153"/>
    <mergeCell ref="B154:D154"/>
    <mergeCell ref="B144:D144"/>
    <mergeCell ref="B145:D145"/>
    <mergeCell ref="B146:D146"/>
    <mergeCell ref="B147:D147"/>
    <mergeCell ref="B148:D148"/>
    <mergeCell ref="C127:C129"/>
    <mergeCell ref="E130:G130"/>
    <mergeCell ref="B131:G131"/>
    <mergeCell ref="F132:G132"/>
    <mergeCell ref="B137:D137"/>
    <mergeCell ref="B136:I136"/>
    <mergeCell ref="E137:G137"/>
    <mergeCell ref="B149:D149"/>
    <mergeCell ref="B138:D138"/>
    <mergeCell ref="B139:D139"/>
    <mergeCell ref="B140:D140"/>
    <mergeCell ref="B141:D141"/>
    <mergeCell ref="B142:D142"/>
    <mergeCell ref="B143:D143"/>
    <mergeCell ref="E149:G149"/>
    <mergeCell ref="E138:G138"/>
    <mergeCell ref="E139:G139"/>
    <mergeCell ref="E140:G140"/>
    <mergeCell ref="E141:G141"/>
    <mergeCell ref="E142:G142"/>
    <mergeCell ref="E143:G143"/>
    <mergeCell ref="C110:G110"/>
    <mergeCell ref="E114:G114"/>
    <mergeCell ref="E115:G115"/>
    <mergeCell ref="E118:G118"/>
    <mergeCell ref="E119:G119"/>
    <mergeCell ref="C121:C123"/>
    <mergeCell ref="E124:G124"/>
    <mergeCell ref="B125:G125"/>
    <mergeCell ref="F126:G126"/>
    <mergeCell ref="D88:G88"/>
    <mergeCell ref="D89:G89"/>
    <mergeCell ref="E90:G90"/>
    <mergeCell ref="E94:G94"/>
    <mergeCell ref="D95:G95"/>
    <mergeCell ref="E96:G96"/>
    <mergeCell ref="C102:G102"/>
    <mergeCell ref="C103:G103"/>
    <mergeCell ref="C108:G108"/>
    <mergeCell ref="E63:G63"/>
    <mergeCell ref="E66:G66"/>
    <mergeCell ref="E67:G67"/>
    <mergeCell ref="E68:G68"/>
    <mergeCell ref="D72:G72"/>
    <mergeCell ref="D73:G73"/>
    <mergeCell ref="D74:G74"/>
    <mergeCell ref="F80:G80"/>
    <mergeCell ref="F81:G81"/>
    <mergeCell ref="G38:G39"/>
    <mergeCell ref="B42:G42"/>
    <mergeCell ref="B46:G46"/>
    <mergeCell ref="E47:F47"/>
    <mergeCell ref="G48:G49"/>
    <mergeCell ref="B52:G52"/>
    <mergeCell ref="B56:G56"/>
    <mergeCell ref="E61:G61"/>
    <mergeCell ref="E62:G62"/>
    <mergeCell ref="B17:G17"/>
    <mergeCell ref="B21:G21"/>
    <mergeCell ref="F24:G24"/>
    <mergeCell ref="E25:E26"/>
    <mergeCell ref="C29:D29"/>
    <mergeCell ref="C30:D30"/>
    <mergeCell ref="B32:G32"/>
    <mergeCell ref="B34:G34"/>
    <mergeCell ref="E37:F37"/>
    <mergeCell ref="B1:I1"/>
    <mergeCell ref="B2:D2"/>
    <mergeCell ref="E2:I2"/>
    <mergeCell ref="D3:F3"/>
    <mergeCell ref="F10:H10"/>
    <mergeCell ref="F11:G11"/>
    <mergeCell ref="F12:G12"/>
    <mergeCell ref="B14:C14"/>
    <mergeCell ref="B15:C15"/>
    <mergeCell ref="E170:G170"/>
    <mergeCell ref="E158:G158"/>
    <mergeCell ref="E164:G164"/>
    <mergeCell ref="E165:G165"/>
    <mergeCell ref="E166:G166"/>
    <mergeCell ref="E167:G167"/>
    <mergeCell ref="E168:G168"/>
    <mergeCell ref="E169:G169"/>
    <mergeCell ref="E157:G157"/>
    <mergeCell ref="E159:G159"/>
    <mergeCell ref="E160:G160"/>
    <mergeCell ref="E161:G161"/>
    <mergeCell ref="E162:G162"/>
    <mergeCell ref="E163:G163"/>
  </mergeCells>
  <dataValidations disablePrompts="1" count="1">
    <dataValidation allowBlank="1" showInputMessage="1" showErrorMessage="1" prompt="SỐ ỐNG CỐNG" sqref="C28"/>
  </dataValidations>
  <pageMargins left="0.78740157480314965" right="0.74803149606299213" top="0.23622047244094491" bottom="0.23622047244094491" header="0" footer="0"/>
  <pageSetup paperSize="8" scale="96" orientation="landscape" r:id="rId1"/>
  <headerFooter alignWithMargins="0">
    <oddFooter>&amp;CTrang &amp;P</oddFooter>
  </headerFooter>
  <colBreaks count="1" manualBreakCount="1">
    <brk id="5" min="135" max="153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Tron coc 46 D1.5 K1+753.97</vt:lpstr>
      <vt:lpstr>'Tron coc 46 D1.5 K1+753.97'!bangtinh</vt:lpstr>
      <vt:lpstr>'Tron coc 46 D1.5 K1+753.97'!m</vt:lpstr>
      <vt:lpstr>'Tron coc 46 D1.5 K1+753.97'!n</vt:lpstr>
    </vt:vector>
  </TitlesOfParts>
  <Company>Cty CP TVGT &amp; XD QT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Ha Phuong</dc:creator>
  <cp:lastModifiedBy>Huy</cp:lastModifiedBy>
  <cp:lastPrinted>2016-07-05T07:55:37Z</cp:lastPrinted>
  <dcterms:created xsi:type="dcterms:W3CDTF">2007-04-06T20:48:15Z</dcterms:created>
  <dcterms:modified xsi:type="dcterms:W3CDTF">2016-07-06T03:50:51Z</dcterms:modified>
</cp:coreProperties>
</file>