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20"/>
  </bookViews>
  <sheets>
    <sheet name="Thống kê thép" sheetId="4" r:id="rId1"/>
    <sheet name="Ván khuôn - bê tông" sheetId="2" r:id="rId2"/>
  </sheets>
  <externalReferences>
    <externalReference r:id="rId3"/>
  </externalReferences>
  <definedNames>
    <definedName name="Bangduthau">'[1]Dự thầu'!$A$4:$E$39</definedName>
    <definedName name="Lcay" localSheetId="0">'Thống kê thép'!$AE$1</definedName>
    <definedName name="Lcay">#REF!</definedName>
    <definedName name="Nc" localSheetId="0">'Thống kê thép'!$AE$2</definedName>
    <definedName name="Nc">#REF!</definedName>
    <definedName name="_xlnm.Print_Area" localSheetId="0">'Thống kê thép'!$A$1:$R$114</definedName>
    <definedName name="_xlnm.Print_Titles" localSheetId="0">'Thống kê thép'!$3:$5</definedName>
    <definedName name="TkecuaB.4R">'[1]Tke cua'!$C$6:$H$26</definedName>
  </definedNames>
  <calcPr calcId="152511"/>
</workbook>
</file>

<file path=xl/calcChain.xml><?xml version="1.0" encoding="utf-8"?>
<calcChain xmlns="http://schemas.openxmlformats.org/spreadsheetml/2006/main">
  <c r="AA102" i="4" l="1"/>
  <c r="Z102" i="4"/>
  <c r="Y102" i="4"/>
  <c r="X102" i="4"/>
  <c r="W102" i="4"/>
  <c r="V102" i="4"/>
  <c r="U102" i="4"/>
  <c r="T102" i="4"/>
  <c r="S102" i="4"/>
  <c r="R102" i="4"/>
  <c r="Q102" i="4"/>
  <c r="AA101" i="4"/>
  <c r="Z101" i="4"/>
  <c r="Y101" i="4"/>
  <c r="X101" i="4"/>
  <c r="W101" i="4"/>
  <c r="V101" i="4"/>
  <c r="U101" i="4"/>
  <c r="T101" i="4"/>
  <c r="S101" i="4"/>
  <c r="Q101" i="4"/>
  <c r="AA100" i="4"/>
  <c r="Z100" i="4"/>
  <c r="Y100" i="4"/>
  <c r="X100" i="4"/>
  <c r="W100" i="4"/>
  <c r="V100" i="4"/>
  <c r="U100" i="4"/>
  <c r="T100" i="4"/>
  <c r="S100" i="4"/>
  <c r="Q100" i="4"/>
  <c r="AA99" i="4"/>
  <c r="Z99" i="4"/>
  <c r="Y99" i="4"/>
  <c r="X99" i="4"/>
  <c r="W99" i="4"/>
  <c r="V99" i="4"/>
  <c r="U99" i="4"/>
  <c r="T99" i="4"/>
  <c r="S99" i="4"/>
  <c r="Q99" i="4"/>
  <c r="AA98" i="4"/>
  <c r="Z98" i="4"/>
  <c r="Y98" i="4"/>
  <c r="X98" i="4"/>
  <c r="W98" i="4"/>
  <c r="V98" i="4"/>
  <c r="U98" i="4"/>
  <c r="T98" i="4"/>
  <c r="S98" i="4"/>
  <c r="Q98" i="4"/>
  <c r="AA97" i="4"/>
  <c r="Z97" i="4"/>
  <c r="Y97" i="4"/>
  <c r="X97" i="4"/>
  <c r="W97" i="4"/>
  <c r="V97" i="4"/>
  <c r="U97" i="4"/>
  <c r="T97" i="4"/>
  <c r="S97" i="4"/>
  <c r="R97" i="4"/>
  <c r="AA96" i="4"/>
  <c r="Z96" i="4"/>
  <c r="Y96" i="4"/>
  <c r="X96" i="4"/>
  <c r="W96" i="4"/>
  <c r="V96" i="4"/>
  <c r="U96" i="4"/>
  <c r="T96" i="4"/>
  <c r="R96" i="4"/>
  <c r="Q96" i="4"/>
  <c r="AA95" i="4"/>
  <c r="Z95" i="4"/>
  <c r="Y95" i="4"/>
  <c r="X95" i="4"/>
  <c r="W95" i="4"/>
  <c r="V95" i="4"/>
  <c r="U95" i="4"/>
  <c r="T95" i="4"/>
  <c r="S95" i="4"/>
  <c r="R95" i="4"/>
  <c r="AA94" i="4"/>
  <c r="Z94" i="4"/>
  <c r="Y94" i="4"/>
  <c r="X94" i="4"/>
  <c r="W94" i="4"/>
  <c r="V94" i="4"/>
  <c r="U94" i="4"/>
  <c r="T94" i="4"/>
  <c r="S94" i="4"/>
  <c r="R94" i="4"/>
  <c r="AA93" i="4"/>
  <c r="Z93" i="4"/>
  <c r="Y93" i="4"/>
  <c r="X93" i="4"/>
  <c r="W93" i="4"/>
  <c r="V93" i="4"/>
  <c r="U93" i="4"/>
  <c r="T93" i="4"/>
  <c r="R93" i="4"/>
  <c r="Q93" i="4"/>
  <c r="AA92" i="4"/>
  <c r="Z92" i="4"/>
  <c r="Y92" i="4"/>
  <c r="X92" i="4"/>
  <c r="W92" i="4"/>
  <c r="V92" i="4"/>
  <c r="U92" i="4"/>
  <c r="T92" i="4"/>
  <c r="S92" i="4"/>
  <c r="R92" i="4"/>
  <c r="AA91" i="4"/>
  <c r="Z91" i="4"/>
  <c r="Y91" i="4"/>
  <c r="X91" i="4"/>
  <c r="W91" i="4"/>
  <c r="V91" i="4"/>
  <c r="U91" i="4"/>
  <c r="T91" i="4"/>
  <c r="S91" i="4"/>
  <c r="R91" i="4"/>
  <c r="AA90" i="4"/>
  <c r="Z90" i="4"/>
  <c r="Y90" i="4"/>
  <c r="X90" i="4"/>
  <c r="W90" i="4"/>
  <c r="V90" i="4"/>
  <c r="U90" i="4"/>
  <c r="T90" i="4"/>
  <c r="R90" i="4"/>
  <c r="Q90" i="4"/>
  <c r="AA89" i="4"/>
  <c r="Z89" i="4"/>
  <c r="Y89" i="4"/>
  <c r="X89" i="4"/>
  <c r="W89" i="4"/>
  <c r="V89" i="4"/>
  <c r="U89" i="4"/>
  <c r="T89" i="4"/>
  <c r="S89" i="4"/>
  <c r="Q89" i="4"/>
  <c r="AA88" i="4"/>
  <c r="Z88" i="4"/>
  <c r="Y88" i="4"/>
  <c r="X88" i="4"/>
  <c r="W88" i="4"/>
  <c r="V88" i="4"/>
  <c r="U88" i="4"/>
  <c r="T88" i="4"/>
  <c r="S88" i="4"/>
  <c r="Q88" i="4"/>
  <c r="AA85" i="4"/>
  <c r="Z85" i="4"/>
  <c r="Y85" i="4"/>
  <c r="X85" i="4"/>
  <c r="W85" i="4"/>
  <c r="V85" i="4"/>
  <c r="U85" i="4"/>
  <c r="T85" i="4"/>
  <c r="S85" i="4"/>
  <c r="R85" i="4"/>
  <c r="AA84" i="4"/>
  <c r="Z84" i="4"/>
  <c r="Y84" i="4"/>
  <c r="X84" i="4"/>
  <c r="W84" i="4"/>
  <c r="V84" i="4"/>
  <c r="T84" i="4"/>
  <c r="S84" i="4"/>
  <c r="R84" i="4"/>
  <c r="Q84" i="4"/>
  <c r="AA83" i="4"/>
  <c r="Z83" i="4"/>
  <c r="Y83" i="4"/>
  <c r="X83" i="4"/>
  <c r="W83" i="4"/>
  <c r="V83" i="4"/>
  <c r="T83" i="4"/>
  <c r="S83" i="4"/>
  <c r="R83" i="4"/>
  <c r="Q83" i="4"/>
  <c r="AA82" i="4"/>
  <c r="Z82" i="4"/>
  <c r="Y82" i="4"/>
  <c r="X82" i="4"/>
  <c r="W82" i="4"/>
  <c r="V82" i="4"/>
  <c r="U82" i="4"/>
  <c r="T82" i="4"/>
  <c r="S82" i="4"/>
  <c r="R82" i="4"/>
  <c r="AA81" i="4"/>
  <c r="Z81" i="4"/>
  <c r="Y81" i="4"/>
  <c r="X81" i="4"/>
  <c r="W81" i="4"/>
  <c r="V81" i="4"/>
  <c r="T81" i="4"/>
  <c r="S81" i="4"/>
  <c r="R81" i="4"/>
  <c r="Q81" i="4"/>
  <c r="AA80" i="4"/>
  <c r="Z80" i="4"/>
  <c r="Y80" i="4"/>
  <c r="X80" i="4"/>
  <c r="W80" i="4"/>
  <c r="V80" i="4"/>
  <c r="T80" i="4"/>
  <c r="S80" i="4"/>
  <c r="R80" i="4"/>
  <c r="Q80" i="4"/>
  <c r="AA79" i="4"/>
  <c r="Z79" i="4"/>
  <c r="Y79" i="4"/>
  <c r="X79" i="4"/>
  <c r="W79" i="4"/>
  <c r="V79" i="4"/>
  <c r="T79" i="4"/>
  <c r="S79" i="4"/>
  <c r="R79" i="4"/>
  <c r="Q79" i="4"/>
  <c r="AA78" i="4"/>
  <c r="Z78" i="4"/>
  <c r="Y78" i="4"/>
  <c r="X78" i="4"/>
  <c r="W78" i="4"/>
  <c r="V78" i="4"/>
  <c r="T78" i="4"/>
  <c r="S78" i="4"/>
  <c r="R78" i="4"/>
  <c r="Q78" i="4"/>
  <c r="AA77" i="4"/>
  <c r="Z77" i="4"/>
  <c r="Y77" i="4"/>
  <c r="X77" i="4"/>
  <c r="W77" i="4"/>
  <c r="V77" i="4"/>
  <c r="T77" i="4"/>
  <c r="S77" i="4"/>
  <c r="R77" i="4"/>
  <c r="Q77" i="4"/>
  <c r="AA76" i="4"/>
  <c r="Z76" i="4"/>
  <c r="Y76" i="4"/>
  <c r="X76" i="4"/>
  <c r="W76" i="4"/>
  <c r="V76" i="4"/>
  <c r="U76" i="4"/>
  <c r="T76" i="4"/>
  <c r="S76" i="4"/>
  <c r="R76" i="4"/>
  <c r="AA75" i="4"/>
  <c r="Z75" i="4"/>
  <c r="Y75" i="4"/>
  <c r="X75" i="4"/>
  <c r="W75" i="4"/>
  <c r="U75" i="4"/>
  <c r="T75" i="4"/>
  <c r="S75" i="4"/>
  <c r="R75" i="4"/>
  <c r="Q75" i="4"/>
  <c r="AA74" i="4"/>
  <c r="Z74" i="4"/>
  <c r="Y74" i="4"/>
  <c r="X74" i="4"/>
  <c r="W74" i="4"/>
  <c r="U74" i="4"/>
  <c r="T74" i="4"/>
  <c r="S74" i="4"/>
  <c r="R74" i="4"/>
  <c r="Q74" i="4"/>
  <c r="AA73" i="4"/>
  <c r="Z73" i="4"/>
  <c r="Y73" i="4"/>
  <c r="X73" i="4"/>
  <c r="W73" i="4"/>
  <c r="U73" i="4"/>
  <c r="T73" i="4"/>
  <c r="S73" i="4"/>
  <c r="R73" i="4"/>
  <c r="Q73" i="4"/>
  <c r="AA72" i="4"/>
  <c r="Z72" i="4"/>
  <c r="Y72" i="4"/>
  <c r="X72" i="4"/>
  <c r="W72" i="4"/>
  <c r="U72" i="4"/>
  <c r="T72" i="4"/>
  <c r="S72" i="4"/>
  <c r="R72" i="4"/>
  <c r="Q72" i="4"/>
  <c r="AA71" i="4"/>
  <c r="Z71" i="4"/>
  <c r="Y71" i="4"/>
  <c r="X71" i="4"/>
  <c r="W71" i="4"/>
  <c r="V71" i="4"/>
  <c r="U71" i="4"/>
  <c r="T71" i="4"/>
  <c r="S71" i="4"/>
  <c r="R71" i="4"/>
  <c r="AA70" i="4"/>
  <c r="Z70" i="4"/>
  <c r="Y70" i="4"/>
  <c r="X70" i="4"/>
  <c r="W70" i="4"/>
  <c r="U70" i="4"/>
  <c r="T70" i="4"/>
  <c r="S70" i="4"/>
  <c r="R70" i="4"/>
  <c r="Q70" i="4"/>
  <c r="AA69" i="4"/>
  <c r="Z69" i="4"/>
  <c r="Y69" i="4"/>
  <c r="X69" i="4"/>
  <c r="W69" i="4"/>
  <c r="U69" i="4"/>
  <c r="T69" i="4"/>
  <c r="S69" i="4"/>
  <c r="R69" i="4"/>
  <c r="Q69" i="4"/>
  <c r="AA68" i="4"/>
  <c r="Z68" i="4"/>
  <c r="Y68" i="4"/>
  <c r="X68" i="4"/>
  <c r="W68" i="4"/>
  <c r="U68" i="4"/>
  <c r="T68" i="4"/>
  <c r="S68" i="4"/>
  <c r="R68" i="4"/>
  <c r="Q68" i="4"/>
  <c r="AA67" i="4"/>
  <c r="Z67" i="4"/>
  <c r="Y67" i="4"/>
  <c r="X67" i="4"/>
  <c r="W67" i="4"/>
  <c r="U67" i="4"/>
  <c r="T67" i="4"/>
  <c r="S67" i="4"/>
  <c r="R67" i="4"/>
  <c r="Q67" i="4"/>
  <c r="AA66" i="4"/>
  <c r="Z66" i="4"/>
  <c r="Y66" i="4"/>
  <c r="X66" i="4"/>
  <c r="W66" i="4"/>
  <c r="U66" i="4"/>
  <c r="T66" i="4"/>
  <c r="S66" i="4"/>
  <c r="R66" i="4"/>
  <c r="Q66" i="4"/>
  <c r="AA65" i="4"/>
  <c r="Z65" i="4"/>
  <c r="Y65" i="4"/>
  <c r="X65" i="4"/>
  <c r="W65" i="4"/>
  <c r="V65" i="4"/>
  <c r="U65" i="4"/>
  <c r="T65" i="4"/>
  <c r="S65" i="4"/>
  <c r="R65" i="4"/>
  <c r="AA64" i="4"/>
  <c r="Z64" i="4"/>
  <c r="Y64" i="4"/>
  <c r="X64" i="4"/>
  <c r="W64" i="4"/>
  <c r="U64" i="4"/>
  <c r="T64" i="4"/>
  <c r="S64" i="4"/>
  <c r="R64" i="4"/>
  <c r="Q64" i="4"/>
  <c r="AA63" i="4"/>
  <c r="Z63" i="4"/>
  <c r="Y63" i="4"/>
  <c r="X63" i="4"/>
  <c r="W63" i="4"/>
  <c r="U63" i="4"/>
  <c r="T63" i="4"/>
  <c r="S63" i="4"/>
  <c r="R63" i="4"/>
  <c r="Q63" i="4"/>
  <c r="AA62" i="4"/>
  <c r="Z62" i="4"/>
  <c r="Y62" i="4"/>
  <c r="X62" i="4"/>
  <c r="W62" i="4"/>
  <c r="U62" i="4"/>
  <c r="T62" i="4"/>
  <c r="S62" i="4"/>
  <c r="R62" i="4"/>
  <c r="Q62" i="4"/>
  <c r="AA61" i="4"/>
  <c r="Z61" i="4"/>
  <c r="Y61" i="4"/>
  <c r="X61" i="4"/>
  <c r="W61" i="4"/>
  <c r="U61" i="4"/>
  <c r="T61" i="4"/>
  <c r="S61" i="4"/>
  <c r="R61" i="4"/>
  <c r="Q61" i="4"/>
  <c r="AA60" i="4"/>
  <c r="Z60" i="4"/>
  <c r="Y60" i="4"/>
  <c r="X60" i="4"/>
  <c r="W60" i="4"/>
  <c r="U60" i="4"/>
  <c r="T60" i="4"/>
  <c r="S60" i="4"/>
  <c r="R60" i="4"/>
  <c r="Q60" i="4"/>
  <c r="AA59" i="4"/>
  <c r="Z59" i="4"/>
  <c r="Y59" i="4"/>
  <c r="X59" i="4"/>
  <c r="W59" i="4"/>
  <c r="U59" i="4"/>
  <c r="T59" i="4"/>
  <c r="S59" i="4"/>
  <c r="R59" i="4"/>
  <c r="Q59" i="4"/>
  <c r="AA58" i="4"/>
  <c r="Z58" i="4"/>
  <c r="Y58" i="4"/>
  <c r="X58" i="4"/>
  <c r="W58" i="4"/>
  <c r="V58" i="4"/>
  <c r="U58" i="4"/>
  <c r="T58" i="4"/>
  <c r="S58" i="4"/>
  <c r="R58" i="4"/>
  <c r="AA57" i="4"/>
  <c r="Z57" i="4"/>
  <c r="Y57" i="4"/>
  <c r="X57" i="4"/>
  <c r="W57" i="4"/>
  <c r="V57" i="4"/>
  <c r="U57" i="4"/>
  <c r="T57" i="4"/>
  <c r="S57" i="4"/>
  <c r="R57" i="4"/>
  <c r="AA56" i="4"/>
  <c r="Z56" i="4"/>
  <c r="Y56" i="4"/>
  <c r="W56" i="4"/>
  <c r="V56" i="4"/>
  <c r="U56" i="4"/>
  <c r="T56" i="4"/>
  <c r="S56" i="4"/>
  <c r="R56" i="4"/>
  <c r="Q56" i="4"/>
  <c r="AA55" i="4"/>
  <c r="Z55" i="4"/>
  <c r="Y55" i="4"/>
  <c r="W55" i="4"/>
  <c r="V55" i="4"/>
  <c r="U55" i="4"/>
  <c r="T55" i="4"/>
  <c r="S55" i="4"/>
  <c r="R55" i="4"/>
  <c r="Q55" i="4"/>
  <c r="AA54" i="4"/>
  <c r="Z54" i="4"/>
  <c r="Y54" i="4"/>
  <c r="W54" i="4"/>
  <c r="V54" i="4"/>
  <c r="U54" i="4"/>
  <c r="T54" i="4"/>
  <c r="S54" i="4"/>
  <c r="R54" i="4"/>
  <c r="Q54" i="4"/>
  <c r="AA53" i="4"/>
  <c r="Z53" i="4"/>
  <c r="Y53" i="4"/>
  <c r="W53" i="4"/>
  <c r="V53" i="4"/>
  <c r="U53" i="4"/>
  <c r="T53" i="4"/>
  <c r="S53" i="4"/>
  <c r="R53" i="4"/>
  <c r="Q53" i="4"/>
  <c r="AA52" i="4"/>
  <c r="Z52" i="4"/>
  <c r="Y52" i="4"/>
  <c r="W52" i="4"/>
  <c r="V52" i="4"/>
  <c r="U52" i="4"/>
  <c r="T52" i="4"/>
  <c r="S52" i="4"/>
  <c r="R52" i="4"/>
  <c r="Q52" i="4"/>
  <c r="AA51" i="4"/>
  <c r="Z51" i="4"/>
  <c r="Y51" i="4"/>
  <c r="X51" i="4"/>
  <c r="W51" i="4"/>
  <c r="U51" i="4"/>
  <c r="T51" i="4"/>
  <c r="S51" i="4"/>
  <c r="R51" i="4"/>
  <c r="Q51" i="4"/>
  <c r="AA50" i="4"/>
  <c r="Z50" i="4"/>
  <c r="Y50" i="4"/>
  <c r="X50" i="4"/>
  <c r="W50" i="4"/>
  <c r="U50" i="4"/>
  <c r="T50" i="4"/>
  <c r="S50" i="4"/>
  <c r="R50" i="4"/>
  <c r="Q50" i="4"/>
  <c r="AA49" i="4"/>
  <c r="Z49" i="4"/>
  <c r="Y49" i="4"/>
  <c r="X49" i="4"/>
  <c r="W49" i="4"/>
  <c r="U49" i="4"/>
  <c r="T49" i="4"/>
  <c r="S49" i="4"/>
  <c r="R49" i="4"/>
  <c r="Q49" i="4"/>
  <c r="AA48" i="4"/>
  <c r="Z48" i="4"/>
  <c r="Y48" i="4"/>
  <c r="X48" i="4"/>
  <c r="W48" i="4"/>
  <c r="U48" i="4"/>
  <c r="T48" i="4"/>
  <c r="S48" i="4"/>
  <c r="R48" i="4"/>
  <c r="Q48" i="4"/>
  <c r="AA47" i="4"/>
  <c r="Z47" i="4"/>
  <c r="Y47" i="4"/>
  <c r="X47" i="4"/>
  <c r="W47" i="4"/>
  <c r="U47" i="4"/>
  <c r="T47" i="4"/>
  <c r="S47" i="4"/>
  <c r="R47" i="4"/>
  <c r="Q47" i="4"/>
  <c r="AA46" i="4"/>
  <c r="Z46" i="4"/>
  <c r="Y46" i="4"/>
  <c r="X46" i="4"/>
  <c r="W46" i="4"/>
  <c r="U46" i="4"/>
  <c r="T46" i="4"/>
  <c r="S46" i="4"/>
  <c r="R46" i="4"/>
  <c r="Q46" i="4"/>
  <c r="AA45" i="4"/>
  <c r="Z45" i="4"/>
  <c r="Y45" i="4"/>
  <c r="X45" i="4"/>
  <c r="W45" i="4"/>
  <c r="V45" i="4"/>
  <c r="U45" i="4"/>
  <c r="T45" i="4"/>
  <c r="S45" i="4"/>
  <c r="R45" i="4"/>
  <c r="AA44" i="4"/>
  <c r="Z44" i="4"/>
  <c r="Y44" i="4"/>
  <c r="X44" i="4"/>
  <c r="W44" i="4"/>
  <c r="U44" i="4"/>
  <c r="T44" i="4"/>
  <c r="S44" i="4"/>
  <c r="R44" i="4"/>
  <c r="Q44" i="4"/>
  <c r="AA43" i="4"/>
  <c r="Z43" i="4"/>
  <c r="Y43" i="4"/>
  <c r="X43" i="4"/>
  <c r="W43" i="4"/>
  <c r="U43" i="4"/>
  <c r="T43" i="4"/>
  <c r="S43" i="4"/>
  <c r="R43" i="4"/>
  <c r="Q43" i="4"/>
  <c r="AA42" i="4"/>
  <c r="Z42" i="4"/>
  <c r="Y42" i="4"/>
  <c r="X42" i="4"/>
  <c r="W42" i="4"/>
  <c r="U42" i="4"/>
  <c r="T42" i="4"/>
  <c r="S42" i="4"/>
  <c r="R42" i="4"/>
  <c r="Q42" i="4"/>
  <c r="AA41" i="4"/>
  <c r="Z41" i="4"/>
  <c r="Y41" i="4"/>
  <c r="X41" i="4"/>
  <c r="W41" i="4"/>
  <c r="U41" i="4"/>
  <c r="T41" i="4"/>
  <c r="S41" i="4"/>
  <c r="R41" i="4"/>
  <c r="Q41" i="4"/>
  <c r="AA40" i="4"/>
  <c r="Z40" i="4"/>
  <c r="Y40" i="4"/>
  <c r="X40" i="4"/>
  <c r="W40" i="4"/>
  <c r="U40" i="4"/>
  <c r="T40" i="4"/>
  <c r="S40" i="4"/>
  <c r="R40" i="4"/>
  <c r="Q40" i="4"/>
  <c r="AA39" i="4"/>
  <c r="Z39" i="4"/>
  <c r="Y39" i="4"/>
  <c r="X39" i="4"/>
  <c r="W39" i="4"/>
  <c r="U39" i="4"/>
  <c r="T39" i="4"/>
  <c r="S39" i="4"/>
  <c r="R39" i="4"/>
  <c r="Q39" i="4"/>
  <c r="AA38" i="4"/>
  <c r="Z38" i="4"/>
  <c r="Y38" i="4"/>
  <c r="X38" i="4"/>
  <c r="W38" i="4"/>
  <c r="U38" i="4"/>
  <c r="T38" i="4"/>
  <c r="S38" i="4"/>
  <c r="R38" i="4"/>
  <c r="Q38" i="4"/>
  <c r="AA35" i="4"/>
  <c r="Z35" i="4"/>
  <c r="Y35" i="4"/>
  <c r="X35" i="4"/>
  <c r="W35" i="4"/>
  <c r="V35" i="4"/>
  <c r="U35" i="4"/>
  <c r="T35" i="4"/>
  <c r="S35" i="4"/>
  <c r="R35" i="4"/>
  <c r="AA34" i="4"/>
  <c r="Z34" i="4"/>
  <c r="Y34" i="4"/>
  <c r="X34" i="4"/>
  <c r="W34" i="4"/>
  <c r="U34" i="4"/>
  <c r="T34" i="4"/>
  <c r="S34" i="4"/>
  <c r="R34" i="4"/>
  <c r="Q34" i="4"/>
  <c r="AA33" i="4"/>
  <c r="Z33" i="4"/>
  <c r="Y33" i="4"/>
  <c r="X33" i="4"/>
  <c r="W33" i="4"/>
  <c r="U33" i="4"/>
  <c r="T33" i="4"/>
  <c r="S33" i="4"/>
  <c r="R33" i="4"/>
  <c r="Q33" i="4"/>
  <c r="AA32" i="4"/>
  <c r="Z32" i="4"/>
  <c r="Y32" i="4"/>
  <c r="X32" i="4"/>
  <c r="W32" i="4"/>
  <c r="V32" i="4"/>
  <c r="U32" i="4"/>
  <c r="T32" i="4"/>
  <c r="S32" i="4"/>
  <c r="R32" i="4"/>
  <c r="AA31" i="4"/>
  <c r="Z31" i="4"/>
  <c r="Y31" i="4"/>
  <c r="X31" i="4"/>
  <c r="W31" i="4"/>
  <c r="V31" i="4"/>
  <c r="U31" i="4"/>
  <c r="T31" i="4"/>
  <c r="R31" i="4"/>
  <c r="Q31" i="4"/>
  <c r="AA30" i="4"/>
  <c r="Z30" i="4"/>
  <c r="Y30" i="4"/>
  <c r="X30" i="4"/>
  <c r="W30" i="4"/>
  <c r="V30" i="4"/>
  <c r="T30" i="4"/>
  <c r="S30" i="4"/>
  <c r="R30" i="4"/>
  <c r="Q30" i="4"/>
  <c r="AA29" i="4"/>
  <c r="Z29" i="4"/>
  <c r="Y29" i="4"/>
  <c r="X29" i="4"/>
  <c r="W29" i="4"/>
  <c r="V29" i="4"/>
  <c r="T29" i="4"/>
  <c r="S29" i="4"/>
  <c r="R29" i="4"/>
  <c r="Q29" i="4"/>
  <c r="AA28" i="4"/>
  <c r="Z28" i="4"/>
  <c r="Y28" i="4"/>
  <c r="X28" i="4"/>
  <c r="W28" i="4"/>
  <c r="V28" i="4"/>
  <c r="U28" i="4"/>
  <c r="T28" i="4"/>
  <c r="S28" i="4"/>
  <c r="R28" i="4"/>
  <c r="AA27" i="4"/>
  <c r="Z27" i="4"/>
  <c r="Y27" i="4"/>
  <c r="X27" i="4"/>
  <c r="W27" i="4"/>
  <c r="V27" i="4"/>
  <c r="U27" i="4"/>
  <c r="T27" i="4"/>
  <c r="R27" i="4"/>
  <c r="Q27" i="4"/>
  <c r="AA26" i="4"/>
  <c r="Z26" i="4"/>
  <c r="Y26" i="4"/>
  <c r="X26" i="4"/>
  <c r="W26" i="4"/>
  <c r="U26" i="4"/>
  <c r="T26" i="4"/>
  <c r="S26" i="4"/>
  <c r="R26" i="4"/>
  <c r="Q26" i="4"/>
  <c r="AA25" i="4"/>
  <c r="Z25" i="4"/>
  <c r="Y25" i="4"/>
  <c r="X25" i="4"/>
  <c r="W25" i="4"/>
  <c r="U25" i="4"/>
  <c r="T25" i="4"/>
  <c r="S25" i="4"/>
  <c r="R25" i="4"/>
  <c r="Q25" i="4"/>
  <c r="AA24" i="4"/>
  <c r="Z24" i="4"/>
  <c r="Y24" i="4"/>
  <c r="X24" i="4"/>
  <c r="W24" i="4"/>
  <c r="V24" i="4"/>
  <c r="U24" i="4"/>
  <c r="T24" i="4"/>
  <c r="S24" i="4"/>
  <c r="R24" i="4"/>
  <c r="AA23" i="4"/>
  <c r="Z23" i="4"/>
  <c r="Y23" i="4"/>
  <c r="X23" i="4"/>
  <c r="W23" i="4"/>
  <c r="V23" i="4"/>
  <c r="U23" i="4"/>
  <c r="T23" i="4"/>
  <c r="R23" i="4"/>
  <c r="Q23" i="4"/>
  <c r="AA22" i="4"/>
  <c r="Z22" i="4"/>
  <c r="Y22" i="4"/>
  <c r="X22" i="4"/>
  <c r="W22" i="4"/>
  <c r="U22" i="4"/>
  <c r="T22" i="4"/>
  <c r="S22" i="4"/>
  <c r="R22" i="4"/>
  <c r="Q22" i="4"/>
  <c r="AA21" i="4"/>
  <c r="Z21" i="4"/>
  <c r="Y21" i="4"/>
  <c r="X21" i="4"/>
  <c r="W21" i="4"/>
  <c r="U21" i="4"/>
  <c r="T21" i="4"/>
  <c r="S21" i="4"/>
  <c r="R21" i="4"/>
  <c r="Q21" i="4"/>
  <c r="R9" i="4"/>
  <c r="S9" i="4"/>
  <c r="T9" i="4"/>
  <c r="U9" i="4"/>
  <c r="W9" i="4"/>
  <c r="X9" i="4"/>
  <c r="Y9" i="4"/>
  <c r="Z9" i="4"/>
  <c r="AA9" i="4"/>
  <c r="Q10" i="4"/>
  <c r="R10" i="4"/>
  <c r="S10" i="4"/>
  <c r="T10" i="4"/>
  <c r="U10" i="4"/>
  <c r="W10" i="4"/>
  <c r="X10" i="4"/>
  <c r="Y10" i="4"/>
  <c r="Z10" i="4"/>
  <c r="AA10" i="4"/>
  <c r="R11" i="4"/>
  <c r="S11" i="4"/>
  <c r="T11" i="4"/>
  <c r="U11" i="4"/>
  <c r="V11" i="4"/>
  <c r="W11" i="4"/>
  <c r="X11" i="4"/>
  <c r="Y11" i="4"/>
  <c r="Z11" i="4"/>
  <c r="AA11" i="4"/>
  <c r="Q12" i="4"/>
  <c r="R12" i="4"/>
  <c r="S12" i="4"/>
  <c r="T12" i="4"/>
  <c r="U12" i="4"/>
  <c r="W12" i="4"/>
  <c r="X12" i="4"/>
  <c r="Y12" i="4"/>
  <c r="Z12" i="4"/>
  <c r="AA12" i="4"/>
  <c r="Q13" i="4"/>
  <c r="R13" i="4"/>
  <c r="S13" i="4"/>
  <c r="T13" i="4"/>
  <c r="U13" i="4"/>
  <c r="W13" i="4"/>
  <c r="X13" i="4"/>
  <c r="Y13" i="4"/>
  <c r="Z13" i="4"/>
  <c r="AA13" i="4"/>
  <c r="R14" i="4"/>
  <c r="S14" i="4"/>
  <c r="T14" i="4"/>
  <c r="U14" i="4"/>
  <c r="V14" i="4"/>
  <c r="W14" i="4"/>
  <c r="X14" i="4"/>
  <c r="Y14" i="4"/>
  <c r="Z14" i="4"/>
  <c r="AA14" i="4"/>
  <c r="Q15" i="4"/>
  <c r="R15" i="4"/>
  <c r="S15" i="4"/>
  <c r="T15" i="4"/>
  <c r="V15" i="4"/>
  <c r="W15" i="4"/>
  <c r="X15" i="4"/>
  <c r="Y15" i="4"/>
  <c r="Z15" i="4"/>
  <c r="AA15" i="4"/>
  <c r="R16" i="4"/>
  <c r="S16" i="4"/>
  <c r="T16" i="4"/>
  <c r="U16" i="4"/>
  <c r="V16" i="4"/>
  <c r="W16" i="4"/>
  <c r="X16" i="4"/>
  <c r="Y16" i="4"/>
  <c r="Z16" i="4"/>
  <c r="AA16" i="4"/>
  <c r="Q17" i="4"/>
  <c r="R17" i="4"/>
  <c r="S17" i="4"/>
  <c r="U17" i="4"/>
  <c r="V17" i="4"/>
  <c r="W17" i="4"/>
  <c r="X17" i="4"/>
  <c r="Y17" i="4"/>
  <c r="Z17" i="4"/>
  <c r="AA17" i="4"/>
  <c r="R18" i="4"/>
  <c r="S18" i="4"/>
  <c r="T18" i="4"/>
  <c r="U18" i="4"/>
  <c r="V18" i="4"/>
  <c r="W18" i="4"/>
  <c r="X18" i="4"/>
  <c r="Y18" i="4"/>
  <c r="Z18" i="4"/>
  <c r="AA18" i="4"/>
  <c r="Q9" i="4"/>
  <c r="O102" i="4"/>
  <c r="O87" i="4"/>
  <c r="O86" i="4"/>
  <c r="O37" i="4"/>
  <c r="O36" i="4"/>
  <c r="O20" i="4"/>
  <c r="O19" i="4"/>
  <c r="O8" i="4"/>
  <c r="J101" i="4" l="1"/>
  <c r="F101" i="4"/>
  <c r="L101" i="4" s="1"/>
  <c r="L100" i="4"/>
  <c r="J100" i="4"/>
  <c r="J99" i="4"/>
  <c r="F99" i="4"/>
  <c r="L99" i="4" s="1"/>
  <c r="L98" i="4"/>
  <c r="J98" i="4"/>
  <c r="J97" i="4"/>
  <c r="F97" i="4"/>
  <c r="L97" i="4" s="1"/>
  <c r="M97" i="4" s="1"/>
  <c r="L96" i="4"/>
  <c r="J96" i="4"/>
  <c r="J95" i="4"/>
  <c r="F95" i="4"/>
  <c r="L95" i="4" s="1"/>
  <c r="J94" i="4"/>
  <c r="F94" i="4"/>
  <c r="L94" i="4" s="1"/>
  <c r="M94" i="4" s="1"/>
  <c r="L93" i="4"/>
  <c r="M93" i="4" s="1"/>
  <c r="J92" i="4"/>
  <c r="F92" i="4"/>
  <c r="L92" i="4" s="1"/>
  <c r="L91" i="4"/>
  <c r="M91" i="4" s="1"/>
  <c r="J91" i="4"/>
  <c r="F91" i="4"/>
  <c r="L90" i="4"/>
  <c r="J90" i="4"/>
  <c r="L89" i="4"/>
  <c r="M89" i="4" s="1"/>
  <c r="F89" i="4"/>
  <c r="J88" i="4" s="1"/>
  <c r="F88" i="4"/>
  <c r="M87" i="4"/>
  <c r="N87" i="4" s="1"/>
  <c r="L85" i="4"/>
  <c r="J85" i="4"/>
  <c r="F84" i="4"/>
  <c r="L84" i="4" s="1"/>
  <c r="L83" i="4"/>
  <c r="L82" i="4"/>
  <c r="J82" i="4"/>
  <c r="F81" i="4"/>
  <c r="L81" i="4" s="1"/>
  <c r="L80" i="4"/>
  <c r="L79" i="4"/>
  <c r="F77" i="4"/>
  <c r="F78" i="4" s="1"/>
  <c r="L78" i="4" s="1"/>
  <c r="L76" i="4"/>
  <c r="J76" i="4"/>
  <c r="L75" i="4"/>
  <c r="L74" i="4"/>
  <c r="F72" i="4"/>
  <c r="L71" i="4"/>
  <c r="J71" i="4"/>
  <c r="L70" i="4"/>
  <c r="L69" i="4"/>
  <c r="L68" i="4"/>
  <c r="F67" i="4"/>
  <c r="L67" i="4" s="1"/>
  <c r="L66" i="4"/>
  <c r="F66" i="4"/>
  <c r="L65" i="4"/>
  <c r="J65" i="4"/>
  <c r="L64" i="4"/>
  <c r="F64" i="4"/>
  <c r="F63" i="4"/>
  <c r="L63" i="4" s="1"/>
  <c r="F62" i="4"/>
  <c r="L62" i="4" s="1"/>
  <c r="L61" i="4"/>
  <c r="F59" i="4"/>
  <c r="F60" i="4" s="1"/>
  <c r="L60" i="4" s="1"/>
  <c r="L58" i="4"/>
  <c r="J58" i="4"/>
  <c r="L57" i="4"/>
  <c r="J57" i="4"/>
  <c r="L56" i="4"/>
  <c r="L55" i="4"/>
  <c r="L54" i="4"/>
  <c r="L53" i="4"/>
  <c r="L52" i="4"/>
  <c r="L51" i="4"/>
  <c r="L50" i="4"/>
  <c r="L49" i="4"/>
  <c r="F48" i="4"/>
  <c r="L48" i="4" s="1"/>
  <c r="F47" i="4"/>
  <c r="L47" i="4" s="1"/>
  <c r="F46" i="4"/>
  <c r="L46" i="4" s="1"/>
  <c r="L45" i="4"/>
  <c r="J45" i="4"/>
  <c r="F44" i="4"/>
  <c r="L44" i="4" s="1"/>
  <c r="L43" i="4"/>
  <c r="L42" i="4"/>
  <c r="L41" i="4"/>
  <c r="F40" i="4"/>
  <c r="L40" i="4" s="1"/>
  <c r="F38" i="4"/>
  <c r="F39" i="4" s="1"/>
  <c r="L39" i="4" s="1"/>
  <c r="M37" i="4"/>
  <c r="N37" i="4" s="1"/>
  <c r="P36" i="4"/>
  <c r="AA36" i="4"/>
  <c r="Z36" i="4"/>
  <c r="Y36" i="4"/>
  <c r="X36" i="4"/>
  <c r="W36" i="4"/>
  <c r="V36" i="4"/>
  <c r="U36" i="4"/>
  <c r="T36" i="4"/>
  <c r="S36" i="4"/>
  <c r="R36" i="4"/>
  <c r="Q36" i="4"/>
  <c r="L36" i="4"/>
  <c r="M36" i="4" s="1"/>
  <c r="N36" i="4" s="1"/>
  <c r="L35" i="4"/>
  <c r="M35" i="4" s="1"/>
  <c r="F33" i="4"/>
  <c r="J35" i="4" s="1"/>
  <c r="L32" i="4"/>
  <c r="M32" i="4" s="1"/>
  <c r="L31" i="4"/>
  <c r="M31" i="4" s="1"/>
  <c r="J31" i="4"/>
  <c r="F29" i="4"/>
  <c r="F30" i="4" s="1"/>
  <c r="L30" i="4" s="1"/>
  <c r="L28" i="4"/>
  <c r="M28" i="4" s="1"/>
  <c r="L27" i="4"/>
  <c r="M27" i="4" s="1"/>
  <c r="J27" i="4"/>
  <c r="F26" i="4"/>
  <c r="L26" i="4" s="1"/>
  <c r="F25" i="4"/>
  <c r="J28" i="4" s="1"/>
  <c r="L24" i="4"/>
  <c r="M24" i="4" s="1"/>
  <c r="J24" i="4"/>
  <c r="L23" i="4"/>
  <c r="M23" i="4" s="1"/>
  <c r="F21" i="4"/>
  <c r="J23" i="4" s="1"/>
  <c r="M20" i="4"/>
  <c r="N20" i="4" s="1"/>
  <c r="P19" i="4"/>
  <c r="AA19" i="4"/>
  <c r="Z19" i="4"/>
  <c r="Y19" i="4"/>
  <c r="X19" i="4"/>
  <c r="W19" i="4"/>
  <c r="V19" i="4"/>
  <c r="U19" i="4"/>
  <c r="T19" i="4"/>
  <c r="S19" i="4"/>
  <c r="R19" i="4"/>
  <c r="Q19" i="4"/>
  <c r="L19" i="4"/>
  <c r="M19" i="4" s="1"/>
  <c r="N19" i="4" s="1"/>
  <c r="L18" i="4"/>
  <c r="L17" i="4"/>
  <c r="L16" i="4"/>
  <c r="L15" i="4"/>
  <c r="L14" i="4"/>
  <c r="M14" i="4" s="1"/>
  <c r="J14" i="4"/>
  <c r="L13" i="4"/>
  <c r="L12" i="4"/>
  <c r="L11" i="4"/>
  <c r="M11" i="4" s="1"/>
  <c r="J11" i="4"/>
  <c r="L10" i="4"/>
  <c r="F10" i="4"/>
  <c r="L9" i="4"/>
  <c r="M8" i="4"/>
  <c r="N8" i="4" s="1"/>
  <c r="L6" i="4"/>
  <c r="L29" i="4" l="1"/>
  <c r="J32" i="4"/>
  <c r="F34" i="4"/>
  <c r="L34" i="4" s="1"/>
  <c r="L33" i="4"/>
  <c r="M33" i="4" s="1"/>
  <c r="L25" i="4"/>
  <c r="L59" i="4"/>
  <c r="L77" i="4"/>
  <c r="L38" i="4"/>
  <c r="M38" i="4" s="1"/>
  <c r="M54" i="4"/>
  <c r="M70" i="4"/>
  <c r="M82" i="4"/>
  <c r="M55" i="4"/>
  <c r="M63" i="4"/>
  <c r="M65" i="4"/>
  <c r="M83" i="4"/>
  <c r="N83" i="4" s="1"/>
  <c r="O83" i="4" s="1"/>
  <c r="M50" i="4"/>
  <c r="N50" i="4" s="1"/>
  <c r="M57" i="4"/>
  <c r="N57" i="4" s="1"/>
  <c r="M80" i="4"/>
  <c r="M95" i="4"/>
  <c r="O11" i="4"/>
  <c r="M45" i="4"/>
  <c r="M48" i="4"/>
  <c r="N48" i="4" s="1"/>
  <c r="M52" i="4"/>
  <c r="M56" i="4"/>
  <c r="M58" i="4"/>
  <c r="M61" i="4"/>
  <c r="M68" i="4"/>
  <c r="M71" i="4"/>
  <c r="M78" i="4"/>
  <c r="M90" i="4"/>
  <c r="M92" i="4"/>
  <c r="M99" i="4"/>
  <c r="M67" i="4"/>
  <c r="M85" i="4"/>
  <c r="M100" i="4"/>
  <c r="M34" i="4"/>
  <c r="N34" i="4" s="1"/>
  <c r="O34" i="4" s="1"/>
  <c r="P34" i="4" s="1"/>
  <c r="V34" i="4" s="1"/>
  <c r="M49" i="4"/>
  <c r="N49" i="4" s="1"/>
  <c r="O49" i="4" s="1"/>
  <c r="M53" i="4"/>
  <c r="M69" i="4"/>
  <c r="M76" i="4"/>
  <c r="N76" i="4" s="1"/>
  <c r="M79" i="4"/>
  <c r="M96" i="4"/>
  <c r="M98" i="4"/>
  <c r="M101" i="4"/>
  <c r="R37" i="4"/>
  <c r="N14" i="4"/>
  <c r="O14" i="4" s="1"/>
  <c r="N54" i="4"/>
  <c r="N85" i="4"/>
  <c r="N89" i="4"/>
  <c r="N11" i="4"/>
  <c r="N23" i="4"/>
  <c r="O23" i="4" s="1"/>
  <c r="N24" i="4"/>
  <c r="O24" i="4" s="1"/>
  <c r="N31" i="4"/>
  <c r="O31" i="4" s="1"/>
  <c r="N78" i="4"/>
  <c r="O78" i="4" s="1"/>
  <c r="N80" i="4"/>
  <c r="N92" i="4"/>
  <c r="N93" i="4"/>
  <c r="N95" i="4"/>
  <c r="N97" i="4"/>
  <c r="O97" i="4" s="1"/>
  <c r="N99" i="4"/>
  <c r="N35" i="4"/>
  <c r="O35" i="4" s="1"/>
  <c r="N55" i="4"/>
  <c r="N27" i="4"/>
  <c r="O27" i="4" s="1"/>
  <c r="N28" i="4"/>
  <c r="N32" i="4"/>
  <c r="T37" i="4"/>
  <c r="N91" i="4"/>
  <c r="O91" i="4" s="1"/>
  <c r="N94" i="4"/>
  <c r="O94" i="4" s="1"/>
  <c r="AA8" i="4"/>
  <c r="Y37" i="4"/>
  <c r="W87" i="4"/>
  <c r="V87" i="4"/>
  <c r="AA87" i="4"/>
  <c r="Z87" i="4"/>
  <c r="M17" i="4"/>
  <c r="N17" i="4" s="1"/>
  <c r="M9" i="4"/>
  <c r="M16" i="4"/>
  <c r="M51" i="4"/>
  <c r="M15" i="4"/>
  <c r="S37" i="4"/>
  <c r="U87" i="4"/>
  <c r="Y87" i="4"/>
  <c r="M10" i="4"/>
  <c r="M18" i="4"/>
  <c r="Z37" i="4"/>
  <c r="W8" i="4"/>
  <c r="X8" i="4"/>
  <c r="W20" i="4"/>
  <c r="AA20" i="4"/>
  <c r="Z20" i="4"/>
  <c r="Y20" i="4"/>
  <c r="T20" i="4"/>
  <c r="X20" i="4"/>
  <c r="R20" i="4"/>
  <c r="Z8" i="4"/>
  <c r="R8" i="4"/>
  <c r="S8" i="4"/>
  <c r="M26" i="4"/>
  <c r="M40" i="4"/>
  <c r="M41" i="4"/>
  <c r="M62" i="4"/>
  <c r="M66" i="4"/>
  <c r="M13" i="4"/>
  <c r="M30" i="4"/>
  <c r="M39" i="4"/>
  <c r="M44" i="4"/>
  <c r="M42" i="4"/>
  <c r="Y8" i="4"/>
  <c r="M12" i="4"/>
  <c r="F22" i="4"/>
  <c r="L22" i="4" s="1"/>
  <c r="L21" i="4"/>
  <c r="M29" i="4"/>
  <c r="M46" i="4"/>
  <c r="M60" i="4"/>
  <c r="M64" i="4"/>
  <c r="F73" i="4"/>
  <c r="L73" i="4" s="1"/>
  <c r="L72" i="4"/>
  <c r="L88" i="4"/>
  <c r="M88" i="4" s="1"/>
  <c r="J89" i="4"/>
  <c r="J93" i="4"/>
  <c r="O93" i="4" s="1"/>
  <c r="M43" i="4"/>
  <c r="N56" i="4"/>
  <c r="M25" i="4"/>
  <c r="M47" i="4"/>
  <c r="M59" i="4"/>
  <c r="N70" i="4"/>
  <c r="W37" i="4"/>
  <c r="AA37" i="4"/>
  <c r="T87" i="4"/>
  <c r="X87" i="4"/>
  <c r="M77" i="4"/>
  <c r="M84" i="4"/>
  <c r="M74" i="4"/>
  <c r="M75" i="4"/>
  <c r="M81" i="4"/>
  <c r="O99" i="4" l="1"/>
  <c r="N68" i="4"/>
  <c r="O68" i="4" s="1"/>
  <c r="P68" i="4" s="1"/>
  <c r="V68" i="4" s="1"/>
  <c r="N61" i="4"/>
  <c r="O61" i="4" s="1"/>
  <c r="P61" i="4" s="1"/>
  <c r="V61" i="4" s="1"/>
  <c r="N90" i="4"/>
  <c r="O90" i="4" s="1"/>
  <c r="P90" i="4" s="1"/>
  <c r="S90" i="4" s="1"/>
  <c r="N65" i="4"/>
  <c r="O65" i="4" s="1"/>
  <c r="P65" i="4" s="1"/>
  <c r="Q65" i="4" s="1"/>
  <c r="O92" i="4"/>
  <c r="P92" i="4" s="1"/>
  <c r="Q92" i="4" s="1"/>
  <c r="O95" i="4"/>
  <c r="P95" i="4" s="1"/>
  <c r="Q95" i="4" s="1"/>
  <c r="O50" i="4"/>
  <c r="O70" i="4"/>
  <c r="O80" i="4"/>
  <c r="P80" i="4" s="1"/>
  <c r="U80" i="4" s="1"/>
  <c r="O89" i="4"/>
  <c r="P89" i="4" s="1"/>
  <c r="R89" i="4" s="1"/>
  <c r="N98" i="4"/>
  <c r="O98" i="4" s="1"/>
  <c r="P98" i="4" s="1"/>
  <c r="R98" i="4" s="1"/>
  <c r="O48" i="4"/>
  <c r="O82" i="4"/>
  <c r="P82" i="4" s="1"/>
  <c r="Q82" i="4" s="1"/>
  <c r="N69" i="4"/>
  <c r="O69" i="4" s="1"/>
  <c r="P69" i="4" s="1"/>
  <c r="V69" i="4" s="1"/>
  <c r="N82" i="4"/>
  <c r="O85" i="4"/>
  <c r="O56" i="4"/>
  <c r="P56" i="4" s="1"/>
  <c r="X56" i="4" s="1"/>
  <c r="O55" i="4"/>
  <c r="O54" i="4"/>
  <c r="P85" i="4"/>
  <c r="Q85" i="4" s="1"/>
  <c r="O57" i="4"/>
  <c r="P57" i="4" s="1"/>
  <c r="Q57" i="4" s="1"/>
  <c r="N52" i="4"/>
  <c r="N96" i="4"/>
  <c r="O96" i="4" s="1"/>
  <c r="P96" i="4" s="1"/>
  <c r="S96" i="4" s="1"/>
  <c r="P49" i="4"/>
  <c r="V49" i="4" s="1"/>
  <c r="N53" i="4"/>
  <c r="N71" i="4"/>
  <c r="O71" i="4" s="1"/>
  <c r="N79" i="4"/>
  <c r="O79" i="4" s="1"/>
  <c r="P79" i="4" s="1"/>
  <c r="U79" i="4" s="1"/>
  <c r="P50" i="4"/>
  <c r="V50" i="4" s="1"/>
  <c r="P23" i="4"/>
  <c r="S23" i="4" s="1"/>
  <c r="P14" i="4"/>
  <c r="Q14" i="4" s="1"/>
  <c r="O28" i="4"/>
  <c r="P28" i="4" s="1"/>
  <c r="Q28" i="4" s="1"/>
  <c r="P76" i="4"/>
  <c r="Q76" i="4" s="1"/>
  <c r="P48" i="4"/>
  <c r="V48" i="4" s="1"/>
  <c r="O76" i="4"/>
  <c r="P27" i="4"/>
  <c r="S27" i="4" s="1"/>
  <c r="P35" i="4"/>
  <c r="Q35" i="4" s="1"/>
  <c r="N67" i="4"/>
  <c r="O67" i="4" s="1"/>
  <c r="P78" i="4"/>
  <c r="U78" i="4" s="1"/>
  <c r="N45" i="4"/>
  <c r="P11" i="4"/>
  <c r="Q11" i="4" s="1"/>
  <c r="P54" i="4"/>
  <c r="X54" i="4" s="1"/>
  <c r="O32" i="4"/>
  <c r="P32" i="4" s="1"/>
  <c r="Q32" i="4" s="1"/>
  <c r="O17" i="4"/>
  <c r="P17" i="4" s="1"/>
  <c r="T17" i="4" s="1"/>
  <c r="T8" i="4" s="1"/>
  <c r="T7" i="4" s="1"/>
  <c r="T6" i="4" s="1"/>
  <c r="P55" i="4"/>
  <c r="X55" i="4" s="1"/>
  <c r="P24" i="4"/>
  <c r="Q24" i="4" s="1"/>
  <c r="P83" i="4"/>
  <c r="U83" i="4" s="1"/>
  <c r="P70" i="4"/>
  <c r="V70" i="4" s="1"/>
  <c r="N33" i="4"/>
  <c r="O33" i="4" s="1"/>
  <c r="N101" i="4"/>
  <c r="O101" i="4" s="1"/>
  <c r="P101" i="4" s="1"/>
  <c r="R101" i="4" s="1"/>
  <c r="N100" i="4"/>
  <c r="O100" i="4" s="1"/>
  <c r="P100" i="4" s="1"/>
  <c r="R100" i="4" s="1"/>
  <c r="N63" i="4"/>
  <c r="N58" i="4"/>
  <c r="O58" i="4" s="1"/>
  <c r="P31" i="4"/>
  <c r="S31" i="4" s="1"/>
  <c r="P91" i="4"/>
  <c r="Q91" i="4" s="1"/>
  <c r="P99" i="4"/>
  <c r="R99" i="4" s="1"/>
  <c r="P97" i="4"/>
  <c r="Q97" i="4" s="1"/>
  <c r="P94" i="4"/>
  <c r="Q94" i="4" s="1"/>
  <c r="P93" i="4"/>
  <c r="S93" i="4" s="1"/>
  <c r="N38" i="4"/>
  <c r="O38" i="4" s="1"/>
  <c r="N66" i="4"/>
  <c r="N15" i="4"/>
  <c r="O15" i="4" s="1"/>
  <c r="N9" i="4"/>
  <c r="N75" i="4"/>
  <c r="O75" i="4" s="1"/>
  <c r="N47" i="4"/>
  <c r="N46" i="4"/>
  <c r="O46" i="4" s="1"/>
  <c r="N12" i="4"/>
  <c r="N39" i="4"/>
  <c r="O39" i="4" s="1"/>
  <c r="N62" i="4"/>
  <c r="N18" i="4"/>
  <c r="O18" i="4" s="1"/>
  <c r="N59" i="4"/>
  <c r="N25" i="4"/>
  <c r="N43" i="4"/>
  <c r="N88" i="4"/>
  <c r="O88" i="4" s="1"/>
  <c r="N29" i="4"/>
  <c r="N30" i="4"/>
  <c r="O30" i="4" s="1"/>
  <c r="N41" i="4"/>
  <c r="N26" i="4"/>
  <c r="N10" i="4"/>
  <c r="N51" i="4"/>
  <c r="N81" i="4"/>
  <c r="N77" i="4"/>
  <c r="O77" i="4" s="1"/>
  <c r="N60" i="4"/>
  <c r="N44" i="4"/>
  <c r="O44" i="4" s="1"/>
  <c r="N74" i="4"/>
  <c r="N84" i="4"/>
  <c r="N64" i="4"/>
  <c r="O64" i="4" s="1"/>
  <c r="N42" i="4"/>
  <c r="O42" i="4" s="1"/>
  <c r="N13" i="4"/>
  <c r="N40" i="4"/>
  <c r="O40" i="4" s="1"/>
  <c r="N16" i="4"/>
  <c r="Z7" i="4"/>
  <c r="Z6" i="4" s="1"/>
  <c r="AA7" i="4"/>
  <c r="AA6" i="4" s="1"/>
  <c r="W7" i="4"/>
  <c r="W6" i="4" s="1"/>
  <c r="Y7" i="4"/>
  <c r="Y6" i="4" s="1"/>
  <c r="M21" i="4"/>
  <c r="M72" i="4"/>
  <c r="M22" i="4"/>
  <c r="M73" i="4"/>
  <c r="Q20" i="4" l="1"/>
  <c r="O66" i="4"/>
  <c r="P66" i="4" s="1"/>
  <c r="V66" i="4" s="1"/>
  <c r="P64" i="4"/>
  <c r="V64" i="4" s="1"/>
  <c r="O10" i="4"/>
  <c r="P10" i="4" s="1"/>
  <c r="V10" i="4" s="1"/>
  <c r="O59" i="4"/>
  <c r="P59" i="4" s="1"/>
  <c r="V59" i="4" s="1"/>
  <c r="O29" i="4"/>
  <c r="P29" i="4" s="1"/>
  <c r="U29" i="4" s="1"/>
  <c r="O81" i="4"/>
  <c r="P81" i="4" s="1"/>
  <c r="U81" i="4" s="1"/>
  <c r="O63" i="4"/>
  <c r="P63" i="4" s="1"/>
  <c r="V63" i="4" s="1"/>
  <c r="P40" i="4"/>
  <c r="V40" i="4" s="1"/>
  <c r="P77" i="4"/>
  <c r="U77" i="4" s="1"/>
  <c r="P18" i="4"/>
  <c r="Q18" i="4" s="1"/>
  <c r="P46" i="4"/>
  <c r="V46" i="4" s="1"/>
  <c r="P58" i="4"/>
  <c r="Q58" i="4" s="1"/>
  <c r="P33" i="4"/>
  <c r="V33" i="4" s="1"/>
  <c r="O12" i="4"/>
  <c r="P12" i="4" s="1"/>
  <c r="V12" i="4" s="1"/>
  <c r="O74" i="4"/>
  <c r="P74" i="4" s="1"/>
  <c r="V74" i="4" s="1"/>
  <c r="O84" i="4"/>
  <c r="P84" i="4" s="1"/>
  <c r="U84" i="4" s="1"/>
  <c r="O13" i="4"/>
  <c r="P13" i="4" s="1"/>
  <c r="V13" i="4" s="1"/>
  <c r="O52" i="4"/>
  <c r="P52" i="4" s="1"/>
  <c r="X52" i="4" s="1"/>
  <c r="X37" i="4" s="1"/>
  <c r="X7" i="4" s="1"/>
  <c r="X6" i="4" s="1"/>
  <c r="O9" i="4"/>
  <c r="P9" i="4" s="1"/>
  <c r="V9" i="4" s="1"/>
  <c r="O16" i="4"/>
  <c r="P16" i="4" s="1"/>
  <c r="Q16" i="4" s="1"/>
  <c r="P42" i="4"/>
  <c r="V42" i="4" s="1"/>
  <c r="P44" i="4"/>
  <c r="V44" i="4" s="1"/>
  <c r="O51" i="4"/>
  <c r="P51" i="4" s="1"/>
  <c r="V51" i="4" s="1"/>
  <c r="P30" i="4"/>
  <c r="U30" i="4" s="1"/>
  <c r="P39" i="4"/>
  <c r="V39" i="4" s="1"/>
  <c r="P75" i="4"/>
  <c r="V75" i="4" s="1"/>
  <c r="P38" i="4"/>
  <c r="V38" i="4" s="1"/>
  <c r="P67" i="4"/>
  <c r="V67" i="4" s="1"/>
  <c r="P71" i="4"/>
  <c r="Q71" i="4" s="1"/>
  <c r="O26" i="4"/>
  <c r="P26" i="4" s="1"/>
  <c r="V26" i="4" s="1"/>
  <c r="O43" i="4"/>
  <c r="P43" i="4" s="1"/>
  <c r="V43" i="4" s="1"/>
  <c r="O62" i="4"/>
  <c r="P62" i="4" s="1"/>
  <c r="V62" i="4" s="1"/>
  <c r="O45" i="4"/>
  <c r="P45" i="4" s="1"/>
  <c r="Q45" i="4" s="1"/>
  <c r="Q37" i="4" s="1"/>
  <c r="O60" i="4"/>
  <c r="P60" i="4" s="1"/>
  <c r="V60" i="4" s="1"/>
  <c r="O53" i="4"/>
  <c r="P53" i="4" s="1"/>
  <c r="X53" i="4" s="1"/>
  <c r="O41" i="4"/>
  <c r="P41" i="4" s="1"/>
  <c r="V41" i="4" s="1"/>
  <c r="O25" i="4"/>
  <c r="P25" i="4" s="1"/>
  <c r="V25" i="4" s="1"/>
  <c r="O47" i="4"/>
  <c r="P47" i="4" s="1"/>
  <c r="V47" i="4" s="1"/>
  <c r="P88" i="4"/>
  <c r="P15" i="4"/>
  <c r="U15" i="4" s="1"/>
  <c r="U8" i="4" s="1"/>
  <c r="S20" i="4"/>
  <c r="Q87" i="4"/>
  <c r="N72" i="4"/>
  <c r="N73" i="4"/>
  <c r="N21" i="4"/>
  <c r="N22" i="4"/>
  <c r="S87" i="4"/>
  <c r="S6" i="4" s="1"/>
  <c r="Q8" i="4" l="1"/>
  <c r="Q7" i="4" s="1"/>
  <c r="Q6" i="4" s="1"/>
  <c r="O73" i="4"/>
  <c r="P73" i="4" s="1"/>
  <c r="V73" i="4" s="1"/>
  <c r="O21" i="4"/>
  <c r="P21" i="4" s="1"/>
  <c r="O22" i="4"/>
  <c r="P22" i="4" s="1"/>
  <c r="V22" i="4" s="1"/>
  <c r="O72" i="4"/>
  <c r="P72" i="4" s="1"/>
  <c r="R88" i="4"/>
  <c r="R87" i="4" s="1"/>
  <c r="R7" i="4" s="1"/>
  <c r="R6" i="4" s="1"/>
  <c r="P87" i="4"/>
  <c r="U37" i="4"/>
  <c r="P8" i="4"/>
  <c r="S7" i="4"/>
  <c r="U20" i="4"/>
  <c r="V8" i="4"/>
  <c r="V21" i="4" l="1"/>
  <c r="V20" i="4" s="1"/>
  <c r="P20" i="4"/>
  <c r="V72" i="4"/>
  <c r="V37" i="4" s="1"/>
  <c r="P37" i="4"/>
  <c r="U7" i="4"/>
  <c r="U6" i="4" s="1"/>
  <c r="V7" i="4" l="1"/>
  <c r="V6" i="4" s="1"/>
  <c r="I39" i="2"/>
  <c r="I40" i="2"/>
  <c r="I41" i="2"/>
  <c r="I42" i="2"/>
  <c r="I43" i="2"/>
  <c r="I44" i="2"/>
  <c r="F12" i="2"/>
  <c r="F10" i="2"/>
  <c r="F11" i="2"/>
  <c r="F9" i="2"/>
  <c r="P7" i="4" l="1"/>
  <c r="I80" i="2"/>
  <c r="I81" i="2"/>
  <c r="I83" i="2"/>
  <c r="I84" i="2"/>
  <c r="I71" i="2"/>
  <c r="I72" i="2"/>
  <c r="I73" i="2"/>
  <c r="I74" i="2"/>
  <c r="I75" i="2"/>
  <c r="I76" i="2"/>
  <c r="I77" i="2"/>
  <c r="I78" i="2"/>
  <c r="I79" i="2"/>
  <c r="E82" i="2"/>
  <c r="I82" i="2" s="1"/>
  <c r="I67" i="2"/>
  <c r="F66" i="2"/>
  <c r="I66" i="2" s="1"/>
  <c r="F65" i="2"/>
  <c r="F64" i="2"/>
  <c r="I64" i="2" s="1"/>
  <c r="F59" i="2"/>
  <c r="I59" i="2" s="1"/>
  <c r="F63" i="2"/>
  <c r="I63" i="2" s="1"/>
  <c r="E65" i="2"/>
  <c r="I65" i="2" s="1"/>
  <c r="I60" i="2"/>
  <c r="F62" i="2"/>
  <c r="I62" i="2" s="1"/>
  <c r="F61" i="2"/>
  <c r="I61" i="2" s="1"/>
  <c r="E44" i="2"/>
  <c r="E43" i="2"/>
  <c r="E42" i="2"/>
  <c r="E41" i="2"/>
  <c r="E40" i="2"/>
  <c r="E39" i="2"/>
  <c r="E38" i="2"/>
  <c r="F38" i="2"/>
  <c r="E35" i="2"/>
  <c r="F35" i="2"/>
  <c r="F34" i="2"/>
  <c r="E34" i="2"/>
  <c r="F33" i="2"/>
  <c r="E33" i="2"/>
  <c r="F32" i="2"/>
  <c r="E32" i="2"/>
  <c r="F31" i="2"/>
  <c r="E31" i="2"/>
  <c r="F30" i="2"/>
  <c r="E30" i="2"/>
  <c r="F29" i="2"/>
  <c r="E29" i="2"/>
  <c r="F22" i="2"/>
  <c r="E21" i="2"/>
  <c r="E25" i="2" s="1"/>
  <c r="I25" i="2" s="1"/>
  <c r="E22" i="2"/>
  <c r="E26" i="2" s="1"/>
  <c r="I26" i="2" s="1"/>
  <c r="F21" i="2"/>
  <c r="E12" i="2"/>
  <c r="E18" i="2" s="1"/>
  <c r="I18" i="2" s="1"/>
  <c r="E11" i="2"/>
  <c r="E17" i="2" s="1"/>
  <c r="I17" i="2" s="1"/>
  <c r="E10" i="2"/>
  <c r="E16" i="2" s="1"/>
  <c r="I16" i="2" s="1"/>
  <c r="E9" i="2"/>
  <c r="I9" i="2" s="1"/>
  <c r="I88" i="2"/>
  <c r="I87" i="2"/>
  <c r="I85" i="2"/>
  <c r="I70" i="2"/>
  <c r="I56" i="2"/>
  <c r="I55" i="2"/>
  <c r="I54" i="2"/>
  <c r="I53" i="2"/>
  <c r="I50" i="2"/>
  <c r="I49" i="2"/>
  <c r="I48" i="2"/>
  <c r="I47" i="2"/>
  <c r="I45" i="2"/>
  <c r="I36" i="2"/>
  <c r="I27" i="2"/>
  <c r="I90" i="2" l="1"/>
  <c r="I11" i="2"/>
  <c r="I33" i="2"/>
  <c r="I35" i="2"/>
  <c r="I32" i="2"/>
  <c r="I34" i="2"/>
  <c r="I38" i="2"/>
  <c r="I37" i="2" s="1"/>
  <c r="I29" i="2"/>
  <c r="I30" i="2"/>
  <c r="I31" i="2"/>
  <c r="I22" i="2"/>
  <c r="I21" i="2"/>
  <c r="I12" i="2"/>
  <c r="E15" i="2"/>
  <c r="I15" i="2" s="1"/>
  <c r="I14" i="2" s="1"/>
  <c r="I69" i="2"/>
  <c r="I10" i="2"/>
  <c r="I86" i="2"/>
  <c r="I52" i="2"/>
  <c r="L52" i="2" s="1"/>
  <c r="I58" i="2"/>
  <c r="I24" i="2"/>
  <c r="I46" i="2"/>
  <c r="I28" i="2" l="1"/>
  <c r="I20" i="2"/>
  <c r="I8" i="2"/>
</calcChain>
</file>

<file path=xl/comments1.xml><?xml version="1.0" encoding="utf-8"?>
<comments xmlns="http://schemas.openxmlformats.org/spreadsheetml/2006/main">
  <authors>
    <author>Author</author>
  </authors>
  <commentList>
    <comment ref="B3" authorId="0" shapeId="0">
      <text>
        <r>
          <rPr>
            <b/>
            <sz val="8"/>
            <color indexed="81"/>
            <rFont val="Tahoma"/>
            <family val="2"/>
          </rPr>
          <t>nếu là thép đai thì ghi rõ là : (</t>
        </r>
        <r>
          <rPr>
            <b/>
            <sz val="8"/>
            <color indexed="10"/>
            <rFont val="Tahoma"/>
            <family val="2"/>
          </rPr>
          <t>Đai vuông</t>
        </r>
        <r>
          <rPr>
            <b/>
            <sz val="8"/>
            <color indexed="81"/>
            <rFont val="Tahoma"/>
            <family val="2"/>
          </rPr>
          <t xml:space="preserve"> hoặc </t>
        </r>
        <r>
          <rPr>
            <b/>
            <sz val="8"/>
            <color indexed="10"/>
            <rFont val="Tahoma"/>
            <family val="2"/>
          </rPr>
          <t>Đai tròn</t>
        </r>
        <r>
          <rPr>
            <b/>
            <sz val="8"/>
            <color indexed="81"/>
            <rFont val="Tahoma"/>
            <family val="2"/>
          </rPr>
          <t xml:space="preserve">) thì </t>
        </r>
        <r>
          <rPr>
            <b/>
            <sz val="8"/>
            <color indexed="12"/>
            <rFont val="Tahoma"/>
            <family val="2"/>
          </rPr>
          <t>phép tính chiều dài thanh mới thực hiện đúng</t>
        </r>
      </text>
    </comment>
  </commentList>
</comments>
</file>

<file path=xl/sharedStrings.xml><?xml version="1.0" encoding="utf-8"?>
<sst xmlns="http://schemas.openxmlformats.org/spreadsheetml/2006/main" count="283" uniqueCount="119">
  <si>
    <t>C dài  thép cây chuẩn</t>
  </si>
  <si>
    <t>Chiều dài nối quy định</t>
  </si>
  <si>
    <t>số</t>
  </si>
  <si>
    <t>SỐ</t>
  </si>
  <si>
    <t xml:space="preserve">HÌNH DÁNG -  </t>
  </si>
  <si>
    <t>ĐK Ø</t>
  </si>
  <si>
    <t>SỐ CK</t>
  </si>
  <si>
    <t>Số mối nối</t>
  </si>
  <si>
    <t>C. dài mối nối</t>
  </si>
  <si>
    <t>TRỌNG LƯỢNG THÉP (Kg)</t>
  </si>
  <si>
    <t>T. LƯỢNG</t>
  </si>
  <si>
    <t>TT</t>
  </si>
  <si>
    <t xml:space="preserve"> KIỆN</t>
  </si>
  <si>
    <t>HIỆU</t>
  </si>
  <si>
    <t xml:space="preserve">   KÍCH THƯỚC      </t>
  </si>
  <si>
    <t>( mm )</t>
  </si>
  <si>
    <t>( m )</t>
  </si>
  <si>
    <t>( KG )</t>
  </si>
  <si>
    <t>TỔNG SỐ CÂY (11,7m)</t>
  </si>
  <si>
    <t>TỔNG TRỌNG LƯỢNG</t>
  </si>
  <si>
    <t>đai vuông</t>
  </si>
  <si>
    <t>D1</t>
  </si>
  <si>
    <t>3a</t>
  </si>
  <si>
    <t>3b</t>
  </si>
  <si>
    <t>không được xoá hàng này</t>
  </si>
  <si>
    <t>CỘT T2</t>
  </si>
  <si>
    <t>Cột C1</t>
  </si>
  <si>
    <t>Cột C2</t>
  </si>
  <si>
    <t>DẦM TĂNG CƯỜNG T2</t>
  </si>
  <si>
    <t>thép cấy</t>
  </si>
  <si>
    <t>đai C</t>
  </si>
  <si>
    <t>DẦM TẦNG MÁI</t>
  </si>
  <si>
    <t>BM-01 (200X300)</t>
  </si>
  <si>
    <t>BM-02 (200x300)</t>
  </si>
  <si>
    <t>BM-02a (200X300)</t>
  </si>
  <si>
    <t>BM-03 (200x250)</t>
  </si>
  <si>
    <t>BM-03a (200x250)</t>
  </si>
  <si>
    <t>SÀN TẦNG MÁI</t>
  </si>
  <si>
    <t>B2-01 (200X300)</t>
  </si>
  <si>
    <t>B2-02 (200X300)</t>
  </si>
  <si>
    <t>B2-03 (100X300)</t>
  </si>
  <si>
    <t>B2-04 (100X300)</t>
  </si>
  <si>
    <t>D</t>
  </si>
  <si>
    <t>Pb5</t>
  </si>
  <si>
    <t>Pb3d</t>
  </si>
  <si>
    <t>Pb3n</t>
  </si>
  <si>
    <t>Pb4d</t>
  </si>
  <si>
    <t>Pb4n</t>
  </si>
  <si>
    <t>CÔNG TRÌNH : CAMRANH BAYANA RESORT</t>
  </si>
  <si>
    <t>TÊN CÔNG TÁC</t>
  </si>
  <si>
    <t>Đơn
 vị</t>
  </si>
  <si>
    <t>Số 
Lượng</t>
  </si>
  <si>
    <t>Kích thước</t>
  </si>
  <si>
    <t>GHI CHÚ</t>
  </si>
  <si>
    <t>Dài</t>
  </si>
  <si>
    <t>Rộng</t>
  </si>
  <si>
    <t>Cao</t>
  </si>
  <si>
    <t>hệ số</t>
  </si>
  <si>
    <t>đã trừ các dầm</t>
  </si>
  <si>
    <t>HẠNG MỤC : KHU PHỤ TRỢ MỞ RỘNG</t>
  </si>
  <si>
    <t>SXLD tháo dỡ ván khuôn cột tầng 2</t>
  </si>
  <si>
    <t>Bê tông cột tầng 2</t>
  </si>
  <si>
    <t>SXLD tháo dỡ ván khuôn dầm tăng cường tầng 2</t>
  </si>
  <si>
    <t>Dầm B2-01</t>
  </si>
  <si>
    <t>Dầm B2-02</t>
  </si>
  <si>
    <t>Dầm B2-03</t>
  </si>
  <si>
    <t>Dầm B2-04</t>
  </si>
  <si>
    <t>HẠNG MỤC : PHẦN THÔ KHU PHỤ TRỢ MỞ RỘNG</t>
  </si>
  <si>
    <t>Bê tông dầm tăng cường tầng 2</t>
  </si>
  <si>
    <t>100m2</t>
  </si>
  <si>
    <t>m3</t>
  </si>
  <si>
    <t>SXLD tháo dỡ ván khuôn dầm tầng mái</t>
  </si>
  <si>
    <t>Dầm BM-01</t>
  </si>
  <si>
    <t>Dầm BM-01a</t>
  </si>
  <si>
    <t>Dầm BM-02</t>
  </si>
  <si>
    <t>Dầm BM-02a</t>
  </si>
  <si>
    <t>Dầm BM-03</t>
  </si>
  <si>
    <t>Dầm BM-04</t>
  </si>
  <si>
    <t>Bê tông dầm tầng mái</t>
  </si>
  <si>
    <t>đã trừ giao dầm</t>
  </si>
  <si>
    <t>SXLD tháo dỡ ván khuôn sàn tầng mái</t>
  </si>
  <si>
    <t>Sàn 100</t>
  </si>
  <si>
    <t>Sàn 80</t>
  </si>
  <si>
    <t>Bê tông sàn mái</t>
  </si>
  <si>
    <t>SXLD tháo dỡ ván khuôn lanh tô, giằng tường</t>
  </si>
  <si>
    <t>Lanh tô LT-01</t>
  </si>
  <si>
    <t>Lanh tô LT-02</t>
  </si>
  <si>
    <t>Giằng tường GT-01</t>
  </si>
  <si>
    <t>Giằng tường GT-02</t>
  </si>
  <si>
    <t>wc nam - nữ</t>
  </si>
  <si>
    <t>Bê tông lanh tô - giằng tường</t>
  </si>
  <si>
    <t>Bê tông cầu thang</t>
  </si>
  <si>
    <t>SXLD ván khuôn cầu thang</t>
  </si>
  <si>
    <t>Khối lượng tính toán</t>
  </si>
  <si>
    <t>BM-01b(200x300)</t>
  </si>
  <si>
    <t>BM-01a (200X300)</t>
  </si>
  <si>
    <t>BM-01a (200X550)</t>
  </si>
  <si>
    <t>D3</t>
  </si>
  <si>
    <t>Cột mái</t>
  </si>
  <si>
    <t>Cột C1a</t>
  </si>
  <si>
    <t xml:space="preserve">TÊN CẤU </t>
  </si>
  <si>
    <t>CÔNG TRÌNH: NHÀ NHÂN VIÊN MỞ RỘNG</t>
  </si>
  <si>
    <t>BẢNG THỐNG KÊ THÉP</t>
  </si>
  <si>
    <r>
      <t>( n</t>
    </r>
    <r>
      <rPr>
        <b/>
        <vertAlign val="subscript"/>
        <sz val="10"/>
        <rFont val="Times New Roman"/>
        <family val="1"/>
      </rPr>
      <t>th</t>
    </r>
    <r>
      <rPr>
        <b/>
        <sz val="10"/>
        <rFont val="Times New Roman"/>
        <family val="1"/>
      </rPr>
      <t xml:space="preserve"> )</t>
    </r>
  </si>
  <si>
    <r>
      <t>( n</t>
    </r>
    <r>
      <rPr>
        <b/>
        <vertAlign val="subscript"/>
        <sz val="10"/>
        <rFont val="Times New Roman"/>
        <family val="1"/>
      </rPr>
      <t>ck</t>
    </r>
    <r>
      <rPr>
        <b/>
        <sz val="10"/>
        <rFont val="Times New Roman"/>
        <family val="1"/>
      </rPr>
      <t xml:space="preserve"> )</t>
    </r>
  </si>
  <si>
    <r>
      <t>( n</t>
    </r>
    <r>
      <rPr>
        <b/>
        <vertAlign val="subscript"/>
        <sz val="10"/>
        <rFont val="Times New Roman"/>
        <family val="1"/>
      </rPr>
      <t>noi</t>
    </r>
    <r>
      <rPr>
        <b/>
        <sz val="10"/>
        <rFont val="Times New Roman"/>
        <family val="1"/>
      </rPr>
      <t xml:space="preserve"> )</t>
    </r>
  </si>
  <si>
    <t>TỔNG 
C.DÀI</t>
  </si>
  <si>
    <t>Cdài 
1 thanh</t>
  </si>
  <si>
    <t>Số thanh/
1CK</t>
  </si>
  <si>
    <t xml:space="preserve"> ĐẠI DIỆN ĐƠN VỊ THI CÔNG</t>
  </si>
  <si>
    <t>CÔNG TY TNHH TƯ VẤN THIẾT KẾ</t>
  </si>
  <si>
    <t>VÀ XÂY DỰNG KIẾN TOÀN VIỆT</t>
  </si>
  <si>
    <t>Chỉ huy trưởng</t>
  </si>
  <si>
    <t>Nguyễn Hoàng Ân</t>
  </si>
  <si>
    <t>ĐẠI DIỆN BAN QLDA</t>
  </si>
  <si>
    <t>KHU DU LỊCH CAM RANH BAYANA RESORT</t>
  </si>
  <si>
    <t>PHÓ BAN QLDA</t>
  </si>
  <si>
    <t>Lê Anh Tuấn</t>
  </si>
  <si>
    <t>định dạng 
chiều cao hàng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</si>
</sst>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\ _₫_-;\-* #,##0\ _₫_-;_-* &quot;-&quot;\ _₫_-;_-@_-"/>
    <numFmt numFmtId="43" formatCode="_-* #,##0.00\ _₫_-;\-* #,##0.00\ _₫_-;_-* &quot;-&quot;??\ _₫_-;_-@_-"/>
    <numFmt numFmtId="164" formatCode="#,##0.0"/>
    <numFmt numFmtId="165" formatCode="0\ &quot;Ø&quot;"/>
    <numFmt numFmtId="166" formatCode="\Ø\ 0"/>
    <numFmt numFmtId="167" formatCode="\(0\)"/>
    <numFmt numFmtId="168" formatCode="0\ "/>
    <numFmt numFmtId="169" formatCode="#,##0.0\ "/>
    <numFmt numFmtId="170" formatCode="_(* #,##0.0_);_(* \(#,##0.0\);_(* &quot;-&quot;??_);_(@_)"/>
    <numFmt numFmtId="171" formatCode="_(* #,##0.000_);_(* \(#,##0.000\);_(* &quot;-&quot;??_);_(@_)"/>
    <numFmt numFmtId="172" formatCode="#,##0.000"/>
  </numFmts>
  <fonts count="46" x14ac:knownFonts="1">
    <font>
      <sz val="11"/>
      <color theme="1"/>
      <name val="Calibri"/>
      <family val="2"/>
      <scheme val="minor"/>
    </font>
    <font>
      <b/>
      <sz val="10"/>
      <name val="Arial Narrow"/>
      <family val="2"/>
    </font>
    <font>
      <sz val="4"/>
      <name val="Arial Narrow"/>
      <family val="2"/>
    </font>
    <font>
      <sz val="10"/>
      <name val="Arial Narrow"/>
      <family val="2"/>
    </font>
    <font>
      <b/>
      <sz val="8"/>
      <color indexed="81"/>
      <name val="Tahoma"/>
      <family val="2"/>
    </font>
    <font>
      <b/>
      <sz val="8"/>
      <color indexed="10"/>
      <name val="Tahoma"/>
      <family val="2"/>
    </font>
    <font>
      <b/>
      <sz val="8"/>
      <color indexed="12"/>
      <name val="Tahoma"/>
      <family val="2"/>
    </font>
    <font>
      <sz val="1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0"/>
      <name val="Times New Roman"/>
      <family val="1"/>
    </font>
    <font>
      <i/>
      <sz val="9"/>
      <name val="Times New Roman"/>
      <family val="1"/>
    </font>
    <font>
      <b/>
      <i/>
      <sz val="9"/>
      <name val="Times New Roman"/>
      <family val="1"/>
    </font>
    <font>
      <i/>
      <sz val="8"/>
      <color rgb="FFC00000"/>
      <name val="Times New Roman"/>
      <family val="1"/>
    </font>
    <font>
      <u/>
      <sz val="11"/>
      <name val="Times New Roman"/>
      <family val="1"/>
    </font>
    <font>
      <u/>
      <sz val="11"/>
      <name val="Arial Narrow"/>
      <family val="2"/>
    </font>
    <font>
      <b/>
      <u/>
      <sz val="11"/>
      <name val="Times New Roman"/>
      <family val="1"/>
    </font>
    <font>
      <i/>
      <u/>
      <sz val="11"/>
      <name val="Times New Roman"/>
      <family val="1"/>
    </font>
    <font>
      <sz val="10"/>
      <color rgb="FFFF0000"/>
      <name val="Arial Narrow"/>
      <family val="2"/>
    </font>
    <font>
      <i/>
      <sz val="9"/>
      <name val="Arial Narrow"/>
      <family val="2"/>
    </font>
    <font>
      <sz val="4"/>
      <color rgb="FFFF0000"/>
      <name val="Arial Narrow"/>
      <family val="2"/>
    </font>
    <font>
      <i/>
      <sz val="4"/>
      <name val="Arial Narrow"/>
      <family val="2"/>
    </font>
    <font>
      <sz val="4"/>
      <name val="Times New Roman"/>
      <family val="1"/>
    </font>
    <font>
      <sz val="11"/>
      <color theme="1"/>
      <name val="Times New Roman"/>
      <family val="1"/>
    </font>
    <font>
      <b/>
      <sz val="10"/>
      <color indexed="10"/>
      <name val="Times New Roman"/>
      <family val="1"/>
    </font>
    <font>
      <b/>
      <sz val="11"/>
      <color indexed="10"/>
      <name val="Times New Roman"/>
      <family val="1"/>
    </font>
    <font>
      <b/>
      <vertAlign val="subscript"/>
      <sz val="10"/>
      <name val="Times New Roman"/>
      <family val="1"/>
    </font>
    <font>
      <i/>
      <sz val="10"/>
      <color indexed="10"/>
      <name val="Times New Roman"/>
      <family val="1"/>
    </font>
    <font>
      <b/>
      <i/>
      <sz val="10"/>
      <color indexed="10"/>
      <name val="Times New Roman"/>
      <family val="1"/>
    </font>
    <font>
      <i/>
      <sz val="10"/>
      <color theme="1"/>
      <name val="Times New Roman"/>
      <family val="1"/>
    </font>
    <font>
      <b/>
      <u/>
      <sz val="11"/>
      <color indexed="10"/>
      <name val="Times New Roman"/>
      <family val="1"/>
    </font>
    <font>
      <b/>
      <sz val="11"/>
      <color rgb="FF0070C0"/>
      <name val="Times New Roman"/>
      <family val="1"/>
    </font>
    <font>
      <sz val="11"/>
      <color indexed="10"/>
      <name val="Times New Roman"/>
      <family val="1"/>
    </font>
    <font>
      <b/>
      <u/>
      <sz val="11"/>
      <color indexed="30"/>
      <name val="Times New Roman"/>
      <family val="1"/>
    </font>
    <font>
      <sz val="11"/>
      <color indexed="30"/>
      <name val="Times New Roman"/>
      <family val="1"/>
    </font>
    <font>
      <b/>
      <sz val="11"/>
      <color indexed="30"/>
      <name val="Times New Roman"/>
      <family val="1"/>
    </font>
    <font>
      <sz val="11"/>
      <color rgb="FFFF0000"/>
      <name val="Times New Roman"/>
      <family val="1"/>
    </font>
    <font>
      <b/>
      <sz val="4"/>
      <color rgb="FF0070C0"/>
      <name val="Times New Roman"/>
      <family val="1"/>
    </font>
    <font>
      <sz val="4"/>
      <color indexed="10"/>
      <name val="Times New Roman"/>
      <family val="1"/>
    </font>
    <font>
      <b/>
      <sz val="4"/>
      <color indexed="10"/>
      <name val="Times New Roman"/>
      <family val="1"/>
    </font>
    <font>
      <sz val="4"/>
      <color theme="1"/>
      <name val="Times New Roman"/>
      <family val="1"/>
    </font>
    <font>
      <sz val="10"/>
      <color indexed="10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z val="20"/>
      <name val="Times New Roman"/>
      <family val="1"/>
    </font>
    <font>
      <sz val="10"/>
      <color theme="8" tint="0.79998168889431442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</patternFill>
    </fill>
    <fill>
      <patternFill patternType="solid">
        <fgColor theme="0" tint="-0.14999847407452621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331">
    <xf numFmtId="0" fontId="0" fillId="0" borderId="0" xfId="0"/>
    <xf numFmtId="0" fontId="7" fillId="0" borderId="0" xfId="0" applyFont="1" applyAlignment="1" applyProtection="1">
      <alignment vertical="top"/>
      <protection locked="0"/>
    </xf>
    <xf numFmtId="0" fontId="9" fillId="0" borderId="0" xfId="0" applyFont="1" applyAlignment="1" applyProtection="1">
      <alignment vertical="top"/>
      <protection locked="0"/>
    </xf>
    <xf numFmtId="0" fontId="10" fillId="0" borderId="0" xfId="0" applyFont="1" applyAlignment="1" applyProtection="1">
      <alignment horizontal="center" vertical="top"/>
      <protection locked="0"/>
    </xf>
    <xf numFmtId="0" fontId="3" fillId="0" borderId="0" xfId="0" applyFont="1" applyAlignment="1" applyProtection="1">
      <alignment horizontal="center" vertical="top"/>
      <protection locked="0"/>
    </xf>
    <xf numFmtId="0" fontId="3" fillId="0" borderId="0" xfId="0" applyFont="1" applyAlignment="1" applyProtection="1">
      <alignment vertical="top"/>
      <protection locked="0"/>
    </xf>
    <xf numFmtId="0" fontId="11" fillId="0" borderId="0" xfId="0" applyFont="1" applyAlignment="1" applyProtection="1">
      <alignment vertical="top"/>
      <protection locked="0"/>
    </xf>
    <xf numFmtId="0" fontId="1" fillId="9" borderId="1" xfId="0" applyFont="1" applyFill="1" applyBorder="1" applyAlignment="1" applyProtection="1">
      <alignment horizontal="center" vertical="center"/>
      <protection locked="0"/>
    </xf>
    <xf numFmtId="167" fontId="13" fillId="0" borderId="0" xfId="0" applyNumberFormat="1" applyFont="1" applyAlignment="1" applyProtection="1">
      <alignment horizontal="center" vertical="top"/>
      <protection locked="0"/>
    </xf>
    <xf numFmtId="167" fontId="13" fillId="0" borderId="0" xfId="0" applyNumberFormat="1" applyFont="1" applyAlignment="1" applyProtection="1">
      <alignment vertical="top"/>
      <protection locked="0"/>
    </xf>
    <xf numFmtId="0" fontId="14" fillId="0" borderId="1" xfId="0" applyFont="1" applyBorder="1" applyAlignment="1" applyProtection="1">
      <alignment vertical="top"/>
      <protection locked="0"/>
    </xf>
    <xf numFmtId="0" fontId="15" fillId="0" borderId="1" xfId="0" applyFont="1" applyBorder="1" applyAlignment="1" applyProtection="1">
      <alignment vertical="top"/>
      <protection locked="0"/>
    </xf>
    <xf numFmtId="0" fontId="16" fillId="0" borderId="1" xfId="0" applyFont="1" applyBorder="1" applyAlignment="1" applyProtection="1">
      <alignment horizontal="center" vertical="top"/>
      <protection locked="0"/>
    </xf>
    <xf numFmtId="4" fontId="15" fillId="0" borderId="1" xfId="0" applyNumberFormat="1" applyFont="1" applyBorder="1" applyAlignment="1" applyProtection="1">
      <alignment vertical="top"/>
      <protection locked="0"/>
    </xf>
    <xf numFmtId="0" fontId="17" fillId="0" borderId="1" xfId="0" applyFont="1" applyBorder="1" applyAlignment="1" applyProtection="1">
      <alignment vertical="top"/>
      <protection locked="0"/>
    </xf>
    <xf numFmtId="0" fontId="14" fillId="0" borderId="0" xfId="0" applyFont="1" applyAlignment="1" applyProtection="1">
      <alignment vertical="top"/>
      <protection locked="0"/>
    </xf>
    <xf numFmtId="0" fontId="10" fillId="10" borderId="32" xfId="0" applyFont="1" applyFill="1" applyBorder="1" applyAlignment="1" applyProtection="1">
      <alignment horizontal="center" vertical="top"/>
      <protection locked="0"/>
    </xf>
    <xf numFmtId="0" fontId="1" fillId="10" borderId="32" xfId="0" applyFont="1" applyFill="1" applyBorder="1" applyAlignment="1" applyProtection="1">
      <alignment horizontal="center" vertical="top"/>
      <protection locked="0"/>
    </xf>
    <xf numFmtId="0" fontId="10" fillId="10" borderId="32" xfId="0" applyFont="1" applyFill="1" applyBorder="1" applyAlignment="1" applyProtection="1">
      <alignment vertical="top"/>
      <protection locked="0"/>
    </xf>
    <xf numFmtId="0" fontId="18" fillId="10" borderId="32" xfId="0" applyFont="1" applyFill="1" applyBorder="1" applyAlignment="1" applyProtection="1">
      <alignment horizontal="center" vertical="top"/>
      <protection locked="0"/>
    </xf>
    <xf numFmtId="0" fontId="1" fillId="10" borderId="32" xfId="0" applyFont="1" applyFill="1" applyBorder="1" applyAlignment="1" applyProtection="1">
      <alignment vertical="top"/>
      <protection locked="0"/>
    </xf>
    <xf numFmtId="4" fontId="1" fillId="10" borderId="32" xfId="0" applyNumberFormat="1" applyFont="1" applyFill="1" applyBorder="1" applyAlignment="1" applyProtection="1">
      <alignment vertical="top"/>
      <protection locked="0"/>
    </xf>
    <xf numFmtId="43" fontId="1" fillId="10" borderId="32" xfId="0" applyNumberFormat="1" applyFont="1" applyFill="1" applyBorder="1" applyAlignment="1" applyProtection="1">
      <alignment vertical="top"/>
      <protection locked="0"/>
    </xf>
    <xf numFmtId="0" fontId="12" fillId="10" borderId="32" xfId="0" applyFont="1" applyFill="1" applyBorder="1" applyAlignment="1" applyProtection="1">
      <alignment vertical="top"/>
      <protection locked="0"/>
    </xf>
    <xf numFmtId="0" fontId="10" fillId="0" borderId="0" xfId="0" applyFont="1" applyAlignment="1" applyProtection="1">
      <alignment vertical="top"/>
      <protection locked="0"/>
    </xf>
    <xf numFmtId="0" fontId="3" fillId="0" borderId="20" xfId="0" applyFont="1" applyBorder="1" applyAlignment="1" applyProtection="1">
      <alignment horizontal="left" vertical="top" indent="1"/>
      <protection locked="0"/>
    </xf>
    <xf numFmtId="0" fontId="3" fillId="0" borderId="20" xfId="0" applyFont="1" applyBorder="1" applyAlignment="1" applyProtection="1">
      <alignment vertical="top"/>
      <protection locked="0"/>
    </xf>
    <xf numFmtId="43" fontId="3" fillId="0" borderId="20" xfId="0" applyNumberFormat="1" applyFont="1" applyBorder="1" applyAlignment="1" applyProtection="1">
      <alignment vertical="top"/>
      <protection locked="0"/>
    </xf>
    <xf numFmtId="0" fontId="3" fillId="0" borderId="24" xfId="0" applyFont="1" applyBorder="1" applyAlignment="1" applyProtection="1">
      <alignment horizontal="center" vertical="top"/>
      <protection locked="0"/>
    </xf>
    <xf numFmtId="0" fontId="18" fillId="0" borderId="24" xfId="0" applyFont="1" applyBorder="1" applyAlignment="1" applyProtection="1">
      <alignment horizontal="center" vertical="top"/>
      <protection locked="0"/>
    </xf>
    <xf numFmtId="0" fontId="3" fillId="0" borderId="24" xfId="0" applyFont="1" applyBorder="1" applyAlignment="1" applyProtection="1">
      <alignment vertical="top"/>
      <protection locked="0"/>
    </xf>
    <xf numFmtId="4" fontId="3" fillId="0" borderId="24" xfId="0" applyNumberFormat="1" applyFont="1" applyBorder="1" applyAlignment="1" applyProtection="1">
      <alignment vertical="top"/>
      <protection locked="0"/>
    </xf>
    <xf numFmtId="0" fontId="19" fillId="0" borderId="24" xfId="0" applyFont="1" applyBorder="1" applyAlignment="1" applyProtection="1">
      <alignment vertical="top"/>
      <protection locked="0"/>
    </xf>
    <xf numFmtId="0" fontId="2" fillId="0" borderId="26" xfId="0" applyFont="1" applyBorder="1" applyAlignment="1" applyProtection="1">
      <alignment horizontal="center" vertical="top"/>
      <protection locked="0"/>
    </xf>
    <xf numFmtId="0" fontId="2" fillId="0" borderId="26" xfId="0" applyFont="1" applyBorder="1" applyAlignment="1" applyProtection="1">
      <alignment horizontal="left" vertical="top" indent="1"/>
      <protection locked="0"/>
    </xf>
    <xf numFmtId="0" fontId="20" fillId="0" borderId="26" xfId="0" applyFont="1" applyBorder="1" applyAlignment="1" applyProtection="1">
      <alignment horizontal="center" vertical="top"/>
      <protection locked="0"/>
    </xf>
    <xf numFmtId="0" fontId="2" fillId="0" borderId="26" xfId="0" applyFont="1" applyBorder="1" applyAlignment="1" applyProtection="1">
      <alignment vertical="top"/>
      <protection locked="0"/>
    </xf>
    <xf numFmtId="4" fontId="2" fillId="0" borderId="26" xfId="0" applyNumberFormat="1" applyFont="1" applyBorder="1" applyAlignment="1" applyProtection="1">
      <alignment vertical="top"/>
      <protection locked="0"/>
    </xf>
    <xf numFmtId="43" fontId="2" fillId="0" borderId="26" xfId="0" applyNumberFormat="1" applyFont="1" applyBorder="1" applyAlignment="1" applyProtection="1">
      <alignment vertical="top"/>
      <protection locked="0"/>
    </xf>
    <xf numFmtId="0" fontId="21" fillId="0" borderId="26" xfId="0" applyFont="1" applyBorder="1" applyAlignment="1" applyProtection="1">
      <alignment vertical="top"/>
      <protection locked="0"/>
    </xf>
    <xf numFmtId="0" fontId="22" fillId="0" borderId="0" xfId="0" applyFont="1" applyAlignment="1" applyProtection="1">
      <alignment vertical="top"/>
      <protection locked="0"/>
    </xf>
    <xf numFmtId="0" fontId="3" fillId="0" borderId="24" xfId="0" applyFont="1" applyBorder="1" applyAlignment="1" applyProtection="1">
      <alignment horizontal="left" vertical="top" indent="1"/>
      <protection locked="0"/>
    </xf>
    <xf numFmtId="171" fontId="3" fillId="0" borderId="20" xfId="0" applyNumberFormat="1" applyFont="1" applyBorder="1" applyAlignment="1" applyProtection="1">
      <alignment vertical="top"/>
      <protection locked="0"/>
    </xf>
    <xf numFmtId="0" fontId="10" fillId="0" borderId="1" xfId="0" applyFont="1" applyBorder="1" applyAlignment="1" applyProtection="1">
      <alignment horizontal="center" vertical="top"/>
      <protection locked="0"/>
    </xf>
    <xf numFmtId="0" fontId="1" fillId="0" borderId="1" xfId="0" applyFont="1" applyBorder="1" applyAlignment="1" applyProtection="1">
      <alignment horizontal="center" vertical="top"/>
      <protection locked="0"/>
    </xf>
    <xf numFmtId="0" fontId="10" fillId="0" borderId="1" xfId="0" applyFont="1" applyBorder="1" applyAlignment="1" applyProtection="1">
      <alignment vertical="top"/>
      <protection locked="0"/>
    </xf>
    <xf numFmtId="0" fontId="18" fillId="0" borderId="1" xfId="0" applyFont="1" applyBorder="1" applyAlignment="1" applyProtection="1">
      <alignment horizontal="center" vertical="top"/>
      <protection locked="0"/>
    </xf>
    <xf numFmtId="0" fontId="1" fillId="0" borderId="1" xfId="0" applyFont="1" applyBorder="1" applyAlignment="1" applyProtection="1">
      <alignment vertical="top"/>
      <protection locked="0"/>
    </xf>
    <xf numFmtId="4" fontId="1" fillId="0" borderId="1" xfId="0" applyNumberFormat="1" applyFont="1" applyBorder="1" applyAlignment="1" applyProtection="1">
      <alignment vertical="top"/>
      <protection locked="0"/>
    </xf>
    <xf numFmtId="0" fontId="12" fillId="0" borderId="1" xfId="0" applyFont="1" applyBorder="1" applyAlignment="1" applyProtection="1">
      <alignment vertical="top"/>
      <protection locked="0"/>
    </xf>
    <xf numFmtId="0" fontId="7" fillId="0" borderId="0" xfId="0" applyFont="1" applyAlignment="1" applyProtection="1">
      <alignment horizontal="center" vertical="top"/>
      <protection locked="0"/>
    </xf>
    <xf numFmtId="167" fontId="13" fillId="0" borderId="6" xfId="0" applyNumberFormat="1" applyFont="1" applyBorder="1" applyAlignment="1" applyProtection="1">
      <alignment horizontal="center" vertical="top"/>
      <protection locked="0"/>
    </xf>
    <xf numFmtId="2" fontId="3" fillId="0" borderId="24" xfId="0" applyNumberFormat="1" applyFont="1" applyBorder="1" applyAlignment="1" applyProtection="1">
      <alignment vertical="top"/>
      <protection locked="0"/>
    </xf>
    <xf numFmtId="43" fontId="10" fillId="0" borderId="0" xfId="0" applyNumberFormat="1" applyFont="1" applyAlignment="1" applyProtection="1">
      <alignment vertical="top"/>
      <protection locked="0"/>
    </xf>
    <xf numFmtId="0" fontId="23" fillId="0" borderId="0" xfId="0" applyFont="1" applyProtection="1"/>
    <xf numFmtId="3" fontId="25" fillId="3" borderId="1" xfId="0" applyNumberFormat="1" applyFont="1" applyFill="1" applyBorder="1" applyAlignment="1" applyProtection="1">
      <alignment horizontal="center"/>
    </xf>
    <xf numFmtId="165" fontId="25" fillId="3" borderId="1" xfId="0" applyNumberFormat="1" applyFont="1" applyFill="1" applyBorder="1" applyAlignment="1" applyProtection="1">
      <alignment horizontal="center"/>
    </xf>
    <xf numFmtId="0" fontId="10" fillId="4" borderId="2" xfId="0" applyFont="1" applyFill="1" applyBorder="1" applyAlignment="1" applyProtection="1">
      <alignment horizontal="center"/>
    </xf>
    <xf numFmtId="0" fontId="10" fillId="4" borderId="3" xfId="0" applyFont="1" applyFill="1" applyBorder="1" applyAlignment="1" applyProtection="1"/>
    <xf numFmtId="0" fontId="10" fillId="4" borderId="4" xfId="0" applyFont="1" applyFill="1" applyBorder="1" applyAlignment="1" applyProtection="1"/>
    <xf numFmtId="3" fontId="10" fillId="4" borderId="4" xfId="0" applyNumberFormat="1" applyFont="1" applyFill="1" applyBorder="1" applyAlignment="1" applyProtection="1">
      <alignment horizontal="center"/>
    </xf>
    <xf numFmtId="1" fontId="10" fillId="4" borderId="4" xfId="0" applyNumberFormat="1" applyFont="1" applyFill="1" applyBorder="1" applyAlignment="1" applyProtection="1">
      <alignment horizontal="center"/>
    </xf>
    <xf numFmtId="0" fontId="10" fillId="4" borderId="2" xfId="0" applyFont="1" applyFill="1" applyBorder="1" applyAlignment="1" applyProtection="1"/>
    <xf numFmtId="0" fontId="10" fillId="4" borderId="5" xfId="0" applyFont="1" applyFill="1" applyBorder="1" applyAlignment="1" applyProtection="1">
      <alignment horizontal="center"/>
    </xf>
    <xf numFmtId="3" fontId="10" fillId="4" borderId="5" xfId="0" applyNumberFormat="1" applyFont="1" applyFill="1" applyBorder="1" applyAlignment="1" applyProtection="1">
      <alignment horizontal="center"/>
    </xf>
    <xf numFmtId="166" fontId="10" fillId="4" borderId="3" xfId="0" applyNumberFormat="1" applyFont="1" applyFill="1" applyBorder="1" applyAlignment="1" applyProtection="1">
      <alignment horizontal="center"/>
    </xf>
    <xf numFmtId="167" fontId="27" fillId="4" borderId="6" xfId="0" applyNumberFormat="1" applyFont="1" applyFill="1" applyBorder="1" applyAlignment="1" applyProtection="1">
      <alignment horizontal="center"/>
    </xf>
    <xf numFmtId="167" fontId="27" fillId="4" borderId="1" xfId="0" applyNumberFormat="1" applyFont="1" applyFill="1" applyBorder="1" applyAlignment="1" applyProtection="1">
      <alignment horizontal="center"/>
    </xf>
    <xf numFmtId="167" fontId="28" fillId="4" borderId="1" xfId="0" applyNumberFormat="1" applyFont="1" applyFill="1" applyBorder="1" applyAlignment="1" applyProtection="1">
      <alignment horizontal="center"/>
    </xf>
    <xf numFmtId="0" fontId="29" fillId="0" borderId="0" xfId="0" applyFont="1" applyProtection="1"/>
    <xf numFmtId="0" fontId="9" fillId="5" borderId="9" xfId="0" applyFont="1" applyFill="1" applyBorder="1" applyAlignment="1" applyProtection="1">
      <alignment horizontal="center"/>
    </xf>
    <xf numFmtId="0" fontId="8" fillId="5" borderId="9" xfId="0" applyFont="1" applyFill="1" applyBorder="1" applyAlignment="1" applyProtection="1">
      <alignment horizontal="center"/>
    </xf>
    <xf numFmtId="0" fontId="31" fillId="5" borderId="9" xfId="0" applyFont="1" applyFill="1" applyBorder="1" applyAlignment="1" applyProtection="1">
      <alignment horizontal="center"/>
    </xf>
    <xf numFmtId="168" fontId="9" fillId="5" borderId="9" xfId="0" applyNumberFormat="1" applyFont="1" applyFill="1" applyBorder="1" applyAlignment="1" applyProtection="1">
      <alignment horizontal="center"/>
    </xf>
    <xf numFmtId="41" fontId="32" fillId="5" borderId="9" xfId="0" applyNumberFormat="1" applyFont="1" applyFill="1" applyBorder="1" applyAlignment="1" applyProtection="1">
      <alignment horizontal="center"/>
    </xf>
    <xf numFmtId="169" fontId="25" fillId="5" borderId="9" xfId="0" applyNumberFormat="1" applyFont="1" applyFill="1" applyBorder="1" applyProtection="1"/>
    <xf numFmtId="170" fontId="25" fillId="5" borderId="9" xfId="0" applyNumberFormat="1" applyFont="1" applyFill="1" applyBorder="1" applyProtection="1"/>
    <xf numFmtId="0" fontId="9" fillId="5" borderId="13" xfId="0" applyFont="1" applyFill="1" applyBorder="1" applyAlignment="1" applyProtection="1">
      <alignment horizontal="center"/>
    </xf>
    <xf numFmtId="0" fontId="8" fillId="5" borderId="13" xfId="0" applyFont="1" applyFill="1" applyBorder="1" applyAlignment="1" applyProtection="1">
      <alignment horizontal="center"/>
    </xf>
    <xf numFmtId="0" fontId="31" fillId="5" borderId="13" xfId="0" applyFont="1" applyFill="1" applyBorder="1" applyAlignment="1" applyProtection="1">
      <alignment horizontal="center"/>
    </xf>
    <xf numFmtId="168" fontId="34" fillId="5" borderId="13" xfId="0" applyNumberFormat="1" applyFont="1" applyFill="1" applyBorder="1" applyAlignment="1" applyProtection="1">
      <alignment horizontal="center"/>
    </xf>
    <xf numFmtId="0" fontId="34" fillId="5" borderId="13" xfId="0" applyFont="1" applyFill="1" applyBorder="1" applyAlignment="1" applyProtection="1">
      <alignment horizontal="center"/>
    </xf>
    <xf numFmtId="41" fontId="34" fillId="5" borderId="13" xfId="0" applyNumberFormat="1" applyFont="1" applyFill="1" applyBorder="1" applyAlignment="1" applyProtection="1">
      <alignment horizontal="center"/>
    </xf>
    <xf numFmtId="169" fontId="35" fillId="5" borderId="13" xfId="0" applyNumberFormat="1" applyFont="1" applyFill="1" applyBorder="1" applyProtection="1"/>
    <xf numFmtId="170" fontId="33" fillId="5" borderId="13" xfId="0" applyNumberFormat="1" applyFont="1" applyFill="1" applyBorder="1" applyProtection="1"/>
    <xf numFmtId="0" fontId="35" fillId="6" borderId="1" xfId="0" applyFont="1" applyFill="1" applyBorder="1" applyAlignment="1" applyProtection="1">
      <alignment horizontal="left"/>
    </xf>
    <xf numFmtId="0" fontId="34" fillId="6" borderId="1" xfId="0" applyFont="1" applyFill="1" applyBorder="1" applyAlignment="1" applyProtection="1">
      <alignment horizontal="centerContinuous"/>
    </xf>
    <xf numFmtId="1" fontId="34" fillId="6" borderId="7" xfId="0" applyNumberFormat="1" applyFont="1" applyFill="1" applyBorder="1" applyAlignment="1" applyProtection="1">
      <alignment horizontal="centerContinuous"/>
    </xf>
    <xf numFmtId="1" fontId="34" fillId="6" borderId="8" xfId="0" applyNumberFormat="1" applyFont="1" applyFill="1" applyBorder="1" applyAlignment="1" applyProtection="1">
      <alignment horizontal="centerContinuous"/>
    </xf>
    <xf numFmtId="3" fontId="34" fillId="6" borderId="8" xfId="0" applyNumberFormat="1" applyFont="1" applyFill="1" applyBorder="1" applyAlignment="1" applyProtection="1">
      <alignment horizontal="centerContinuous"/>
    </xf>
    <xf numFmtId="1" fontId="34" fillId="6" borderId="6" xfId="0" applyNumberFormat="1" applyFont="1" applyFill="1" applyBorder="1" applyAlignment="1" applyProtection="1">
      <alignment horizontal="centerContinuous"/>
    </xf>
    <xf numFmtId="168" fontId="31" fillId="6" borderId="1" xfId="0" applyNumberFormat="1" applyFont="1" applyFill="1" applyBorder="1" applyAlignment="1" applyProtection="1">
      <alignment horizontal="center"/>
    </xf>
    <xf numFmtId="168" fontId="34" fillId="6" borderId="1" xfId="0" applyNumberFormat="1" applyFont="1" applyFill="1" applyBorder="1" applyAlignment="1" applyProtection="1">
      <alignment horizontal="center"/>
    </xf>
    <xf numFmtId="0" fontId="35" fillId="6" borderId="1" xfId="0" applyFont="1" applyFill="1" applyBorder="1" applyAlignment="1" applyProtection="1">
      <alignment horizontal="center"/>
    </xf>
    <xf numFmtId="168" fontId="35" fillId="6" borderId="1" xfId="0" applyNumberFormat="1" applyFont="1" applyFill="1" applyBorder="1" applyAlignment="1" applyProtection="1">
      <alignment horizontal="center"/>
    </xf>
    <xf numFmtId="170" fontId="35" fillId="6" borderId="1" xfId="0" applyNumberFormat="1" applyFont="1" applyFill="1" applyBorder="1" applyProtection="1"/>
    <xf numFmtId="0" fontId="8" fillId="0" borderId="9" xfId="0" applyFont="1" applyBorder="1" applyAlignment="1" applyProtection="1">
      <alignment horizontal="center"/>
    </xf>
    <xf numFmtId="167" fontId="9" fillId="2" borderId="9" xfId="0" applyNumberFormat="1" applyFont="1" applyFill="1" applyBorder="1" applyAlignment="1" applyProtection="1">
      <alignment horizontal="center"/>
    </xf>
    <xf numFmtId="1" fontId="9" fillId="0" borderId="10" xfId="0" applyNumberFormat="1" applyFont="1" applyFill="1" applyBorder="1" applyAlignment="1" applyProtection="1">
      <alignment horizontal="center" vertical="center"/>
    </xf>
    <xf numFmtId="1" fontId="9" fillId="0" borderId="11" xfId="0" applyNumberFormat="1" applyFont="1" applyFill="1" applyBorder="1" applyAlignment="1" applyProtection="1">
      <alignment horizontal="center" vertical="center"/>
    </xf>
    <xf numFmtId="3" fontId="9" fillId="0" borderId="18" xfId="0" applyNumberFormat="1" applyFont="1" applyFill="1" applyBorder="1" applyAlignment="1" applyProtection="1">
      <alignment horizontal="center" vertical="center"/>
    </xf>
    <xf numFmtId="1" fontId="9" fillId="0" borderId="18" xfId="0" applyNumberFormat="1" applyFont="1" applyFill="1" applyBorder="1" applyAlignment="1" applyProtection="1">
      <alignment horizontal="center" vertical="center" textRotation="90"/>
    </xf>
    <xf numFmtId="1" fontId="9" fillId="0" borderId="19" xfId="0" applyNumberFormat="1" applyFont="1" applyFill="1" applyBorder="1" applyAlignment="1" applyProtection="1">
      <alignment horizontal="center" vertical="center"/>
    </xf>
    <xf numFmtId="0" fontId="31" fillId="2" borderId="9" xfId="0" applyFont="1" applyFill="1" applyBorder="1" applyAlignment="1" applyProtection="1">
      <alignment horizontal="center"/>
    </xf>
    <xf numFmtId="168" fontId="9" fillId="0" borderId="9" xfId="0" applyNumberFormat="1" applyFont="1" applyFill="1" applyBorder="1" applyAlignment="1" applyProtection="1">
      <alignment horizontal="center"/>
    </xf>
    <xf numFmtId="0" fontId="9" fillId="0" borderId="9" xfId="0" applyFont="1" applyBorder="1" applyAlignment="1" applyProtection="1">
      <alignment horizontal="center"/>
    </xf>
    <xf numFmtId="41" fontId="32" fillId="0" borderId="9" xfId="0" applyNumberFormat="1" applyFont="1" applyFill="1" applyBorder="1" applyAlignment="1" applyProtection="1">
      <alignment horizontal="center"/>
    </xf>
    <xf numFmtId="169" fontId="25" fillId="0" borderId="9" xfId="0" applyNumberFormat="1" applyFont="1" applyFill="1" applyBorder="1" applyProtection="1"/>
    <xf numFmtId="170" fontId="32" fillId="0" borderId="9" xfId="0" applyNumberFormat="1" applyFont="1" applyFill="1" applyBorder="1" applyProtection="1"/>
    <xf numFmtId="170" fontId="36" fillId="0" borderId="0" xfId="0" applyNumberFormat="1" applyFont="1" applyProtection="1"/>
    <xf numFmtId="0" fontId="9" fillId="0" borderId="20" xfId="0" applyFont="1" applyBorder="1" applyAlignment="1" applyProtection="1">
      <alignment horizontal="center"/>
    </xf>
    <xf numFmtId="0" fontId="9" fillId="0" borderId="21" xfId="0" applyFont="1" applyFill="1" applyBorder="1" applyAlignment="1" applyProtection="1">
      <alignment horizontal="center" vertical="center"/>
    </xf>
    <xf numFmtId="0" fontId="9" fillId="0" borderId="22" xfId="0" applyFont="1" applyFill="1" applyBorder="1" applyAlignment="1" applyProtection="1">
      <alignment horizontal="center" vertical="center" textRotation="90"/>
    </xf>
    <xf numFmtId="3" fontId="9" fillId="0" borderId="22" xfId="0" applyNumberFormat="1" applyFont="1" applyFill="1" applyBorder="1" applyAlignment="1" applyProtection="1">
      <alignment horizontal="center" vertical="center"/>
    </xf>
    <xf numFmtId="1" fontId="9" fillId="0" borderId="22" xfId="0" applyNumberFormat="1" applyFont="1" applyFill="1" applyBorder="1" applyAlignment="1" applyProtection="1">
      <alignment horizontal="center" vertical="center" textRotation="90"/>
    </xf>
    <xf numFmtId="0" fontId="9" fillId="0" borderId="23" xfId="0" applyFont="1" applyFill="1" applyBorder="1" applyAlignment="1" applyProtection="1">
      <alignment horizontal="center" vertical="center"/>
    </xf>
    <xf numFmtId="0" fontId="31" fillId="2" borderId="20" xfId="0" applyFont="1" applyFill="1" applyBorder="1" applyAlignment="1" applyProtection="1">
      <alignment horizontal="center"/>
    </xf>
    <xf numFmtId="168" fontId="9" fillId="0" borderId="20" xfId="0" applyNumberFormat="1" applyFont="1" applyFill="1" applyBorder="1" applyAlignment="1" applyProtection="1">
      <alignment horizontal="center"/>
    </xf>
    <xf numFmtId="41" fontId="32" fillId="0" borderId="20" xfId="0" applyNumberFormat="1" applyFont="1" applyFill="1" applyBorder="1" applyAlignment="1" applyProtection="1">
      <alignment horizontal="center"/>
    </xf>
    <xf numFmtId="169" fontId="25" fillId="0" borderId="20" xfId="0" applyNumberFormat="1" applyFont="1" applyFill="1" applyBorder="1" applyProtection="1"/>
    <xf numFmtId="170" fontId="32" fillId="0" borderId="20" xfId="0" applyNumberFormat="1" applyFont="1" applyFill="1" applyBorder="1" applyProtection="1"/>
    <xf numFmtId="167" fontId="9" fillId="2" borderId="20" xfId="0" applyNumberFormat="1" applyFont="1" applyFill="1" applyBorder="1" applyAlignment="1" applyProtection="1">
      <alignment horizontal="center"/>
    </xf>
    <xf numFmtId="1" fontId="9" fillId="0" borderId="21" xfId="0" applyNumberFormat="1" applyFont="1" applyFill="1" applyBorder="1" applyAlignment="1" applyProtection="1">
      <alignment horizontal="center" vertical="center"/>
    </xf>
    <xf numFmtId="1" fontId="9" fillId="0" borderId="23" xfId="0" applyNumberFormat="1" applyFont="1" applyFill="1" applyBorder="1" applyAlignment="1" applyProtection="1">
      <alignment horizontal="center" vertical="center"/>
    </xf>
    <xf numFmtId="0" fontId="8" fillId="0" borderId="25" xfId="0" applyFont="1" applyBorder="1" applyAlignment="1" applyProtection="1">
      <alignment horizontal="center"/>
    </xf>
    <xf numFmtId="167" fontId="9" fillId="2" borderId="25" xfId="0" applyNumberFormat="1" applyFont="1" applyFill="1" applyBorder="1" applyAlignment="1" applyProtection="1">
      <alignment horizontal="center"/>
    </xf>
    <xf numFmtId="1" fontId="9" fillId="0" borderId="11" xfId="0" applyNumberFormat="1" applyFont="1" applyFill="1" applyBorder="1" applyAlignment="1" applyProtection="1">
      <alignment horizontal="center" vertical="center" textRotation="90"/>
    </xf>
    <xf numFmtId="3" fontId="9" fillId="0" borderId="11" xfId="0" applyNumberFormat="1" applyFont="1" applyFill="1" applyBorder="1" applyAlignment="1" applyProtection="1">
      <alignment horizontal="center" vertical="center"/>
    </xf>
    <xf numFmtId="1" fontId="9" fillId="0" borderId="12" xfId="0" applyNumberFormat="1" applyFont="1" applyFill="1" applyBorder="1" applyAlignment="1" applyProtection="1">
      <alignment horizontal="center" vertical="center"/>
    </xf>
    <xf numFmtId="0" fontId="31" fillId="2" borderId="25" xfId="0" applyFont="1" applyFill="1" applyBorder="1" applyAlignment="1" applyProtection="1">
      <alignment horizontal="center"/>
    </xf>
    <xf numFmtId="168" fontId="9" fillId="0" borderId="25" xfId="0" applyNumberFormat="1" applyFont="1" applyFill="1" applyBorder="1" applyAlignment="1" applyProtection="1">
      <alignment horizontal="center"/>
    </xf>
    <xf numFmtId="0" fontId="9" fillId="0" borderId="25" xfId="0" applyFont="1" applyBorder="1" applyAlignment="1" applyProtection="1">
      <alignment horizontal="center"/>
    </xf>
    <xf numFmtId="41" fontId="32" fillId="0" borderId="25" xfId="0" applyNumberFormat="1" applyFont="1" applyFill="1" applyBorder="1" applyAlignment="1" applyProtection="1">
      <alignment horizontal="center"/>
    </xf>
    <xf numFmtId="169" fontId="25" fillId="0" borderId="25" xfId="0" applyNumberFormat="1" applyFont="1" applyFill="1" applyBorder="1" applyProtection="1"/>
    <xf numFmtId="170" fontId="32" fillId="0" borderId="25" xfId="0" applyNumberFormat="1" applyFont="1" applyFill="1" applyBorder="1" applyProtection="1"/>
    <xf numFmtId="0" fontId="9" fillId="0" borderId="26" xfId="0" applyFont="1" applyBorder="1" applyAlignment="1" applyProtection="1">
      <alignment horizontal="center"/>
    </xf>
    <xf numFmtId="167" fontId="9" fillId="2" borderId="26" xfId="0" applyNumberFormat="1" applyFont="1" applyFill="1" applyBorder="1" applyAlignment="1" applyProtection="1">
      <alignment horizontal="center"/>
    </xf>
    <xf numFmtId="0" fontId="9" fillId="0" borderId="27" xfId="0" applyFont="1" applyFill="1" applyBorder="1" applyAlignment="1" applyProtection="1">
      <alignment horizontal="center" vertical="center"/>
    </xf>
    <xf numFmtId="0" fontId="9" fillId="0" borderId="28" xfId="0" applyFont="1" applyFill="1" applyBorder="1" applyAlignment="1" applyProtection="1">
      <alignment horizontal="center" vertical="center" textRotation="90"/>
    </xf>
    <xf numFmtId="3" fontId="9" fillId="0" borderId="28" xfId="0" applyNumberFormat="1" applyFont="1" applyFill="1" applyBorder="1" applyAlignment="1" applyProtection="1">
      <alignment horizontal="center" vertical="center"/>
    </xf>
    <xf numFmtId="1" fontId="9" fillId="0" borderId="28" xfId="0" applyNumberFormat="1" applyFont="1" applyFill="1" applyBorder="1" applyAlignment="1" applyProtection="1">
      <alignment horizontal="center" vertical="center" textRotation="90"/>
    </xf>
    <xf numFmtId="0" fontId="9" fillId="0" borderId="29" xfId="0" applyFont="1" applyFill="1" applyBorder="1" applyAlignment="1" applyProtection="1">
      <alignment horizontal="center" vertical="center"/>
    </xf>
    <xf numFmtId="0" fontId="31" fillId="2" borderId="26" xfId="0" applyFont="1" applyFill="1" applyBorder="1" applyAlignment="1" applyProtection="1">
      <alignment horizontal="center"/>
    </xf>
    <xf numFmtId="168" fontId="9" fillId="0" borderId="26" xfId="0" applyNumberFormat="1" applyFont="1" applyFill="1" applyBorder="1" applyAlignment="1" applyProtection="1">
      <alignment horizontal="center"/>
    </xf>
    <xf numFmtId="41" fontId="32" fillId="0" borderId="26" xfId="0" applyNumberFormat="1" applyFont="1" applyFill="1" applyBorder="1" applyAlignment="1" applyProtection="1">
      <alignment horizontal="center"/>
    </xf>
    <xf numFmtId="169" fontId="25" fillId="0" borderId="26" xfId="0" applyNumberFormat="1" applyFont="1" applyFill="1" applyBorder="1" applyProtection="1"/>
    <xf numFmtId="170" fontId="32" fillId="0" borderId="26" xfId="0" applyNumberFormat="1" applyFont="1" applyFill="1" applyBorder="1" applyProtection="1"/>
    <xf numFmtId="0" fontId="22" fillId="0" borderId="13" xfId="0" applyFont="1" applyBorder="1" applyAlignment="1" applyProtection="1">
      <alignment horizontal="center"/>
    </xf>
    <xf numFmtId="167" fontId="22" fillId="2" borderId="13" xfId="0" applyNumberFormat="1" applyFont="1" applyFill="1" applyBorder="1" applyAlignment="1" applyProtection="1">
      <alignment horizontal="center"/>
    </xf>
    <xf numFmtId="0" fontId="22" fillId="0" borderId="30" xfId="0" applyFont="1" applyFill="1" applyBorder="1" applyAlignment="1" applyProtection="1">
      <alignment horizontal="center" vertical="center"/>
    </xf>
    <xf numFmtId="0" fontId="22" fillId="0" borderId="0" xfId="0" applyFont="1" applyFill="1" applyBorder="1" applyAlignment="1" applyProtection="1">
      <alignment horizontal="center" vertical="center"/>
    </xf>
    <xf numFmtId="3" fontId="22" fillId="0" borderId="0" xfId="0" applyNumberFormat="1" applyFont="1" applyFill="1" applyBorder="1" applyAlignment="1" applyProtection="1">
      <alignment horizontal="center" vertical="center"/>
    </xf>
    <xf numFmtId="1" fontId="22" fillId="0" borderId="0" xfId="0" applyNumberFormat="1" applyFont="1" applyFill="1" applyBorder="1" applyAlignment="1" applyProtection="1">
      <alignment horizontal="center" vertical="center"/>
    </xf>
    <xf numFmtId="0" fontId="22" fillId="0" borderId="31" xfId="0" applyFont="1" applyFill="1" applyBorder="1" applyAlignment="1" applyProtection="1">
      <alignment horizontal="center" vertical="center"/>
    </xf>
    <xf numFmtId="0" fontId="37" fillId="2" borderId="13" xfId="0" applyFont="1" applyFill="1" applyBorder="1" applyAlignment="1" applyProtection="1">
      <alignment horizontal="center"/>
    </xf>
    <xf numFmtId="168" fontId="22" fillId="0" borderId="13" xfId="0" applyNumberFormat="1" applyFont="1" applyFill="1" applyBorder="1" applyAlignment="1" applyProtection="1">
      <alignment horizontal="center"/>
    </xf>
    <xf numFmtId="41" fontId="38" fillId="0" borderId="13" xfId="0" applyNumberFormat="1" applyFont="1" applyFill="1" applyBorder="1" applyAlignment="1" applyProtection="1">
      <alignment horizontal="center"/>
    </xf>
    <xf numFmtId="169" fontId="39" fillId="0" borderId="13" xfId="0" applyNumberFormat="1" applyFont="1" applyFill="1" applyBorder="1" applyProtection="1"/>
    <xf numFmtId="170" fontId="38" fillId="0" borderId="13" xfId="0" applyNumberFormat="1" applyFont="1" applyFill="1" applyBorder="1" applyProtection="1"/>
    <xf numFmtId="0" fontId="40" fillId="0" borderId="0" xfId="0" applyFont="1" applyProtection="1"/>
    <xf numFmtId="37" fontId="32" fillId="0" borderId="25" xfId="0" applyNumberFormat="1" applyFont="1" applyFill="1" applyBorder="1" applyAlignment="1" applyProtection="1"/>
    <xf numFmtId="0" fontId="9" fillId="0" borderId="22" xfId="0" applyFont="1" applyFill="1" applyBorder="1" applyAlignment="1" applyProtection="1">
      <alignment horizontal="center" vertical="center"/>
    </xf>
    <xf numFmtId="1" fontId="9" fillId="0" borderId="22" xfId="0" applyNumberFormat="1" applyFont="1" applyFill="1" applyBorder="1" applyAlignment="1" applyProtection="1">
      <alignment horizontal="center" vertical="center"/>
    </xf>
    <xf numFmtId="3" fontId="9" fillId="0" borderId="28" xfId="0" applyNumberFormat="1" applyFont="1" applyFill="1" applyBorder="1" applyAlignment="1" applyProtection="1">
      <alignment horizontal="center"/>
    </xf>
    <xf numFmtId="0" fontId="22" fillId="0" borderId="24" xfId="0" applyFont="1" applyBorder="1" applyAlignment="1" applyProtection="1">
      <alignment horizontal="center"/>
    </xf>
    <xf numFmtId="167" fontId="22" fillId="2" borderId="24" xfId="0" applyNumberFormat="1" applyFont="1" applyFill="1" applyBorder="1" applyAlignment="1" applyProtection="1">
      <alignment horizontal="center"/>
    </xf>
    <xf numFmtId="0" fontId="22" fillId="0" borderId="14" xfId="0" applyFont="1" applyFill="1" applyBorder="1" applyAlignment="1" applyProtection="1">
      <alignment horizontal="center" vertical="center"/>
    </xf>
    <xf numFmtId="0" fontId="22" fillId="0" borderId="15" xfId="0" applyFont="1" applyFill="1" applyBorder="1" applyAlignment="1" applyProtection="1">
      <alignment horizontal="center" vertical="center"/>
    </xf>
    <xf numFmtId="3" fontId="22" fillId="0" borderId="15" xfId="0" applyNumberFormat="1" applyFont="1" applyFill="1" applyBorder="1" applyAlignment="1" applyProtection="1">
      <alignment horizontal="center" vertical="center"/>
    </xf>
    <xf numFmtId="1" fontId="22" fillId="0" borderId="15" xfId="0" applyNumberFormat="1" applyFont="1" applyFill="1" applyBorder="1" applyAlignment="1" applyProtection="1">
      <alignment horizontal="center" vertical="center"/>
    </xf>
    <xf numFmtId="0" fontId="22" fillId="0" borderId="16" xfId="0" applyFont="1" applyFill="1" applyBorder="1" applyAlignment="1" applyProtection="1">
      <alignment horizontal="center" vertical="center"/>
    </xf>
    <xf numFmtId="0" fontId="37" fillId="2" borderId="24" xfId="0" applyFont="1" applyFill="1" applyBorder="1" applyAlignment="1" applyProtection="1">
      <alignment horizontal="center"/>
    </xf>
    <xf numFmtId="168" fontId="22" fillId="0" borderId="24" xfId="0" applyNumberFormat="1" applyFont="1" applyFill="1" applyBorder="1" applyAlignment="1" applyProtection="1">
      <alignment horizontal="center"/>
    </xf>
    <xf numFmtId="41" fontId="38" fillId="0" borderId="24" xfId="0" applyNumberFormat="1" applyFont="1" applyFill="1" applyBorder="1" applyAlignment="1" applyProtection="1">
      <alignment horizontal="center"/>
    </xf>
    <xf numFmtId="169" fontId="39" fillId="0" borderId="24" xfId="0" applyNumberFormat="1" applyFont="1" applyFill="1" applyBorder="1" applyProtection="1"/>
    <xf numFmtId="170" fontId="38" fillId="0" borderId="24" xfId="0" applyNumberFormat="1" applyFont="1" applyFill="1" applyBorder="1" applyProtection="1"/>
    <xf numFmtId="1" fontId="34" fillId="6" borderId="7" xfId="0" applyNumberFormat="1" applyFont="1" applyFill="1" applyBorder="1" applyAlignment="1" applyProtection="1">
      <alignment horizontal="center" vertical="center"/>
    </xf>
    <xf numFmtId="1" fontId="34" fillId="6" borderId="8" xfId="0" applyNumberFormat="1" applyFont="1" applyFill="1" applyBorder="1" applyAlignment="1" applyProtection="1">
      <alignment horizontal="center" vertical="center"/>
    </xf>
    <xf numFmtId="3" fontId="34" fillId="6" borderId="8" xfId="0" applyNumberFormat="1" applyFont="1" applyFill="1" applyBorder="1" applyAlignment="1" applyProtection="1">
      <alignment horizontal="center"/>
    </xf>
    <xf numFmtId="1" fontId="34" fillId="6" borderId="8" xfId="0" applyNumberFormat="1" applyFont="1" applyFill="1" applyBorder="1" applyAlignment="1" applyProtection="1">
      <alignment horizontal="center"/>
    </xf>
    <xf numFmtId="1" fontId="34" fillId="6" borderId="6" xfId="0" applyNumberFormat="1" applyFont="1" applyFill="1" applyBorder="1" applyAlignment="1" applyProtection="1">
      <alignment horizontal="center" vertical="center"/>
    </xf>
    <xf numFmtId="0" fontId="9" fillId="0" borderId="24" xfId="0" applyFont="1" applyBorder="1" applyAlignment="1" applyProtection="1">
      <alignment horizontal="center"/>
    </xf>
    <xf numFmtId="167" fontId="9" fillId="2" borderId="24" xfId="0" applyNumberFormat="1" applyFont="1" applyFill="1" applyBorder="1" applyAlignment="1" applyProtection="1">
      <alignment horizontal="center"/>
    </xf>
    <xf numFmtId="0" fontId="9" fillId="0" borderId="14" xfId="0" applyFont="1" applyFill="1" applyBorder="1" applyAlignment="1" applyProtection="1">
      <alignment horizontal="center" vertical="center"/>
    </xf>
    <xf numFmtId="0" fontId="9" fillId="0" borderId="15" xfId="0" applyFont="1" applyFill="1" applyBorder="1" applyAlignment="1" applyProtection="1">
      <alignment horizontal="center" vertical="center"/>
    </xf>
    <xf numFmtId="3" fontId="9" fillId="0" borderId="15" xfId="0" applyNumberFormat="1" applyFont="1" applyFill="1" applyBorder="1" applyAlignment="1" applyProtection="1">
      <alignment horizontal="center" vertical="center"/>
    </xf>
    <xf numFmtId="1" fontId="9" fillId="0" borderId="15" xfId="0" applyNumberFormat="1" applyFont="1" applyFill="1" applyBorder="1" applyAlignment="1" applyProtection="1">
      <alignment horizontal="center" vertical="center"/>
    </xf>
    <xf numFmtId="0" fontId="9" fillId="0" borderId="16" xfId="0" applyFont="1" applyFill="1" applyBorder="1" applyAlignment="1" applyProtection="1">
      <alignment horizontal="center" vertical="center"/>
    </xf>
    <xf numFmtId="0" fontId="31" fillId="2" borderId="24" xfId="0" applyFont="1" applyFill="1" applyBorder="1" applyAlignment="1" applyProtection="1">
      <alignment horizontal="center"/>
    </xf>
    <xf numFmtId="168" fontId="9" fillId="0" borderId="24" xfId="0" applyNumberFormat="1" applyFont="1" applyFill="1" applyBorder="1" applyAlignment="1" applyProtection="1">
      <alignment horizontal="center"/>
    </xf>
    <xf numFmtId="41" fontId="32" fillId="0" borderId="24" xfId="0" applyNumberFormat="1" applyFont="1" applyFill="1" applyBorder="1" applyAlignment="1" applyProtection="1">
      <alignment horizontal="center"/>
    </xf>
    <xf numFmtId="0" fontId="9" fillId="0" borderId="20" xfId="0" applyFont="1" applyFill="1" applyBorder="1" applyAlignment="1" applyProtection="1">
      <alignment horizontal="center"/>
    </xf>
    <xf numFmtId="167" fontId="9" fillId="0" borderId="20" xfId="0" applyNumberFormat="1" applyFont="1" applyFill="1" applyBorder="1" applyAlignment="1" applyProtection="1">
      <alignment horizontal="center"/>
    </xf>
    <xf numFmtId="0" fontId="31" fillId="0" borderId="20" xfId="0" applyFont="1" applyFill="1" applyBorder="1" applyAlignment="1" applyProtection="1">
      <alignment horizontal="center"/>
    </xf>
    <xf numFmtId="0" fontId="23" fillId="0" borderId="0" xfId="0" applyFont="1" applyFill="1" applyProtection="1"/>
    <xf numFmtId="0" fontId="22" fillId="0" borderId="31" xfId="0" applyFont="1" applyBorder="1" applyAlignment="1" applyProtection="1">
      <alignment horizontal="center"/>
    </xf>
    <xf numFmtId="167" fontId="22" fillId="2" borderId="31" xfId="0" applyNumberFormat="1" applyFont="1" applyFill="1" applyBorder="1" applyAlignment="1" applyProtection="1">
      <alignment horizontal="center"/>
    </xf>
    <xf numFmtId="170" fontId="38" fillId="0" borderId="30" xfId="0" applyNumberFormat="1" applyFont="1" applyFill="1" applyBorder="1" applyProtection="1"/>
    <xf numFmtId="1" fontId="9" fillId="0" borderId="17" xfId="0" applyNumberFormat="1" applyFont="1" applyFill="1" applyBorder="1" applyAlignment="1" applyProtection="1">
      <alignment horizontal="center" vertical="center"/>
    </xf>
    <xf numFmtId="1" fontId="9" fillId="0" borderId="18" xfId="0" applyNumberFormat="1" applyFont="1" applyFill="1" applyBorder="1" applyAlignment="1" applyProtection="1">
      <alignment horizontal="center" vertical="center"/>
    </xf>
    <xf numFmtId="167" fontId="9" fillId="8" borderId="20" xfId="0" applyNumberFormat="1" applyFont="1" applyFill="1" applyBorder="1" applyAlignment="1" applyProtection="1">
      <alignment horizontal="center"/>
    </xf>
    <xf numFmtId="0" fontId="42" fillId="0" borderId="0" xfId="0" applyFont="1" applyProtection="1"/>
    <xf numFmtId="0" fontId="9" fillId="2" borderId="0" xfId="0" applyFont="1" applyFill="1" applyProtection="1"/>
    <xf numFmtId="0" fontId="9" fillId="2" borderId="0" xfId="0" applyFont="1" applyFill="1" applyAlignment="1" applyProtection="1">
      <alignment horizontal="center"/>
    </xf>
    <xf numFmtId="3" fontId="9" fillId="2" borderId="0" xfId="0" applyNumberFormat="1" applyFont="1" applyFill="1" applyProtection="1"/>
    <xf numFmtId="1" fontId="9" fillId="2" borderId="0" xfId="0" applyNumberFormat="1" applyFont="1" applyFill="1" applyProtection="1"/>
    <xf numFmtId="3" fontId="9" fillId="2" borderId="0" xfId="0" applyNumberFormat="1" applyFont="1" applyFill="1" applyAlignment="1" applyProtection="1">
      <alignment horizontal="center"/>
    </xf>
    <xf numFmtId="0" fontId="8" fillId="2" borderId="0" xfId="0" applyFont="1" applyFill="1" applyProtection="1"/>
    <xf numFmtId="3" fontId="23" fillId="0" borderId="0" xfId="0" applyNumberFormat="1" applyFont="1" applyProtection="1"/>
    <xf numFmtId="0" fontId="43" fillId="0" borderId="0" xfId="0" applyFont="1" applyProtection="1"/>
    <xf numFmtId="0" fontId="10" fillId="4" borderId="33" xfId="0" applyFont="1" applyFill="1" applyBorder="1" applyAlignment="1" applyProtection="1">
      <alignment horizontal="center"/>
    </xf>
    <xf numFmtId="0" fontId="10" fillId="4" borderId="34" xfId="0" applyFont="1" applyFill="1" applyBorder="1" applyAlignment="1" applyProtection="1">
      <alignment horizontal="center" wrapText="1"/>
    </xf>
    <xf numFmtId="0" fontId="10" fillId="4" borderId="34" xfId="0" applyFont="1" applyFill="1" applyBorder="1" applyAlignment="1" applyProtection="1">
      <alignment horizontal="center"/>
    </xf>
    <xf numFmtId="0" fontId="10" fillId="4" borderId="35" xfId="0" applyFont="1" applyFill="1" applyBorder="1" applyAlignment="1" applyProtection="1"/>
    <xf numFmtId="0" fontId="10" fillId="4" borderId="36" xfId="0" applyFont="1" applyFill="1" applyBorder="1" applyAlignment="1" applyProtection="1"/>
    <xf numFmtId="3" fontId="10" fillId="4" borderId="36" xfId="0" applyNumberFormat="1" applyFont="1" applyFill="1" applyBorder="1" applyAlignment="1" applyProtection="1">
      <alignment horizontal="center"/>
    </xf>
    <xf numFmtId="1" fontId="10" fillId="4" borderId="36" xfId="0" applyNumberFormat="1" applyFont="1" applyFill="1" applyBorder="1" applyAlignment="1" applyProtection="1">
      <alignment horizontal="center"/>
    </xf>
    <xf numFmtId="0" fontId="10" fillId="4" borderId="34" xfId="0" applyFont="1" applyFill="1" applyBorder="1" applyAlignment="1" applyProtection="1"/>
    <xf numFmtId="0" fontId="10" fillId="4" borderId="37" xfId="0" applyFont="1" applyFill="1" applyBorder="1" applyAlignment="1" applyProtection="1">
      <alignment horizontal="center"/>
    </xf>
    <xf numFmtId="3" fontId="10" fillId="4" borderId="37" xfId="0" applyNumberFormat="1" applyFont="1" applyFill="1" applyBorder="1" applyAlignment="1" applyProtection="1">
      <alignment horizontal="center" wrapText="1"/>
    </xf>
    <xf numFmtId="0" fontId="10" fillId="4" borderId="38" xfId="0" applyFont="1" applyFill="1" applyBorder="1" applyAlignment="1" applyProtection="1">
      <alignment horizontal="centerContinuous"/>
    </xf>
    <xf numFmtId="0" fontId="10" fillId="4" borderId="39" xfId="0" applyFont="1" applyFill="1" applyBorder="1" applyAlignment="1" applyProtection="1">
      <alignment horizontal="center"/>
    </xf>
    <xf numFmtId="0" fontId="10" fillId="4" borderId="40" xfId="0" applyFont="1" applyFill="1" applyBorder="1" applyAlignment="1" applyProtection="1">
      <alignment horizontal="center"/>
    </xf>
    <xf numFmtId="0" fontId="10" fillId="4" borderId="41" xfId="0" applyFont="1" applyFill="1" applyBorder="1" applyAlignment="1" applyProtection="1">
      <alignment horizontal="center"/>
    </xf>
    <xf numFmtId="167" fontId="27" fillId="4" borderId="42" xfId="0" applyNumberFormat="1" applyFont="1" applyFill="1" applyBorder="1" applyAlignment="1" applyProtection="1">
      <alignment horizontal="center"/>
    </xf>
    <xf numFmtId="167" fontId="28" fillId="4" borderId="43" xfId="0" applyNumberFormat="1" applyFont="1" applyFill="1" applyBorder="1" applyAlignment="1" applyProtection="1">
      <alignment horizontal="center"/>
    </xf>
    <xf numFmtId="0" fontId="9" fillId="5" borderId="44" xfId="0" applyFont="1" applyFill="1" applyBorder="1" applyAlignment="1" applyProtection="1">
      <alignment horizontal="center"/>
    </xf>
    <xf numFmtId="170" fontId="25" fillId="5" borderId="45" xfId="0" applyNumberFormat="1" applyFont="1" applyFill="1" applyBorder="1" applyProtection="1"/>
    <xf numFmtId="0" fontId="9" fillId="5" borderId="46" xfId="0" applyFont="1" applyFill="1" applyBorder="1" applyAlignment="1" applyProtection="1">
      <alignment horizontal="center"/>
    </xf>
    <xf numFmtId="170" fontId="33" fillId="5" borderId="47" xfId="0" applyNumberFormat="1" applyFont="1" applyFill="1" applyBorder="1" applyProtection="1"/>
    <xf numFmtId="0" fontId="34" fillId="6" borderId="42" xfId="0" applyFont="1" applyFill="1" applyBorder="1" applyAlignment="1" applyProtection="1">
      <alignment horizontal="center"/>
    </xf>
    <xf numFmtId="170" fontId="35" fillId="6" borderId="43" xfId="0" applyNumberFormat="1" applyFont="1" applyFill="1" applyBorder="1" applyProtection="1"/>
    <xf numFmtId="0" fontId="9" fillId="2" borderId="44" xfId="0" applyFont="1" applyFill="1" applyBorder="1" applyAlignment="1" applyProtection="1">
      <alignment horizontal="center"/>
    </xf>
    <xf numFmtId="170" fontId="25" fillId="0" borderId="45" xfId="0" applyNumberFormat="1" applyFont="1" applyFill="1" applyBorder="1" applyProtection="1"/>
    <xf numFmtId="0" fontId="9" fillId="2" borderId="48" xfId="0" applyFont="1" applyFill="1" applyBorder="1" applyAlignment="1" applyProtection="1">
      <alignment horizontal="center"/>
    </xf>
    <xf numFmtId="170" fontId="25" fillId="0" borderId="49" xfId="0" applyNumberFormat="1" applyFont="1" applyFill="1" applyBorder="1" applyProtection="1"/>
    <xf numFmtId="0" fontId="9" fillId="2" borderId="50" xfId="0" applyFont="1" applyFill="1" applyBorder="1" applyAlignment="1" applyProtection="1">
      <alignment horizontal="center"/>
    </xf>
    <xf numFmtId="170" fontId="25" fillId="0" borderId="51" xfId="0" applyNumberFormat="1" applyFont="1" applyFill="1" applyBorder="1" applyProtection="1"/>
    <xf numFmtId="0" fontId="9" fillId="2" borderId="52" xfId="0" applyFont="1" applyFill="1" applyBorder="1" applyAlignment="1" applyProtection="1">
      <alignment horizontal="center"/>
    </xf>
    <xf numFmtId="170" fontId="25" fillId="0" borderId="53" xfId="0" applyNumberFormat="1" applyFont="1" applyFill="1" applyBorder="1" applyProtection="1"/>
    <xf numFmtId="0" fontId="22" fillId="2" borderId="46" xfId="0" applyFont="1" applyFill="1" applyBorder="1" applyAlignment="1" applyProtection="1">
      <alignment horizontal="center"/>
    </xf>
    <xf numFmtId="170" fontId="39" fillId="0" borderId="47" xfId="0" applyNumberFormat="1" applyFont="1" applyFill="1" applyBorder="1" applyProtection="1"/>
    <xf numFmtId="0" fontId="22" fillId="2" borderId="54" xfId="0" applyFont="1" applyFill="1" applyBorder="1" applyAlignment="1" applyProtection="1">
      <alignment horizontal="center"/>
    </xf>
    <xf numFmtId="170" fontId="39" fillId="0" borderId="55" xfId="0" applyNumberFormat="1" applyFont="1" applyFill="1" applyBorder="1" applyProtection="1"/>
    <xf numFmtId="0" fontId="9" fillId="2" borderId="54" xfId="0" applyFont="1" applyFill="1" applyBorder="1" applyAlignment="1" applyProtection="1">
      <alignment horizontal="center"/>
    </xf>
    <xf numFmtId="0" fontId="9" fillId="0" borderId="48" xfId="0" applyFont="1" applyFill="1" applyBorder="1" applyAlignment="1" applyProtection="1">
      <alignment horizontal="center"/>
    </xf>
    <xf numFmtId="169" fontId="41" fillId="7" borderId="56" xfId="0" applyNumberFormat="1" applyFont="1" applyFill="1" applyBorder="1" applyProtection="1"/>
    <xf numFmtId="0" fontId="31" fillId="8" borderId="25" xfId="0" applyFont="1" applyFill="1" applyBorder="1" applyAlignment="1" applyProtection="1">
      <alignment horizontal="center"/>
    </xf>
    <xf numFmtId="0" fontId="31" fillId="8" borderId="20" xfId="0" applyFont="1" applyFill="1" applyBorder="1" applyAlignment="1" applyProtection="1">
      <alignment horizontal="center"/>
    </xf>
    <xf numFmtId="168" fontId="9" fillId="8" borderId="25" xfId="0" applyNumberFormat="1" applyFont="1" applyFill="1" applyBorder="1" applyAlignment="1" applyProtection="1">
      <alignment horizontal="center"/>
    </xf>
    <xf numFmtId="168" fontId="9" fillId="8" borderId="26" xfId="0" applyNumberFormat="1" applyFont="1" applyFill="1" applyBorder="1" applyAlignment="1" applyProtection="1">
      <alignment horizontal="center"/>
    </xf>
    <xf numFmtId="164" fontId="25" fillId="3" borderId="1" xfId="0" applyNumberFormat="1" applyFont="1" applyFill="1" applyBorder="1" applyProtection="1"/>
    <xf numFmtId="0" fontId="10" fillId="4" borderId="37" xfId="0" applyFont="1" applyFill="1" applyBorder="1" applyAlignment="1" applyProtection="1">
      <alignment horizontal="center" wrapText="1"/>
    </xf>
    <xf numFmtId="0" fontId="10" fillId="4" borderId="58" xfId="0" applyFont="1" applyFill="1" applyBorder="1" applyAlignment="1" applyProtection="1">
      <alignment horizontal="centerContinuous"/>
    </xf>
    <xf numFmtId="0" fontId="10" fillId="4" borderId="59" xfId="0" applyFont="1" applyFill="1" applyBorder="1" applyAlignment="1" applyProtection="1">
      <alignment horizontal="centerContinuous"/>
    </xf>
    <xf numFmtId="166" fontId="10" fillId="4" borderId="60" xfId="0" applyNumberFormat="1" applyFont="1" applyFill="1" applyBorder="1" applyAlignment="1" applyProtection="1">
      <alignment horizontal="center"/>
    </xf>
    <xf numFmtId="166" fontId="10" fillId="4" borderId="41" xfId="0" applyNumberFormat="1" applyFont="1" applyFill="1" applyBorder="1" applyAlignment="1" applyProtection="1">
      <alignment horizontal="center"/>
    </xf>
    <xf numFmtId="167" fontId="27" fillId="4" borderId="43" xfId="0" applyNumberFormat="1" applyFont="1" applyFill="1" applyBorder="1" applyAlignment="1" applyProtection="1">
      <alignment horizontal="center"/>
    </xf>
    <xf numFmtId="170" fontId="25" fillId="5" borderId="44" xfId="0" applyNumberFormat="1" applyFont="1" applyFill="1" applyBorder="1" applyProtection="1"/>
    <xf numFmtId="170" fontId="33" fillId="5" borderId="46" xfId="0" applyNumberFormat="1" applyFont="1" applyFill="1" applyBorder="1" applyProtection="1"/>
    <xf numFmtId="170" fontId="35" fillId="6" borderId="42" xfId="0" applyNumberFormat="1" applyFont="1" applyFill="1" applyBorder="1" applyProtection="1"/>
    <xf numFmtId="170" fontId="32" fillId="0" borderId="44" xfId="0" applyNumberFormat="1" applyFont="1" applyFill="1" applyBorder="1" applyProtection="1"/>
    <xf numFmtId="170" fontId="32" fillId="0" borderId="45" xfId="0" applyNumberFormat="1" applyFont="1" applyFill="1" applyBorder="1" applyProtection="1"/>
    <xf numFmtId="170" fontId="32" fillId="0" borderId="48" xfId="0" applyNumberFormat="1" applyFont="1" applyFill="1" applyBorder="1" applyProtection="1"/>
    <xf numFmtId="170" fontId="32" fillId="0" borderId="49" xfId="0" applyNumberFormat="1" applyFont="1" applyFill="1" applyBorder="1" applyProtection="1"/>
    <xf numFmtId="170" fontId="32" fillId="0" borderId="50" xfId="0" applyNumberFormat="1" applyFont="1" applyFill="1" applyBorder="1" applyProtection="1"/>
    <xf numFmtId="170" fontId="32" fillId="0" borderId="51" xfId="0" applyNumberFormat="1" applyFont="1" applyFill="1" applyBorder="1" applyProtection="1"/>
    <xf numFmtId="170" fontId="32" fillId="0" borderId="52" xfId="0" applyNumberFormat="1" applyFont="1" applyFill="1" applyBorder="1" applyProtection="1"/>
    <xf numFmtId="170" fontId="32" fillId="0" borderId="53" xfId="0" applyNumberFormat="1" applyFont="1" applyFill="1" applyBorder="1" applyProtection="1"/>
    <xf numFmtId="170" fontId="38" fillId="0" borderId="46" xfId="0" applyNumberFormat="1" applyFont="1" applyFill="1" applyBorder="1" applyProtection="1"/>
    <xf numFmtId="170" fontId="38" fillId="0" borderId="47" xfId="0" applyNumberFormat="1" applyFont="1" applyFill="1" applyBorder="1" applyProtection="1"/>
    <xf numFmtId="170" fontId="38" fillId="0" borderId="54" xfId="0" applyNumberFormat="1" applyFont="1" applyFill="1" applyBorder="1" applyProtection="1"/>
    <xf numFmtId="170" fontId="38" fillId="0" borderId="55" xfId="0" applyNumberFormat="1" applyFont="1" applyFill="1" applyBorder="1" applyProtection="1"/>
    <xf numFmtId="170" fontId="38" fillId="0" borderId="61" xfId="0" applyNumberFormat="1" applyFont="1" applyFill="1" applyBorder="1" applyProtection="1"/>
    <xf numFmtId="169" fontId="41" fillId="7" borderId="62" xfId="0" applyNumberFormat="1" applyFont="1" applyFill="1" applyBorder="1" applyProtection="1"/>
    <xf numFmtId="169" fontId="41" fillId="7" borderId="57" xfId="0" applyNumberFormat="1" applyFont="1" applyFill="1" applyBorder="1" applyProtection="1"/>
    <xf numFmtId="0" fontId="44" fillId="2" borderId="0" xfId="0" applyFont="1" applyFill="1" applyAlignment="1" applyProtection="1">
      <alignment vertical="center"/>
    </xf>
    <xf numFmtId="0" fontId="8" fillId="2" borderId="0" xfId="0" applyFont="1" applyFill="1" applyBorder="1" applyAlignment="1" applyProtection="1"/>
    <xf numFmtId="0" fontId="7" fillId="7" borderId="64" xfId="0" applyFont="1" applyFill="1" applyBorder="1" applyAlignment="1" applyProtection="1">
      <alignment horizontal="center"/>
    </xf>
    <xf numFmtId="0" fontId="7" fillId="7" borderId="65" xfId="0" applyFont="1" applyFill="1" applyBorder="1" applyAlignment="1" applyProtection="1">
      <alignment horizontal="center"/>
    </xf>
    <xf numFmtId="0" fontId="7" fillId="7" borderId="66" xfId="0" applyFont="1" applyFill="1" applyBorder="1" applyAlignment="1" applyProtection="1">
      <alignment horizontal="center"/>
    </xf>
    <xf numFmtId="168" fontId="7" fillId="7" borderId="68" xfId="0" applyNumberFormat="1" applyFont="1" applyFill="1" applyBorder="1" applyAlignment="1" applyProtection="1">
      <alignment horizontal="center"/>
    </xf>
    <xf numFmtId="3" fontId="7" fillId="7" borderId="68" xfId="0" applyNumberFormat="1" applyFont="1" applyFill="1" applyBorder="1" applyAlignment="1" applyProtection="1">
      <alignment horizontal="center"/>
    </xf>
    <xf numFmtId="169" fontId="24" fillId="7" borderId="68" xfId="0" applyNumberFormat="1" applyFont="1" applyFill="1" applyBorder="1" applyProtection="1"/>
    <xf numFmtId="169" fontId="24" fillId="7" borderId="69" xfId="0" applyNumberFormat="1" applyFont="1" applyFill="1" applyBorder="1" applyProtection="1"/>
    <xf numFmtId="0" fontId="22" fillId="2" borderId="70" xfId="0" applyFont="1" applyFill="1" applyBorder="1" applyAlignment="1" applyProtection="1">
      <alignment horizontal="center"/>
    </xf>
    <xf numFmtId="0" fontId="22" fillId="0" borderId="71" xfId="0" applyFont="1" applyBorder="1" applyAlignment="1" applyProtection="1">
      <alignment horizontal="center"/>
    </xf>
    <xf numFmtId="167" fontId="22" fillId="2" borderId="71" xfId="0" applyNumberFormat="1" applyFont="1" applyFill="1" applyBorder="1" applyAlignment="1" applyProtection="1">
      <alignment horizontal="center"/>
    </xf>
    <xf numFmtId="0" fontId="22" fillId="0" borderId="72" xfId="0" applyFont="1" applyFill="1" applyBorder="1" applyAlignment="1" applyProtection="1">
      <alignment horizontal="center" vertical="center"/>
    </xf>
    <xf numFmtId="0" fontId="22" fillId="0" borderId="73" xfId="0" applyFont="1" applyFill="1" applyBorder="1" applyAlignment="1" applyProtection="1">
      <alignment horizontal="center" vertical="center"/>
    </xf>
    <xf numFmtId="3" fontId="22" fillId="0" borderId="73" xfId="0" applyNumberFormat="1" applyFont="1" applyFill="1" applyBorder="1" applyAlignment="1" applyProtection="1">
      <alignment horizontal="center" vertical="center"/>
    </xf>
    <xf numFmtId="1" fontId="22" fillId="0" borderId="73" xfId="0" applyNumberFormat="1" applyFont="1" applyFill="1" applyBorder="1" applyAlignment="1" applyProtection="1">
      <alignment horizontal="center" vertical="center"/>
    </xf>
    <xf numFmtId="0" fontId="22" fillId="0" borderId="71" xfId="0" applyFont="1" applyFill="1" applyBorder="1" applyAlignment="1" applyProtection="1">
      <alignment horizontal="center" vertical="center"/>
    </xf>
    <xf numFmtId="0" fontId="37" fillId="2" borderId="74" xfId="0" applyFont="1" applyFill="1" applyBorder="1" applyAlignment="1" applyProtection="1">
      <alignment horizontal="center"/>
    </xf>
    <xf numFmtId="168" fontId="22" fillId="0" borderId="74" xfId="0" applyNumberFormat="1" applyFont="1" applyFill="1" applyBorder="1" applyAlignment="1" applyProtection="1">
      <alignment horizontal="center"/>
    </xf>
    <xf numFmtId="0" fontId="22" fillId="0" borderId="74" xfId="0" applyFont="1" applyBorder="1" applyAlignment="1" applyProtection="1">
      <alignment horizontal="center"/>
    </xf>
    <xf numFmtId="41" fontId="38" fillId="0" borderId="74" xfId="0" applyNumberFormat="1" applyFont="1" applyFill="1" applyBorder="1" applyAlignment="1" applyProtection="1">
      <alignment horizontal="center"/>
    </xf>
    <xf numFmtId="169" fontId="39" fillId="0" borderId="74" xfId="0" applyNumberFormat="1" applyFont="1" applyFill="1" applyBorder="1" applyProtection="1"/>
    <xf numFmtId="170" fontId="39" fillId="0" borderId="75" xfId="0" applyNumberFormat="1" applyFont="1" applyFill="1" applyBorder="1" applyProtection="1"/>
    <xf numFmtId="0" fontId="8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 applyProtection="1">
      <alignment vertical="center"/>
      <protection locked="0"/>
    </xf>
    <xf numFmtId="172" fontId="8" fillId="0" borderId="0" xfId="0" applyNumberFormat="1" applyFont="1" applyBorder="1" applyAlignment="1" applyProtection="1">
      <alignment horizontal="center" vertical="top" wrapText="1"/>
      <protection locked="0"/>
    </xf>
    <xf numFmtId="49" fontId="8" fillId="0" borderId="0" xfId="0" applyNumberFormat="1" applyFont="1" applyBorder="1" applyAlignment="1" applyProtection="1">
      <alignment horizontal="center" vertical="top" wrapText="1"/>
      <protection locked="0"/>
    </xf>
    <xf numFmtId="1" fontId="30" fillId="5" borderId="10" xfId="0" applyNumberFormat="1" applyFont="1" applyFill="1" applyBorder="1" applyAlignment="1" applyProtection="1">
      <alignment horizontal="center" vertical="center"/>
    </xf>
    <xf numFmtId="1" fontId="30" fillId="5" borderId="11" xfId="0" applyNumberFormat="1" applyFont="1" applyFill="1" applyBorder="1" applyAlignment="1" applyProtection="1">
      <alignment horizontal="center" vertical="center"/>
    </xf>
    <xf numFmtId="1" fontId="30" fillId="5" borderId="12" xfId="0" applyNumberFormat="1" applyFont="1" applyFill="1" applyBorder="1" applyAlignment="1" applyProtection="1">
      <alignment horizontal="center" vertical="center"/>
    </xf>
    <xf numFmtId="1" fontId="33" fillId="5" borderId="14" xfId="0" applyNumberFormat="1" applyFont="1" applyFill="1" applyBorder="1" applyAlignment="1" applyProtection="1">
      <alignment horizontal="center" vertical="center"/>
    </xf>
    <xf numFmtId="1" fontId="33" fillId="5" borderId="15" xfId="0" applyNumberFormat="1" applyFont="1" applyFill="1" applyBorder="1" applyAlignment="1" applyProtection="1">
      <alignment horizontal="center" vertical="center"/>
    </xf>
    <xf numFmtId="1" fontId="33" fillId="5" borderId="16" xfId="0" applyNumberFormat="1" applyFont="1" applyFill="1" applyBorder="1" applyAlignment="1" applyProtection="1">
      <alignment horizontal="center" vertical="center"/>
    </xf>
    <xf numFmtId="0" fontId="44" fillId="2" borderId="0" xfId="0" applyFont="1" applyFill="1" applyAlignment="1" applyProtection="1">
      <alignment horizontal="center" vertical="center"/>
    </xf>
    <xf numFmtId="167" fontId="27" fillId="4" borderId="7" xfId="0" applyNumberFormat="1" applyFont="1" applyFill="1" applyBorder="1" applyAlignment="1" applyProtection="1">
      <alignment horizontal="center"/>
    </xf>
    <xf numFmtId="167" fontId="27" fillId="4" borderId="8" xfId="0" applyNumberFormat="1" applyFont="1" applyFill="1" applyBorder="1" applyAlignment="1" applyProtection="1">
      <alignment horizontal="center"/>
    </xf>
    <xf numFmtId="0" fontId="8" fillId="2" borderId="63" xfId="0" applyFont="1" applyFill="1" applyBorder="1" applyAlignment="1" applyProtection="1">
      <alignment horizontal="center"/>
    </xf>
    <xf numFmtId="49" fontId="8" fillId="0" borderId="0" xfId="0" applyNumberFormat="1" applyFont="1" applyBorder="1" applyAlignment="1" applyProtection="1">
      <alignment horizontal="center"/>
      <protection locked="0"/>
    </xf>
    <xf numFmtId="49" fontId="8" fillId="0" borderId="0" xfId="0" applyNumberFormat="1" applyFont="1" applyBorder="1" applyAlignment="1" applyProtection="1">
      <alignment horizontal="center" vertical="top" wrapText="1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1" fontId="41" fillId="7" borderId="67" xfId="0" applyNumberFormat="1" applyFont="1" applyFill="1" applyBorder="1" applyAlignment="1" applyProtection="1">
      <alignment horizontal="center"/>
    </xf>
    <xf numFmtId="1" fontId="41" fillId="7" borderId="63" xfId="0" applyNumberFormat="1" applyFont="1" applyFill="1" applyBorder="1" applyAlignment="1" applyProtection="1">
      <alignment horizontal="center"/>
    </xf>
    <xf numFmtId="1" fontId="41" fillId="7" borderId="66" xfId="0" applyNumberFormat="1" applyFont="1" applyFill="1" applyBorder="1" applyAlignment="1" applyProtection="1">
      <alignment horizontal="center"/>
    </xf>
    <xf numFmtId="0" fontId="12" fillId="9" borderId="32" xfId="0" applyFont="1" applyFill="1" applyBorder="1" applyAlignment="1" applyProtection="1">
      <alignment horizontal="center" vertical="center"/>
      <protection locked="0"/>
    </xf>
    <xf numFmtId="0" fontId="12" fillId="9" borderId="5" xfId="0" applyFont="1" applyFill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top"/>
      <protection locked="0"/>
    </xf>
    <xf numFmtId="0" fontId="10" fillId="9" borderId="1" xfId="0" applyFont="1" applyFill="1" applyBorder="1" applyAlignment="1" applyProtection="1">
      <alignment horizontal="center" vertical="center"/>
      <protection locked="0"/>
    </xf>
    <xf numFmtId="0" fontId="1" fillId="9" borderId="1" xfId="0" applyFont="1" applyFill="1" applyBorder="1" applyAlignment="1" applyProtection="1">
      <alignment horizontal="center" vertical="center" wrapText="1"/>
      <protection locked="0"/>
    </xf>
    <xf numFmtId="0" fontId="1" fillId="9" borderId="1" xfId="0" applyFont="1" applyFill="1" applyBorder="1" applyAlignment="1" applyProtection="1">
      <alignment horizontal="center" vertical="center"/>
      <protection locked="0"/>
    </xf>
    <xf numFmtId="0" fontId="1" fillId="9" borderId="32" xfId="0" applyFont="1" applyFill="1" applyBorder="1" applyAlignment="1" applyProtection="1">
      <alignment horizontal="center" vertical="center" wrapText="1"/>
      <protection locked="0"/>
    </xf>
    <xf numFmtId="0" fontId="1" fillId="9" borderId="5" xfId="0" applyFont="1" applyFill="1" applyBorder="1" applyAlignment="1" applyProtection="1">
      <alignment horizontal="center" vertical="center" wrapText="1"/>
      <protection locked="0"/>
    </xf>
    <xf numFmtId="0" fontId="1" fillId="9" borderId="7" xfId="0" applyFont="1" applyFill="1" applyBorder="1" applyAlignment="1" applyProtection="1">
      <alignment horizontal="center" vertical="center"/>
      <protection locked="0"/>
    </xf>
    <xf numFmtId="0" fontId="1" fillId="9" borderId="8" xfId="0" applyFont="1" applyFill="1" applyBorder="1" applyAlignment="1" applyProtection="1">
      <alignment horizontal="center" vertical="center"/>
      <protection locked="0"/>
    </xf>
    <xf numFmtId="0" fontId="1" fillId="9" borderId="6" xfId="0" applyFont="1" applyFill="1" applyBorder="1" applyAlignment="1" applyProtection="1">
      <alignment horizontal="center" vertical="center"/>
      <protection locked="0"/>
    </xf>
    <xf numFmtId="0" fontId="45" fillId="0" borderId="0" xfId="0" applyFont="1" applyAlignment="1" applyProtection="1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9524</xdr:colOff>
      <xdr:row>21</xdr:row>
      <xdr:rowOff>66674</xdr:rowOff>
    </xdr:from>
    <xdr:to>
      <xdr:col>7</xdr:col>
      <xdr:colOff>7600</xdr:colOff>
      <xdr:row>21</xdr:row>
      <xdr:rowOff>245163</xdr:rowOff>
    </xdr:to>
    <xdr:sp macro="" textlink="">
      <xdr:nvSpPr>
        <xdr:cNvPr id="2" name="Freeform 1"/>
        <xdr:cNvSpPr/>
      </xdr:nvSpPr>
      <xdr:spPr>
        <a:xfrm rot="10800000">
          <a:off x="2066924" y="6029324"/>
          <a:ext cx="1741151" cy="178489"/>
        </a:xfrm>
        <a:custGeom>
          <a:avLst/>
          <a:gdLst>
            <a:gd name="connsiteX0" fmla="*/ 0 w 629478"/>
            <a:gd name="connsiteY0" fmla="*/ 173935 h 173935"/>
            <a:gd name="connsiteX1" fmla="*/ 0 w 629478"/>
            <a:gd name="connsiteY1" fmla="*/ 0 h 173935"/>
            <a:gd name="connsiteX2" fmla="*/ 629478 w 629478"/>
            <a:gd name="connsiteY2" fmla="*/ 0 h 173935"/>
            <a:gd name="connsiteX3" fmla="*/ 629478 w 629478"/>
            <a:gd name="connsiteY3" fmla="*/ 165652 h 17393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629478" h="173935">
              <a:moveTo>
                <a:pt x="0" y="173935"/>
              </a:moveTo>
              <a:lnTo>
                <a:pt x="0" y="0"/>
              </a:lnTo>
              <a:lnTo>
                <a:pt x="629478" y="0"/>
              </a:lnTo>
              <a:lnTo>
                <a:pt x="629478" y="165652"/>
              </a:lnTo>
            </a:path>
          </a:pathLst>
        </a:cu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en-US"/>
        </a:p>
      </xdr:txBody>
    </xdr:sp>
    <xdr:clientData/>
  </xdr:twoCellAnchor>
  <xdr:twoCellAnchor>
    <xdr:from>
      <xdr:col>4</xdr:col>
      <xdr:colOff>9525</xdr:colOff>
      <xdr:row>20</xdr:row>
      <xdr:rowOff>47626</xdr:rowOff>
    </xdr:from>
    <xdr:to>
      <xdr:col>7</xdr:col>
      <xdr:colOff>12026</xdr:colOff>
      <xdr:row>20</xdr:row>
      <xdr:rowOff>238126</xdr:rowOff>
    </xdr:to>
    <xdr:sp macro="" textlink="">
      <xdr:nvSpPr>
        <xdr:cNvPr id="3" name="Freeform 2"/>
        <xdr:cNvSpPr/>
      </xdr:nvSpPr>
      <xdr:spPr>
        <a:xfrm>
          <a:off x="2066925" y="5715001"/>
          <a:ext cx="1745576" cy="190500"/>
        </a:xfrm>
        <a:custGeom>
          <a:avLst/>
          <a:gdLst>
            <a:gd name="connsiteX0" fmla="*/ 0 w 629478"/>
            <a:gd name="connsiteY0" fmla="*/ 173935 h 173935"/>
            <a:gd name="connsiteX1" fmla="*/ 0 w 629478"/>
            <a:gd name="connsiteY1" fmla="*/ 0 h 173935"/>
            <a:gd name="connsiteX2" fmla="*/ 629478 w 629478"/>
            <a:gd name="connsiteY2" fmla="*/ 0 h 173935"/>
            <a:gd name="connsiteX3" fmla="*/ 629478 w 629478"/>
            <a:gd name="connsiteY3" fmla="*/ 165652 h 17393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629478" h="173935">
              <a:moveTo>
                <a:pt x="0" y="173935"/>
              </a:moveTo>
              <a:lnTo>
                <a:pt x="0" y="0"/>
              </a:lnTo>
              <a:lnTo>
                <a:pt x="629478" y="0"/>
              </a:lnTo>
              <a:lnTo>
                <a:pt x="629478" y="165652"/>
              </a:lnTo>
            </a:path>
          </a:pathLst>
        </a:cu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en-US"/>
        </a:p>
      </xdr:txBody>
    </xdr:sp>
    <xdr:clientData/>
  </xdr:twoCellAnchor>
  <xdr:twoCellAnchor>
    <xdr:from>
      <xdr:col>5</xdr:col>
      <xdr:colOff>0</xdr:colOff>
      <xdr:row>23</xdr:row>
      <xdr:rowOff>28575</xdr:rowOff>
    </xdr:from>
    <xdr:to>
      <xdr:col>6</xdr:col>
      <xdr:colOff>0</xdr:colOff>
      <xdr:row>23</xdr:row>
      <xdr:rowOff>276225</xdr:rowOff>
    </xdr:to>
    <xdr:sp macro="" textlink="">
      <xdr:nvSpPr>
        <xdr:cNvPr id="4" name="Freeform 3"/>
        <xdr:cNvSpPr/>
      </xdr:nvSpPr>
      <xdr:spPr>
        <a:xfrm>
          <a:off x="2447925" y="6581775"/>
          <a:ext cx="1019175" cy="247650"/>
        </a:xfrm>
        <a:custGeom>
          <a:avLst/>
          <a:gdLst>
            <a:gd name="connsiteX0" fmla="*/ 638175 w 714375"/>
            <a:gd name="connsiteY0" fmla="*/ 152400 h 400050"/>
            <a:gd name="connsiteX1" fmla="*/ 695325 w 714375"/>
            <a:gd name="connsiteY1" fmla="*/ 228600 h 400050"/>
            <a:gd name="connsiteX2" fmla="*/ 695325 w 714375"/>
            <a:gd name="connsiteY2" fmla="*/ 28575 h 400050"/>
            <a:gd name="connsiteX3" fmla="*/ 0 w 714375"/>
            <a:gd name="connsiteY3" fmla="*/ 28575 h 400050"/>
            <a:gd name="connsiteX4" fmla="*/ 0 w 714375"/>
            <a:gd name="connsiteY4" fmla="*/ 400050 h 400050"/>
            <a:gd name="connsiteX5" fmla="*/ 714375 w 714375"/>
            <a:gd name="connsiteY5" fmla="*/ 400050 h 400050"/>
            <a:gd name="connsiteX6" fmla="*/ 714375 w 714375"/>
            <a:gd name="connsiteY6" fmla="*/ 0 h 400050"/>
            <a:gd name="connsiteX7" fmla="*/ 533400 w 714375"/>
            <a:gd name="connsiteY7" fmla="*/ 0 h 400050"/>
            <a:gd name="connsiteX8" fmla="*/ 628650 w 714375"/>
            <a:gd name="connsiteY8" fmla="*/ 76200 h 400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714375" h="400050">
              <a:moveTo>
                <a:pt x="638175" y="152400"/>
              </a:moveTo>
              <a:lnTo>
                <a:pt x="695325" y="228600"/>
              </a:lnTo>
              <a:lnTo>
                <a:pt x="695325" y="28575"/>
              </a:lnTo>
              <a:lnTo>
                <a:pt x="0" y="28575"/>
              </a:lnTo>
              <a:lnTo>
                <a:pt x="0" y="400050"/>
              </a:lnTo>
              <a:lnTo>
                <a:pt x="714375" y="400050"/>
              </a:lnTo>
              <a:lnTo>
                <a:pt x="714375" y="0"/>
              </a:lnTo>
              <a:lnTo>
                <a:pt x="533400" y="0"/>
              </a:lnTo>
              <a:lnTo>
                <a:pt x="628650" y="76200"/>
              </a:lnTo>
            </a:path>
          </a:pathLst>
        </a:cu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en-US"/>
        </a:p>
      </xdr:txBody>
    </xdr:sp>
    <xdr:clientData/>
  </xdr:twoCellAnchor>
  <xdr:twoCellAnchor>
    <xdr:from>
      <xdr:col>4</xdr:col>
      <xdr:colOff>0</xdr:colOff>
      <xdr:row>22</xdr:row>
      <xdr:rowOff>238125</xdr:rowOff>
    </xdr:from>
    <xdr:to>
      <xdr:col>7</xdr:col>
      <xdr:colOff>4763</xdr:colOff>
      <xdr:row>22</xdr:row>
      <xdr:rowOff>239713</xdr:rowOff>
    </xdr:to>
    <xdr:cxnSp macro="">
      <xdr:nvCxnSpPr>
        <xdr:cNvPr id="5" name="Straight Connector 4"/>
        <xdr:cNvCxnSpPr/>
      </xdr:nvCxnSpPr>
      <xdr:spPr>
        <a:xfrm>
          <a:off x="2057400" y="6496050"/>
          <a:ext cx="1747838" cy="1588"/>
        </a:xfrm>
        <a:prstGeom prst="line">
          <a:avLst/>
        </a:prstGeom>
        <a:ln w="28575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9524</xdr:colOff>
      <xdr:row>25</xdr:row>
      <xdr:rowOff>66674</xdr:rowOff>
    </xdr:from>
    <xdr:to>
      <xdr:col>7</xdr:col>
      <xdr:colOff>7600</xdr:colOff>
      <xdr:row>25</xdr:row>
      <xdr:rowOff>245163</xdr:rowOff>
    </xdr:to>
    <xdr:sp macro="" textlink="">
      <xdr:nvSpPr>
        <xdr:cNvPr id="6" name="Freeform 5"/>
        <xdr:cNvSpPr/>
      </xdr:nvSpPr>
      <xdr:spPr>
        <a:xfrm rot="10800000">
          <a:off x="2066924" y="7210424"/>
          <a:ext cx="1741151" cy="178489"/>
        </a:xfrm>
        <a:custGeom>
          <a:avLst/>
          <a:gdLst>
            <a:gd name="connsiteX0" fmla="*/ 0 w 629478"/>
            <a:gd name="connsiteY0" fmla="*/ 173935 h 173935"/>
            <a:gd name="connsiteX1" fmla="*/ 0 w 629478"/>
            <a:gd name="connsiteY1" fmla="*/ 0 h 173935"/>
            <a:gd name="connsiteX2" fmla="*/ 629478 w 629478"/>
            <a:gd name="connsiteY2" fmla="*/ 0 h 173935"/>
            <a:gd name="connsiteX3" fmla="*/ 629478 w 629478"/>
            <a:gd name="connsiteY3" fmla="*/ 165652 h 17393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629478" h="173935">
              <a:moveTo>
                <a:pt x="0" y="173935"/>
              </a:moveTo>
              <a:lnTo>
                <a:pt x="0" y="0"/>
              </a:lnTo>
              <a:lnTo>
                <a:pt x="629478" y="0"/>
              </a:lnTo>
              <a:lnTo>
                <a:pt x="629478" y="165652"/>
              </a:lnTo>
            </a:path>
          </a:pathLst>
        </a:cu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en-US"/>
        </a:p>
      </xdr:txBody>
    </xdr:sp>
    <xdr:clientData/>
  </xdr:twoCellAnchor>
  <xdr:twoCellAnchor>
    <xdr:from>
      <xdr:col>4</xdr:col>
      <xdr:colOff>9525</xdr:colOff>
      <xdr:row>24</xdr:row>
      <xdr:rowOff>47626</xdr:rowOff>
    </xdr:from>
    <xdr:to>
      <xdr:col>7</xdr:col>
      <xdr:colOff>12026</xdr:colOff>
      <xdr:row>24</xdr:row>
      <xdr:rowOff>238126</xdr:rowOff>
    </xdr:to>
    <xdr:sp macro="" textlink="">
      <xdr:nvSpPr>
        <xdr:cNvPr id="7" name="Freeform 6"/>
        <xdr:cNvSpPr/>
      </xdr:nvSpPr>
      <xdr:spPr>
        <a:xfrm>
          <a:off x="2066925" y="6896101"/>
          <a:ext cx="1745576" cy="190500"/>
        </a:xfrm>
        <a:custGeom>
          <a:avLst/>
          <a:gdLst>
            <a:gd name="connsiteX0" fmla="*/ 0 w 629478"/>
            <a:gd name="connsiteY0" fmla="*/ 173935 h 173935"/>
            <a:gd name="connsiteX1" fmla="*/ 0 w 629478"/>
            <a:gd name="connsiteY1" fmla="*/ 0 h 173935"/>
            <a:gd name="connsiteX2" fmla="*/ 629478 w 629478"/>
            <a:gd name="connsiteY2" fmla="*/ 0 h 173935"/>
            <a:gd name="connsiteX3" fmla="*/ 629478 w 629478"/>
            <a:gd name="connsiteY3" fmla="*/ 165652 h 17393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629478" h="173935">
              <a:moveTo>
                <a:pt x="0" y="173935"/>
              </a:moveTo>
              <a:lnTo>
                <a:pt x="0" y="0"/>
              </a:lnTo>
              <a:lnTo>
                <a:pt x="629478" y="0"/>
              </a:lnTo>
              <a:lnTo>
                <a:pt x="629478" y="165652"/>
              </a:lnTo>
            </a:path>
          </a:pathLst>
        </a:cu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en-US"/>
        </a:p>
      </xdr:txBody>
    </xdr:sp>
    <xdr:clientData/>
  </xdr:twoCellAnchor>
  <xdr:twoCellAnchor>
    <xdr:from>
      <xdr:col>4</xdr:col>
      <xdr:colOff>9524</xdr:colOff>
      <xdr:row>29</xdr:row>
      <xdr:rowOff>66674</xdr:rowOff>
    </xdr:from>
    <xdr:to>
      <xdr:col>7</xdr:col>
      <xdr:colOff>7600</xdr:colOff>
      <xdr:row>29</xdr:row>
      <xdr:rowOff>245163</xdr:rowOff>
    </xdr:to>
    <xdr:sp macro="" textlink="">
      <xdr:nvSpPr>
        <xdr:cNvPr id="8" name="Freeform 7"/>
        <xdr:cNvSpPr/>
      </xdr:nvSpPr>
      <xdr:spPr>
        <a:xfrm rot="10800000">
          <a:off x="2066924" y="8391524"/>
          <a:ext cx="1741151" cy="178489"/>
        </a:xfrm>
        <a:custGeom>
          <a:avLst/>
          <a:gdLst>
            <a:gd name="connsiteX0" fmla="*/ 0 w 629478"/>
            <a:gd name="connsiteY0" fmla="*/ 173935 h 173935"/>
            <a:gd name="connsiteX1" fmla="*/ 0 w 629478"/>
            <a:gd name="connsiteY1" fmla="*/ 0 h 173935"/>
            <a:gd name="connsiteX2" fmla="*/ 629478 w 629478"/>
            <a:gd name="connsiteY2" fmla="*/ 0 h 173935"/>
            <a:gd name="connsiteX3" fmla="*/ 629478 w 629478"/>
            <a:gd name="connsiteY3" fmla="*/ 165652 h 17393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629478" h="173935">
              <a:moveTo>
                <a:pt x="0" y="173935"/>
              </a:moveTo>
              <a:lnTo>
                <a:pt x="0" y="0"/>
              </a:lnTo>
              <a:lnTo>
                <a:pt x="629478" y="0"/>
              </a:lnTo>
              <a:lnTo>
                <a:pt x="629478" y="165652"/>
              </a:lnTo>
            </a:path>
          </a:pathLst>
        </a:cu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en-US"/>
        </a:p>
      </xdr:txBody>
    </xdr:sp>
    <xdr:clientData/>
  </xdr:twoCellAnchor>
  <xdr:twoCellAnchor>
    <xdr:from>
      <xdr:col>4</xdr:col>
      <xdr:colOff>9525</xdr:colOff>
      <xdr:row>28</xdr:row>
      <xdr:rowOff>47626</xdr:rowOff>
    </xdr:from>
    <xdr:to>
      <xdr:col>7</xdr:col>
      <xdr:colOff>12026</xdr:colOff>
      <xdr:row>28</xdr:row>
      <xdr:rowOff>238126</xdr:rowOff>
    </xdr:to>
    <xdr:sp macro="" textlink="">
      <xdr:nvSpPr>
        <xdr:cNvPr id="9" name="Freeform 8"/>
        <xdr:cNvSpPr/>
      </xdr:nvSpPr>
      <xdr:spPr>
        <a:xfrm>
          <a:off x="2066925" y="8077201"/>
          <a:ext cx="1745576" cy="190500"/>
        </a:xfrm>
        <a:custGeom>
          <a:avLst/>
          <a:gdLst>
            <a:gd name="connsiteX0" fmla="*/ 0 w 629478"/>
            <a:gd name="connsiteY0" fmla="*/ 173935 h 173935"/>
            <a:gd name="connsiteX1" fmla="*/ 0 w 629478"/>
            <a:gd name="connsiteY1" fmla="*/ 0 h 173935"/>
            <a:gd name="connsiteX2" fmla="*/ 629478 w 629478"/>
            <a:gd name="connsiteY2" fmla="*/ 0 h 173935"/>
            <a:gd name="connsiteX3" fmla="*/ 629478 w 629478"/>
            <a:gd name="connsiteY3" fmla="*/ 165652 h 17393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629478" h="173935">
              <a:moveTo>
                <a:pt x="0" y="173935"/>
              </a:moveTo>
              <a:lnTo>
                <a:pt x="0" y="0"/>
              </a:lnTo>
              <a:lnTo>
                <a:pt x="629478" y="0"/>
              </a:lnTo>
              <a:lnTo>
                <a:pt x="629478" y="165652"/>
              </a:lnTo>
            </a:path>
          </a:pathLst>
        </a:cu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en-US"/>
        </a:p>
      </xdr:txBody>
    </xdr:sp>
    <xdr:clientData/>
  </xdr:twoCellAnchor>
  <xdr:twoCellAnchor>
    <xdr:from>
      <xdr:col>4</xdr:col>
      <xdr:colOff>9524</xdr:colOff>
      <xdr:row>33</xdr:row>
      <xdr:rowOff>66674</xdr:rowOff>
    </xdr:from>
    <xdr:to>
      <xdr:col>7</xdr:col>
      <xdr:colOff>7600</xdr:colOff>
      <xdr:row>33</xdr:row>
      <xdr:rowOff>245163</xdr:rowOff>
    </xdr:to>
    <xdr:sp macro="" textlink="">
      <xdr:nvSpPr>
        <xdr:cNvPr id="10" name="Freeform 9"/>
        <xdr:cNvSpPr/>
      </xdr:nvSpPr>
      <xdr:spPr>
        <a:xfrm rot="10800000">
          <a:off x="2066924" y="9572624"/>
          <a:ext cx="1741151" cy="178489"/>
        </a:xfrm>
        <a:custGeom>
          <a:avLst/>
          <a:gdLst>
            <a:gd name="connsiteX0" fmla="*/ 0 w 629478"/>
            <a:gd name="connsiteY0" fmla="*/ 173935 h 173935"/>
            <a:gd name="connsiteX1" fmla="*/ 0 w 629478"/>
            <a:gd name="connsiteY1" fmla="*/ 0 h 173935"/>
            <a:gd name="connsiteX2" fmla="*/ 629478 w 629478"/>
            <a:gd name="connsiteY2" fmla="*/ 0 h 173935"/>
            <a:gd name="connsiteX3" fmla="*/ 629478 w 629478"/>
            <a:gd name="connsiteY3" fmla="*/ 165652 h 17393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629478" h="173935">
              <a:moveTo>
                <a:pt x="0" y="173935"/>
              </a:moveTo>
              <a:lnTo>
                <a:pt x="0" y="0"/>
              </a:lnTo>
              <a:lnTo>
                <a:pt x="629478" y="0"/>
              </a:lnTo>
              <a:lnTo>
                <a:pt x="629478" y="165652"/>
              </a:lnTo>
            </a:path>
          </a:pathLst>
        </a:cu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en-US"/>
        </a:p>
      </xdr:txBody>
    </xdr:sp>
    <xdr:clientData/>
  </xdr:twoCellAnchor>
  <xdr:twoCellAnchor>
    <xdr:from>
      <xdr:col>4</xdr:col>
      <xdr:colOff>9525</xdr:colOff>
      <xdr:row>32</xdr:row>
      <xdr:rowOff>47626</xdr:rowOff>
    </xdr:from>
    <xdr:to>
      <xdr:col>7</xdr:col>
      <xdr:colOff>12026</xdr:colOff>
      <xdr:row>32</xdr:row>
      <xdr:rowOff>238126</xdr:rowOff>
    </xdr:to>
    <xdr:sp macro="" textlink="">
      <xdr:nvSpPr>
        <xdr:cNvPr id="11" name="Freeform 10"/>
        <xdr:cNvSpPr/>
      </xdr:nvSpPr>
      <xdr:spPr>
        <a:xfrm>
          <a:off x="2066925" y="9258301"/>
          <a:ext cx="1745576" cy="190500"/>
        </a:xfrm>
        <a:custGeom>
          <a:avLst/>
          <a:gdLst>
            <a:gd name="connsiteX0" fmla="*/ 0 w 629478"/>
            <a:gd name="connsiteY0" fmla="*/ 173935 h 173935"/>
            <a:gd name="connsiteX1" fmla="*/ 0 w 629478"/>
            <a:gd name="connsiteY1" fmla="*/ 0 h 173935"/>
            <a:gd name="connsiteX2" fmla="*/ 629478 w 629478"/>
            <a:gd name="connsiteY2" fmla="*/ 0 h 173935"/>
            <a:gd name="connsiteX3" fmla="*/ 629478 w 629478"/>
            <a:gd name="connsiteY3" fmla="*/ 165652 h 17393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629478" h="173935">
              <a:moveTo>
                <a:pt x="0" y="173935"/>
              </a:moveTo>
              <a:lnTo>
                <a:pt x="0" y="0"/>
              </a:lnTo>
              <a:lnTo>
                <a:pt x="629478" y="0"/>
              </a:lnTo>
              <a:lnTo>
                <a:pt x="629478" y="165652"/>
              </a:lnTo>
            </a:path>
          </a:pathLst>
        </a:cu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en-US"/>
        </a:p>
      </xdr:txBody>
    </xdr:sp>
    <xdr:clientData/>
  </xdr:twoCellAnchor>
  <xdr:twoCellAnchor>
    <xdr:from>
      <xdr:col>4</xdr:col>
      <xdr:colOff>9525</xdr:colOff>
      <xdr:row>37</xdr:row>
      <xdr:rowOff>47626</xdr:rowOff>
    </xdr:from>
    <xdr:to>
      <xdr:col>7</xdr:col>
      <xdr:colOff>12026</xdr:colOff>
      <xdr:row>37</xdr:row>
      <xdr:rowOff>238126</xdr:rowOff>
    </xdr:to>
    <xdr:sp macro="" textlink="">
      <xdr:nvSpPr>
        <xdr:cNvPr id="12" name="Freeform 11"/>
        <xdr:cNvSpPr/>
      </xdr:nvSpPr>
      <xdr:spPr>
        <a:xfrm>
          <a:off x="2066925" y="10525126"/>
          <a:ext cx="1745576" cy="190500"/>
        </a:xfrm>
        <a:custGeom>
          <a:avLst/>
          <a:gdLst>
            <a:gd name="connsiteX0" fmla="*/ 0 w 629478"/>
            <a:gd name="connsiteY0" fmla="*/ 173935 h 173935"/>
            <a:gd name="connsiteX1" fmla="*/ 0 w 629478"/>
            <a:gd name="connsiteY1" fmla="*/ 0 h 173935"/>
            <a:gd name="connsiteX2" fmla="*/ 629478 w 629478"/>
            <a:gd name="connsiteY2" fmla="*/ 0 h 173935"/>
            <a:gd name="connsiteX3" fmla="*/ 629478 w 629478"/>
            <a:gd name="connsiteY3" fmla="*/ 165652 h 17393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629478" h="173935">
              <a:moveTo>
                <a:pt x="0" y="173935"/>
              </a:moveTo>
              <a:lnTo>
                <a:pt x="0" y="0"/>
              </a:lnTo>
              <a:lnTo>
                <a:pt x="629478" y="0"/>
              </a:lnTo>
              <a:lnTo>
                <a:pt x="629478" y="165652"/>
              </a:lnTo>
            </a:path>
          </a:pathLst>
        </a:cu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en-US"/>
        </a:p>
      </xdr:txBody>
    </xdr:sp>
    <xdr:clientData/>
  </xdr:twoCellAnchor>
  <xdr:twoCellAnchor>
    <xdr:from>
      <xdr:col>4</xdr:col>
      <xdr:colOff>0</xdr:colOff>
      <xdr:row>42</xdr:row>
      <xdr:rowOff>246408</xdr:rowOff>
    </xdr:from>
    <xdr:to>
      <xdr:col>7</xdr:col>
      <xdr:colOff>4763</xdr:colOff>
      <xdr:row>42</xdr:row>
      <xdr:rowOff>247996</xdr:rowOff>
    </xdr:to>
    <xdr:cxnSp macro="">
      <xdr:nvCxnSpPr>
        <xdr:cNvPr id="13" name="Straight Connector 12"/>
        <xdr:cNvCxnSpPr/>
      </xdr:nvCxnSpPr>
      <xdr:spPr>
        <a:xfrm>
          <a:off x="2057400" y="12200283"/>
          <a:ext cx="1747838" cy="1588"/>
        </a:xfrm>
        <a:prstGeom prst="line">
          <a:avLst/>
        </a:prstGeom>
        <a:ln w="28575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43</xdr:row>
      <xdr:rowOff>44718</xdr:rowOff>
    </xdr:from>
    <xdr:to>
      <xdr:col>7</xdr:col>
      <xdr:colOff>9525</xdr:colOff>
      <xdr:row>43</xdr:row>
      <xdr:rowOff>248470</xdr:rowOff>
    </xdr:to>
    <xdr:sp macro="" textlink="">
      <xdr:nvSpPr>
        <xdr:cNvPr id="14" name="Freeform 13"/>
        <xdr:cNvSpPr/>
      </xdr:nvSpPr>
      <xdr:spPr>
        <a:xfrm>
          <a:off x="2057400" y="12293868"/>
          <a:ext cx="1752600" cy="203752"/>
        </a:xfrm>
        <a:custGeom>
          <a:avLst/>
          <a:gdLst>
            <a:gd name="connsiteX0" fmla="*/ 0 w 687456"/>
            <a:gd name="connsiteY0" fmla="*/ 190500 h 190500"/>
            <a:gd name="connsiteX1" fmla="*/ 0 w 687456"/>
            <a:gd name="connsiteY1" fmla="*/ 0 h 190500"/>
            <a:gd name="connsiteX2" fmla="*/ 687456 w 687456"/>
            <a:gd name="connsiteY2" fmla="*/ 0 h 1905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687456" h="190500">
              <a:moveTo>
                <a:pt x="0" y="190500"/>
              </a:moveTo>
              <a:lnTo>
                <a:pt x="0" y="0"/>
              </a:lnTo>
              <a:lnTo>
                <a:pt x="687456" y="0"/>
              </a:lnTo>
            </a:path>
          </a:pathLst>
        </a:cu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en-US"/>
        </a:p>
      </xdr:txBody>
    </xdr:sp>
    <xdr:clientData/>
  </xdr:twoCellAnchor>
  <xdr:twoCellAnchor>
    <xdr:from>
      <xdr:col>5</xdr:col>
      <xdr:colOff>0</xdr:colOff>
      <xdr:row>44</xdr:row>
      <xdr:rowOff>28575</xdr:rowOff>
    </xdr:from>
    <xdr:to>
      <xdr:col>6</xdr:col>
      <xdr:colOff>0</xdr:colOff>
      <xdr:row>44</xdr:row>
      <xdr:rowOff>276225</xdr:rowOff>
    </xdr:to>
    <xdr:sp macro="" textlink="">
      <xdr:nvSpPr>
        <xdr:cNvPr id="15" name="Freeform 14"/>
        <xdr:cNvSpPr/>
      </xdr:nvSpPr>
      <xdr:spPr>
        <a:xfrm>
          <a:off x="2447925" y="12573000"/>
          <a:ext cx="1019175" cy="247650"/>
        </a:xfrm>
        <a:custGeom>
          <a:avLst/>
          <a:gdLst>
            <a:gd name="connsiteX0" fmla="*/ 638175 w 714375"/>
            <a:gd name="connsiteY0" fmla="*/ 152400 h 400050"/>
            <a:gd name="connsiteX1" fmla="*/ 695325 w 714375"/>
            <a:gd name="connsiteY1" fmla="*/ 228600 h 400050"/>
            <a:gd name="connsiteX2" fmla="*/ 695325 w 714375"/>
            <a:gd name="connsiteY2" fmla="*/ 28575 h 400050"/>
            <a:gd name="connsiteX3" fmla="*/ 0 w 714375"/>
            <a:gd name="connsiteY3" fmla="*/ 28575 h 400050"/>
            <a:gd name="connsiteX4" fmla="*/ 0 w 714375"/>
            <a:gd name="connsiteY4" fmla="*/ 400050 h 400050"/>
            <a:gd name="connsiteX5" fmla="*/ 714375 w 714375"/>
            <a:gd name="connsiteY5" fmla="*/ 400050 h 400050"/>
            <a:gd name="connsiteX6" fmla="*/ 714375 w 714375"/>
            <a:gd name="connsiteY6" fmla="*/ 0 h 400050"/>
            <a:gd name="connsiteX7" fmla="*/ 533400 w 714375"/>
            <a:gd name="connsiteY7" fmla="*/ 0 h 400050"/>
            <a:gd name="connsiteX8" fmla="*/ 628650 w 714375"/>
            <a:gd name="connsiteY8" fmla="*/ 76200 h 400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714375" h="400050">
              <a:moveTo>
                <a:pt x="638175" y="152400"/>
              </a:moveTo>
              <a:lnTo>
                <a:pt x="695325" y="228600"/>
              </a:lnTo>
              <a:lnTo>
                <a:pt x="695325" y="28575"/>
              </a:lnTo>
              <a:lnTo>
                <a:pt x="0" y="28575"/>
              </a:lnTo>
              <a:lnTo>
                <a:pt x="0" y="400050"/>
              </a:lnTo>
              <a:lnTo>
                <a:pt x="714375" y="400050"/>
              </a:lnTo>
              <a:lnTo>
                <a:pt x="714375" y="0"/>
              </a:lnTo>
              <a:lnTo>
                <a:pt x="533400" y="0"/>
              </a:lnTo>
              <a:lnTo>
                <a:pt x="628650" y="76200"/>
              </a:lnTo>
            </a:path>
          </a:pathLst>
        </a:cu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en-US"/>
        </a:p>
      </xdr:txBody>
    </xdr:sp>
    <xdr:clientData/>
  </xdr:twoCellAnchor>
  <xdr:twoCellAnchor>
    <xdr:from>
      <xdr:col>4</xdr:col>
      <xdr:colOff>9524</xdr:colOff>
      <xdr:row>59</xdr:row>
      <xdr:rowOff>66674</xdr:rowOff>
    </xdr:from>
    <xdr:to>
      <xdr:col>7</xdr:col>
      <xdr:colOff>7600</xdr:colOff>
      <xdr:row>59</xdr:row>
      <xdr:rowOff>245163</xdr:rowOff>
    </xdr:to>
    <xdr:sp macro="" textlink="">
      <xdr:nvSpPr>
        <xdr:cNvPr id="16" name="Freeform 15"/>
        <xdr:cNvSpPr/>
      </xdr:nvSpPr>
      <xdr:spPr>
        <a:xfrm rot="10800000">
          <a:off x="2066924" y="17040224"/>
          <a:ext cx="1741151" cy="178489"/>
        </a:xfrm>
        <a:custGeom>
          <a:avLst/>
          <a:gdLst>
            <a:gd name="connsiteX0" fmla="*/ 0 w 629478"/>
            <a:gd name="connsiteY0" fmla="*/ 173935 h 173935"/>
            <a:gd name="connsiteX1" fmla="*/ 0 w 629478"/>
            <a:gd name="connsiteY1" fmla="*/ 0 h 173935"/>
            <a:gd name="connsiteX2" fmla="*/ 629478 w 629478"/>
            <a:gd name="connsiteY2" fmla="*/ 0 h 173935"/>
            <a:gd name="connsiteX3" fmla="*/ 629478 w 629478"/>
            <a:gd name="connsiteY3" fmla="*/ 165652 h 17393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629478" h="173935">
              <a:moveTo>
                <a:pt x="0" y="173935"/>
              </a:moveTo>
              <a:lnTo>
                <a:pt x="0" y="0"/>
              </a:lnTo>
              <a:lnTo>
                <a:pt x="629478" y="0"/>
              </a:lnTo>
              <a:lnTo>
                <a:pt x="629478" y="165652"/>
              </a:lnTo>
            </a:path>
          </a:pathLst>
        </a:cu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en-US"/>
        </a:p>
      </xdr:txBody>
    </xdr:sp>
    <xdr:clientData/>
  </xdr:twoCellAnchor>
  <xdr:twoCellAnchor>
    <xdr:from>
      <xdr:col>4</xdr:col>
      <xdr:colOff>9525</xdr:colOff>
      <xdr:row>58</xdr:row>
      <xdr:rowOff>47626</xdr:rowOff>
    </xdr:from>
    <xdr:to>
      <xdr:col>7</xdr:col>
      <xdr:colOff>12026</xdr:colOff>
      <xdr:row>58</xdr:row>
      <xdr:rowOff>238126</xdr:rowOff>
    </xdr:to>
    <xdr:sp macro="" textlink="">
      <xdr:nvSpPr>
        <xdr:cNvPr id="17" name="Freeform 16"/>
        <xdr:cNvSpPr/>
      </xdr:nvSpPr>
      <xdr:spPr>
        <a:xfrm>
          <a:off x="2066925" y="16725901"/>
          <a:ext cx="1745576" cy="190500"/>
        </a:xfrm>
        <a:custGeom>
          <a:avLst/>
          <a:gdLst>
            <a:gd name="connsiteX0" fmla="*/ 0 w 629478"/>
            <a:gd name="connsiteY0" fmla="*/ 173935 h 173935"/>
            <a:gd name="connsiteX1" fmla="*/ 0 w 629478"/>
            <a:gd name="connsiteY1" fmla="*/ 0 h 173935"/>
            <a:gd name="connsiteX2" fmla="*/ 629478 w 629478"/>
            <a:gd name="connsiteY2" fmla="*/ 0 h 173935"/>
            <a:gd name="connsiteX3" fmla="*/ 629478 w 629478"/>
            <a:gd name="connsiteY3" fmla="*/ 165652 h 17393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629478" h="173935">
              <a:moveTo>
                <a:pt x="0" y="173935"/>
              </a:moveTo>
              <a:lnTo>
                <a:pt x="0" y="0"/>
              </a:lnTo>
              <a:lnTo>
                <a:pt x="629478" y="0"/>
              </a:lnTo>
              <a:lnTo>
                <a:pt x="629478" y="165652"/>
              </a:lnTo>
            </a:path>
          </a:pathLst>
        </a:cu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en-US"/>
        </a:p>
      </xdr:txBody>
    </xdr:sp>
    <xdr:clientData/>
  </xdr:twoCellAnchor>
  <xdr:twoCellAnchor>
    <xdr:from>
      <xdr:col>5</xdr:col>
      <xdr:colOff>0</xdr:colOff>
      <xdr:row>64</xdr:row>
      <xdr:rowOff>28575</xdr:rowOff>
    </xdr:from>
    <xdr:to>
      <xdr:col>6</xdr:col>
      <xdr:colOff>0</xdr:colOff>
      <xdr:row>64</xdr:row>
      <xdr:rowOff>276225</xdr:rowOff>
    </xdr:to>
    <xdr:sp macro="" textlink="">
      <xdr:nvSpPr>
        <xdr:cNvPr id="18" name="Freeform 17"/>
        <xdr:cNvSpPr/>
      </xdr:nvSpPr>
      <xdr:spPr>
        <a:xfrm>
          <a:off x="2447925" y="18478500"/>
          <a:ext cx="1019175" cy="247650"/>
        </a:xfrm>
        <a:custGeom>
          <a:avLst/>
          <a:gdLst>
            <a:gd name="connsiteX0" fmla="*/ 638175 w 714375"/>
            <a:gd name="connsiteY0" fmla="*/ 152400 h 400050"/>
            <a:gd name="connsiteX1" fmla="*/ 695325 w 714375"/>
            <a:gd name="connsiteY1" fmla="*/ 228600 h 400050"/>
            <a:gd name="connsiteX2" fmla="*/ 695325 w 714375"/>
            <a:gd name="connsiteY2" fmla="*/ 28575 h 400050"/>
            <a:gd name="connsiteX3" fmla="*/ 0 w 714375"/>
            <a:gd name="connsiteY3" fmla="*/ 28575 h 400050"/>
            <a:gd name="connsiteX4" fmla="*/ 0 w 714375"/>
            <a:gd name="connsiteY4" fmla="*/ 400050 h 400050"/>
            <a:gd name="connsiteX5" fmla="*/ 714375 w 714375"/>
            <a:gd name="connsiteY5" fmla="*/ 400050 h 400050"/>
            <a:gd name="connsiteX6" fmla="*/ 714375 w 714375"/>
            <a:gd name="connsiteY6" fmla="*/ 0 h 400050"/>
            <a:gd name="connsiteX7" fmla="*/ 533400 w 714375"/>
            <a:gd name="connsiteY7" fmla="*/ 0 h 400050"/>
            <a:gd name="connsiteX8" fmla="*/ 628650 w 714375"/>
            <a:gd name="connsiteY8" fmla="*/ 76200 h 400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714375" h="400050">
              <a:moveTo>
                <a:pt x="638175" y="152400"/>
              </a:moveTo>
              <a:lnTo>
                <a:pt x="695325" y="228600"/>
              </a:lnTo>
              <a:lnTo>
                <a:pt x="695325" y="28575"/>
              </a:lnTo>
              <a:lnTo>
                <a:pt x="0" y="28575"/>
              </a:lnTo>
              <a:lnTo>
                <a:pt x="0" y="400050"/>
              </a:lnTo>
              <a:lnTo>
                <a:pt x="714375" y="400050"/>
              </a:lnTo>
              <a:lnTo>
                <a:pt x="714375" y="0"/>
              </a:lnTo>
              <a:lnTo>
                <a:pt x="533400" y="0"/>
              </a:lnTo>
              <a:lnTo>
                <a:pt x="628650" y="76200"/>
              </a:lnTo>
            </a:path>
          </a:pathLst>
        </a:cu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en-US"/>
        </a:p>
      </xdr:txBody>
    </xdr:sp>
    <xdr:clientData/>
  </xdr:twoCellAnchor>
  <xdr:twoCellAnchor>
    <xdr:from>
      <xdr:col>4</xdr:col>
      <xdr:colOff>0</xdr:colOff>
      <xdr:row>62</xdr:row>
      <xdr:rowOff>238125</xdr:rowOff>
    </xdr:from>
    <xdr:to>
      <xdr:col>7</xdr:col>
      <xdr:colOff>4763</xdr:colOff>
      <xdr:row>62</xdr:row>
      <xdr:rowOff>239713</xdr:rowOff>
    </xdr:to>
    <xdr:cxnSp macro="">
      <xdr:nvCxnSpPr>
        <xdr:cNvPr id="19" name="Straight Connector 18"/>
        <xdr:cNvCxnSpPr/>
      </xdr:nvCxnSpPr>
      <xdr:spPr>
        <a:xfrm>
          <a:off x="2057400" y="18097500"/>
          <a:ext cx="1747838" cy="1588"/>
        </a:xfrm>
        <a:prstGeom prst="line">
          <a:avLst/>
        </a:prstGeom>
        <a:ln w="28575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61</xdr:row>
      <xdr:rowOff>38100</xdr:rowOff>
    </xdr:from>
    <xdr:to>
      <xdr:col>7</xdr:col>
      <xdr:colOff>9525</xdr:colOff>
      <xdr:row>61</xdr:row>
      <xdr:rowOff>266700</xdr:rowOff>
    </xdr:to>
    <xdr:sp macro="" textlink="">
      <xdr:nvSpPr>
        <xdr:cNvPr id="20" name="Freeform 19"/>
        <xdr:cNvSpPr/>
      </xdr:nvSpPr>
      <xdr:spPr>
        <a:xfrm>
          <a:off x="2057400" y="17602200"/>
          <a:ext cx="1752600" cy="228600"/>
        </a:xfrm>
        <a:custGeom>
          <a:avLst/>
          <a:gdLst>
            <a:gd name="connsiteX0" fmla="*/ 0 w 687456"/>
            <a:gd name="connsiteY0" fmla="*/ 190500 h 190500"/>
            <a:gd name="connsiteX1" fmla="*/ 0 w 687456"/>
            <a:gd name="connsiteY1" fmla="*/ 0 h 190500"/>
            <a:gd name="connsiteX2" fmla="*/ 687456 w 687456"/>
            <a:gd name="connsiteY2" fmla="*/ 0 h 1905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687456" h="190500">
              <a:moveTo>
                <a:pt x="0" y="190500"/>
              </a:moveTo>
              <a:lnTo>
                <a:pt x="0" y="0"/>
              </a:lnTo>
              <a:lnTo>
                <a:pt x="687456" y="0"/>
              </a:lnTo>
            </a:path>
          </a:pathLst>
        </a:cu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en-US"/>
        </a:p>
      </xdr:txBody>
    </xdr:sp>
    <xdr:clientData/>
  </xdr:twoCellAnchor>
  <xdr:twoCellAnchor>
    <xdr:from>
      <xdr:col>4</xdr:col>
      <xdr:colOff>9525</xdr:colOff>
      <xdr:row>65</xdr:row>
      <xdr:rowOff>47626</xdr:rowOff>
    </xdr:from>
    <xdr:to>
      <xdr:col>7</xdr:col>
      <xdr:colOff>12026</xdr:colOff>
      <xdr:row>65</xdr:row>
      <xdr:rowOff>238126</xdr:rowOff>
    </xdr:to>
    <xdr:sp macro="" textlink="">
      <xdr:nvSpPr>
        <xdr:cNvPr id="21" name="Freeform 20"/>
        <xdr:cNvSpPr/>
      </xdr:nvSpPr>
      <xdr:spPr>
        <a:xfrm>
          <a:off x="2066925" y="18792826"/>
          <a:ext cx="1745576" cy="190500"/>
        </a:xfrm>
        <a:custGeom>
          <a:avLst/>
          <a:gdLst>
            <a:gd name="connsiteX0" fmla="*/ 0 w 629478"/>
            <a:gd name="connsiteY0" fmla="*/ 173935 h 173935"/>
            <a:gd name="connsiteX1" fmla="*/ 0 w 629478"/>
            <a:gd name="connsiteY1" fmla="*/ 0 h 173935"/>
            <a:gd name="connsiteX2" fmla="*/ 629478 w 629478"/>
            <a:gd name="connsiteY2" fmla="*/ 0 h 173935"/>
            <a:gd name="connsiteX3" fmla="*/ 629478 w 629478"/>
            <a:gd name="connsiteY3" fmla="*/ 165652 h 17393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629478" h="173935">
              <a:moveTo>
                <a:pt x="0" y="173935"/>
              </a:moveTo>
              <a:lnTo>
                <a:pt x="0" y="0"/>
              </a:lnTo>
              <a:lnTo>
                <a:pt x="629478" y="0"/>
              </a:lnTo>
              <a:lnTo>
                <a:pt x="629478" y="165652"/>
              </a:lnTo>
            </a:path>
          </a:pathLst>
        </a:cu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en-US"/>
        </a:p>
      </xdr:txBody>
    </xdr:sp>
    <xdr:clientData/>
  </xdr:twoCellAnchor>
  <xdr:twoCellAnchor>
    <xdr:from>
      <xdr:col>4</xdr:col>
      <xdr:colOff>0</xdr:colOff>
      <xdr:row>67</xdr:row>
      <xdr:rowOff>38100</xdr:rowOff>
    </xdr:from>
    <xdr:to>
      <xdr:col>7</xdr:col>
      <xdr:colOff>9525</xdr:colOff>
      <xdr:row>67</xdr:row>
      <xdr:rowOff>266700</xdr:rowOff>
    </xdr:to>
    <xdr:sp macro="" textlink="">
      <xdr:nvSpPr>
        <xdr:cNvPr id="22" name="Freeform 21"/>
        <xdr:cNvSpPr/>
      </xdr:nvSpPr>
      <xdr:spPr>
        <a:xfrm>
          <a:off x="2057400" y="19373850"/>
          <a:ext cx="1752600" cy="228600"/>
        </a:xfrm>
        <a:custGeom>
          <a:avLst/>
          <a:gdLst>
            <a:gd name="connsiteX0" fmla="*/ 0 w 687456"/>
            <a:gd name="connsiteY0" fmla="*/ 190500 h 190500"/>
            <a:gd name="connsiteX1" fmla="*/ 0 w 687456"/>
            <a:gd name="connsiteY1" fmla="*/ 0 h 190500"/>
            <a:gd name="connsiteX2" fmla="*/ 687456 w 687456"/>
            <a:gd name="connsiteY2" fmla="*/ 0 h 1905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687456" h="190500">
              <a:moveTo>
                <a:pt x="0" y="190500"/>
              </a:moveTo>
              <a:lnTo>
                <a:pt x="0" y="0"/>
              </a:lnTo>
              <a:lnTo>
                <a:pt x="687456" y="0"/>
              </a:lnTo>
            </a:path>
          </a:pathLst>
        </a:cu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en-US"/>
        </a:p>
      </xdr:txBody>
    </xdr:sp>
    <xdr:clientData/>
  </xdr:twoCellAnchor>
  <xdr:twoCellAnchor>
    <xdr:from>
      <xdr:col>4</xdr:col>
      <xdr:colOff>0</xdr:colOff>
      <xdr:row>68</xdr:row>
      <xdr:rowOff>246408</xdr:rowOff>
    </xdr:from>
    <xdr:to>
      <xdr:col>7</xdr:col>
      <xdr:colOff>4763</xdr:colOff>
      <xdr:row>68</xdr:row>
      <xdr:rowOff>247996</xdr:rowOff>
    </xdr:to>
    <xdr:cxnSp macro="">
      <xdr:nvCxnSpPr>
        <xdr:cNvPr id="23" name="Straight Connector 22"/>
        <xdr:cNvCxnSpPr/>
      </xdr:nvCxnSpPr>
      <xdr:spPr>
        <a:xfrm>
          <a:off x="2057400" y="19877433"/>
          <a:ext cx="1747838" cy="1588"/>
        </a:xfrm>
        <a:prstGeom prst="line">
          <a:avLst/>
        </a:prstGeom>
        <a:ln w="28575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70</xdr:row>
      <xdr:rowOff>28575</xdr:rowOff>
    </xdr:from>
    <xdr:to>
      <xdr:col>6</xdr:col>
      <xdr:colOff>0</xdr:colOff>
      <xdr:row>70</xdr:row>
      <xdr:rowOff>276225</xdr:rowOff>
    </xdr:to>
    <xdr:sp macro="" textlink="">
      <xdr:nvSpPr>
        <xdr:cNvPr id="24" name="Freeform 23"/>
        <xdr:cNvSpPr/>
      </xdr:nvSpPr>
      <xdr:spPr>
        <a:xfrm>
          <a:off x="2447925" y="20250150"/>
          <a:ext cx="1019175" cy="247650"/>
        </a:xfrm>
        <a:custGeom>
          <a:avLst/>
          <a:gdLst>
            <a:gd name="connsiteX0" fmla="*/ 638175 w 714375"/>
            <a:gd name="connsiteY0" fmla="*/ 152400 h 400050"/>
            <a:gd name="connsiteX1" fmla="*/ 695325 w 714375"/>
            <a:gd name="connsiteY1" fmla="*/ 228600 h 400050"/>
            <a:gd name="connsiteX2" fmla="*/ 695325 w 714375"/>
            <a:gd name="connsiteY2" fmla="*/ 28575 h 400050"/>
            <a:gd name="connsiteX3" fmla="*/ 0 w 714375"/>
            <a:gd name="connsiteY3" fmla="*/ 28575 h 400050"/>
            <a:gd name="connsiteX4" fmla="*/ 0 w 714375"/>
            <a:gd name="connsiteY4" fmla="*/ 400050 h 400050"/>
            <a:gd name="connsiteX5" fmla="*/ 714375 w 714375"/>
            <a:gd name="connsiteY5" fmla="*/ 400050 h 400050"/>
            <a:gd name="connsiteX6" fmla="*/ 714375 w 714375"/>
            <a:gd name="connsiteY6" fmla="*/ 0 h 400050"/>
            <a:gd name="connsiteX7" fmla="*/ 533400 w 714375"/>
            <a:gd name="connsiteY7" fmla="*/ 0 h 400050"/>
            <a:gd name="connsiteX8" fmla="*/ 628650 w 714375"/>
            <a:gd name="connsiteY8" fmla="*/ 76200 h 400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714375" h="400050">
              <a:moveTo>
                <a:pt x="638175" y="152400"/>
              </a:moveTo>
              <a:lnTo>
                <a:pt x="695325" y="228600"/>
              </a:lnTo>
              <a:lnTo>
                <a:pt x="695325" y="28575"/>
              </a:lnTo>
              <a:lnTo>
                <a:pt x="0" y="28575"/>
              </a:lnTo>
              <a:lnTo>
                <a:pt x="0" y="400050"/>
              </a:lnTo>
              <a:lnTo>
                <a:pt x="714375" y="400050"/>
              </a:lnTo>
              <a:lnTo>
                <a:pt x="714375" y="0"/>
              </a:lnTo>
              <a:lnTo>
                <a:pt x="533400" y="0"/>
              </a:lnTo>
              <a:lnTo>
                <a:pt x="628650" y="76200"/>
              </a:lnTo>
            </a:path>
          </a:pathLst>
        </a:cu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en-US"/>
        </a:p>
      </xdr:txBody>
    </xdr:sp>
    <xdr:clientData/>
  </xdr:twoCellAnchor>
  <xdr:twoCellAnchor>
    <xdr:from>
      <xdr:col>4</xdr:col>
      <xdr:colOff>9524</xdr:colOff>
      <xdr:row>72</xdr:row>
      <xdr:rowOff>66674</xdr:rowOff>
    </xdr:from>
    <xdr:to>
      <xdr:col>7</xdr:col>
      <xdr:colOff>7600</xdr:colOff>
      <xdr:row>72</xdr:row>
      <xdr:rowOff>245163</xdr:rowOff>
    </xdr:to>
    <xdr:sp macro="" textlink="">
      <xdr:nvSpPr>
        <xdr:cNvPr id="25" name="Freeform 24"/>
        <xdr:cNvSpPr/>
      </xdr:nvSpPr>
      <xdr:spPr>
        <a:xfrm rot="10800000">
          <a:off x="2066924" y="20878799"/>
          <a:ext cx="1741151" cy="178489"/>
        </a:xfrm>
        <a:custGeom>
          <a:avLst/>
          <a:gdLst>
            <a:gd name="connsiteX0" fmla="*/ 0 w 629478"/>
            <a:gd name="connsiteY0" fmla="*/ 173935 h 173935"/>
            <a:gd name="connsiteX1" fmla="*/ 0 w 629478"/>
            <a:gd name="connsiteY1" fmla="*/ 0 h 173935"/>
            <a:gd name="connsiteX2" fmla="*/ 629478 w 629478"/>
            <a:gd name="connsiteY2" fmla="*/ 0 h 173935"/>
            <a:gd name="connsiteX3" fmla="*/ 629478 w 629478"/>
            <a:gd name="connsiteY3" fmla="*/ 165652 h 17393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629478" h="173935">
              <a:moveTo>
                <a:pt x="0" y="173935"/>
              </a:moveTo>
              <a:lnTo>
                <a:pt x="0" y="0"/>
              </a:lnTo>
              <a:lnTo>
                <a:pt x="629478" y="0"/>
              </a:lnTo>
              <a:lnTo>
                <a:pt x="629478" y="165652"/>
              </a:lnTo>
            </a:path>
          </a:pathLst>
        </a:cu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en-US"/>
        </a:p>
      </xdr:txBody>
    </xdr:sp>
    <xdr:clientData/>
  </xdr:twoCellAnchor>
  <xdr:twoCellAnchor>
    <xdr:from>
      <xdr:col>4</xdr:col>
      <xdr:colOff>9525</xdr:colOff>
      <xdr:row>71</xdr:row>
      <xdr:rowOff>47626</xdr:rowOff>
    </xdr:from>
    <xdr:to>
      <xdr:col>7</xdr:col>
      <xdr:colOff>12026</xdr:colOff>
      <xdr:row>71</xdr:row>
      <xdr:rowOff>238126</xdr:rowOff>
    </xdr:to>
    <xdr:sp macro="" textlink="">
      <xdr:nvSpPr>
        <xdr:cNvPr id="26" name="Freeform 25"/>
        <xdr:cNvSpPr/>
      </xdr:nvSpPr>
      <xdr:spPr>
        <a:xfrm>
          <a:off x="2066925" y="20564476"/>
          <a:ext cx="1745576" cy="190500"/>
        </a:xfrm>
        <a:custGeom>
          <a:avLst/>
          <a:gdLst>
            <a:gd name="connsiteX0" fmla="*/ 0 w 629478"/>
            <a:gd name="connsiteY0" fmla="*/ 173935 h 173935"/>
            <a:gd name="connsiteX1" fmla="*/ 0 w 629478"/>
            <a:gd name="connsiteY1" fmla="*/ 0 h 173935"/>
            <a:gd name="connsiteX2" fmla="*/ 629478 w 629478"/>
            <a:gd name="connsiteY2" fmla="*/ 0 h 173935"/>
            <a:gd name="connsiteX3" fmla="*/ 629478 w 629478"/>
            <a:gd name="connsiteY3" fmla="*/ 165652 h 17393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629478" h="173935">
              <a:moveTo>
                <a:pt x="0" y="173935"/>
              </a:moveTo>
              <a:lnTo>
                <a:pt x="0" y="0"/>
              </a:lnTo>
              <a:lnTo>
                <a:pt x="629478" y="0"/>
              </a:lnTo>
              <a:lnTo>
                <a:pt x="629478" y="165652"/>
              </a:lnTo>
            </a:path>
          </a:pathLst>
        </a:cu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en-US"/>
        </a:p>
      </xdr:txBody>
    </xdr:sp>
    <xdr:clientData/>
  </xdr:twoCellAnchor>
  <xdr:twoCellAnchor>
    <xdr:from>
      <xdr:col>5</xdr:col>
      <xdr:colOff>0</xdr:colOff>
      <xdr:row>75</xdr:row>
      <xdr:rowOff>28575</xdr:rowOff>
    </xdr:from>
    <xdr:to>
      <xdr:col>6</xdr:col>
      <xdr:colOff>0</xdr:colOff>
      <xdr:row>75</xdr:row>
      <xdr:rowOff>276225</xdr:rowOff>
    </xdr:to>
    <xdr:sp macro="" textlink="">
      <xdr:nvSpPr>
        <xdr:cNvPr id="27" name="Freeform 26"/>
        <xdr:cNvSpPr/>
      </xdr:nvSpPr>
      <xdr:spPr>
        <a:xfrm>
          <a:off x="2447925" y="21726525"/>
          <a:ext cx="1019175" cy="247650"/>
        </a:xfrm>
        <a:custGeom>
          <a:avLst/>
          <a:gdLst>
            <a:gd name="connsiteX0" fmla="*/ 638175 w 714375"/>
            <a:gd name="connsiteY0" fmla="*/ 152400 h 400050"/>
            <a:gd name="connsiteX1" fmla="*/ 695325 w 714375"/>
            <a:gd name="connsiteY1" fmla="*/ 228600 h 400050"/>
            <a:gd name="connsiteX2" fmla="*/ 695325 w 714375"/>
            <a:gd name="connsiteY2" fmla="*/ 28575 h 400050"/>
            <a:gd name="connsiteX3" fmla="*/ 0 w 714375"/>
            <a:gd name="connsiteY3" fmla="*/ 28575 h 400050"/>
            <a:gd name="connsiteX4" fmla="*/ 0 w 714375"/>
            <a:gd name="connsiteY4" fmla="*/ 400050 h 400050"/>
            <a:gd name="connsiteX5" fmla="*/ 714375 w 714375"/>
            <a:gd name="connsiteY5" fmla="*/ 400050 h 400050"/>
            <a:gd name="connsiteX6" fmla="*/ 714375 w 714375"/>
            <a:gd name="connsiteY6" fmla="*/ 0 h 400050"/>
            <a:gd name="connsiteX7" fmla="*/ 533400 w 714375"/>
            <a:gd name="connsiteY7" fmla="*/ 0 h 400050"/>
            <a:gd name="connsiteX8" fmla="*/ 628650 w 714375"/>
            <a:gd name="connsiteY8" fmla="*/ 76200 h 400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714375" h="400050">
              <a:moveTo>
                <a:pt x="638175" y="152400"/>
              </a:moveTo>
              <a:lnTo>
                <a:pt x="695325" y="228600"/>
              </a:lnTo>
              <a:lnTo>
                <a:pt x="695325" y="28575"/>
              </a:lnTo>
              <a:lnTo>
                <a:pt x="0" y="28575"/>
              </a:lnTo>
              <a:lnTo>
                <a:pt x="0" y="400050"/>
              </a:lnTo>
              <a:lnTo>
                <a:pt x="714375" y="400050"/>
              </a:lnTo>
              <a:lnTo>
                <a:pt x="714375" y="0"/>
              </a:lnTo>
              <a:lnTo>
                <a:pt x="533400" y="0"/>
              </a:lnTo>
              <a:lnTo>
                <a:pt x="628650" y="76200"/>
              </a:lnTo>
            </a:path>
          </a:pathLst>
        </a:cu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en-US"/>
        </a:p>
      </xdr:txBody>
    </xdr:sp>
    <xdr:clientData/>
  </xdr:twoCellAnchor>
  <xdr:twoCellAnchor>
    <xdr:from>
      <xdr:col>4</xdr:col>
      <xdr:colOff>9524</xdr:colOff>
      <xdr:row>77</xdr:row>
      <xdr:rowOff>66674</xdr:rowOff>
    </xdr:from>
    <xdr:to>
      <xdr:col>7</xdr:col>
      <xdr:colOff>7600</xdr:colOff>
      <xdr:row>77</xdr:row>
      <xdr:rowOff>245163</xdr:rowOff>
    </xdr:to>
    <xdr:sp macro="" textlink="">
      <xdr:nvSpPr>
        <xdr:cNvPr id="28" name="Freeform 27"/>
        <xdr:cNvSpPr/>
      </xdr:nvSpPr>
      <xdr:spPr>
        <a:xfrm rot="10800000">
          <a:off x="2066924" y="22355174"/>
          <a:ext cx="1741151" cy="178489"/>
        </a:xfrm>
        <a:custGeom>
          <a:avLst/>
          <a:gdLst>
            <a:gd name="connsiteX0" fmla="*/ 0 w 629478"/>
            <a:gd name="connsiteY0" fmla="*/ 173935 h 173935"/>
            <a:gd name="connsiteX1" fmla="*/ 0 w 629478"/>
            <a:gd name="connsiteY1" fmla="*/ 0 h 173935"/>
            <a:gd name="connsiteX2" fmla="*/ 629478 w 629478"/>
            <a:gd name="connsiteY2" fmla="*/ 0 h 173935"/>
            <a:gd name="connsiteX3" fmla="*/ 629478 w 629478"/>
            <a:gd name="connsiteY3" fmla="*/ 165652 h 17393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629478" h="173935">
              <a:moveTo>
                <a:pt x="0" y="173935"/>
              </a:moveTo>
              <a:lnTo>
                <a:pt x="0" y="0"/>
              </a:lnTo>
              <a:lnTo>
                <a:pt x="629478" y="0"/>
              </a:lnTo>
              <a:lnTo>
                <a:pt x="629478" y="165652"/>
              </a:lnTo>
            </a:path>
          </a:pathLst>
        </a:cu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en-US"/>
        </a:p>
      </xdr:txBody>
    </xdr:sp>
    <xdr:clientData/>
  </xdr:twoCellAnchor>
  <xdr:twoCellAnchor>
    <xdr:from>
      <xdr:col>4</xdr:col>
      <xdr:colOff>9525</xdr:colOff>
      <xdr:row>76</xdr:row>
      <xdr:rowOff>47626</xdr:rowOff>
    </xdr:from>
    <xdr:to>
      <xdr:col>7</xdr:col>
      <xdr:colOff>12026</xdr:colOff>
      <xdr:row>76</xdr:row>
      <xdr:rowOff>238126</xdr:rowOff>
    </xdr:to>
    <xdr:sp macro="" textlink="">
      <xdr:nvSpPr>
        <xdr:cNvPr id="29" name="Freeform 28"/>
        <xdr:cNvSpPr/>
      </xdr:nvSpPr>
      <xdr:spPr>
        <a:xfrm>
          <a:off x="2066925" y="22040851"/>
          <a:ext cx="1745576" cy="190500"/>
        </a:xfrm>
        <a:custGeom>
          <a:avLst/>
          <a:gdLst>
            <a:gd name="connsiteX0" fmla="*/ 0 w 629478"/>
            <a:gd name="connsiteY0" fmla="*/ 173935 h 173935"/>
            <a:gd name="connsiteX1" fmla="*/ 0 w 629478"/>
            <a:gd name="connsiteY1" fmla="*/ 0 h 173935"/>
            <a:gd name="connsiteX2" fmla="*/ 629478 w 629478"/>
            <a:gd name="connsiteY2" fmla="*/ 0 h 173935"/>
            <a:gd name="connsiteX3" fmla="*/ 629478 w 629478"/>
            <a:gd name="connsiteY3" fmla="*/ 165652 h 17393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629478" h="173935">
              <a:moveTo>
                <a:pt x="0" y="173935"/>
              </a:moveTo>
              <a:lnTo>
                <a:pt x="0" y="0"/>
              </a:lnTo>
              <a:lnTo>
                <a:pt x="629478" y="0"/>
              </a:lnTo>
              <a:lnTo>
                <a:pt x="629478" y="165652"/>
              </a:lnTo>
            </a:path>
          </a:pathLst>
        </a:cu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en-US"/>
        </a:p>
      </xdr:txBody>
    </xdr:sp>
    <xdr:clientData/>
  </xdr:twoCellAnchor>
  <xdr:twoCellAnchor>
    <xdr:from>
      <xdr:col>4</xdr:col>
      <xdr:colOff>0</xdr:colOff>
      <xdr:row>79</xdr:row>
      <xdr:rowOff>238125</xdr:rowOff>
    </xdr:from>
    <xdr:to>
      <xdr:col>7</xdr:col>
      <xdr:colOff>4763</xdr:colOff>
      <xdr:row>79</xdr:row>
      <xdr:rowOff>239713</xdr:rowOff>
    </xdr:to>
    <xdr:cxnSp macro="">
      <xdr:nvCxnSpPr>
        <xdr:cNvPr id="30" name="Straight Connector 29"/>
        <xdr:cNvCxnSpPr/>
      </xdr:nvCxnSpPr>
      <xdr:spPr>
        <a:xfrm>
          <a:off x="2057400" y="23117175"/>
          <a:ext cx="1747838" cy="1588"/>
        </a:xfrm>
        <a:prstGeom prst="line">
          <a:avLst/>
        </a:prstGeom>
        <a:ln w="28575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80</xdr:row>
      <xdr:rowOff>238125</xdr:rowOff>
    </xdr:from>
    <xdr:to>
      <xdr:col>7</xdr:col>
      <xdr:colOff>4763</xdr:colOff>
      <xdr:row>80</xdr:row>
      <xdr:rowOff>239713</xdr:rowOff>
    </xdr:to>
    <xdr:cxnSp macro="">
      <xdr:nvCxnSpPr>
        <xdr:cNvPr id="31" name="Straight Connector 30"/>
        <xdr:cNvCxnSpPr/>
      </xdr:nvCxnSpPr>
      <xdr:spPr>
        <a:xfrm>
          <a:off x="2057400" y="23412450"/>
          <a:ext cx="1747838" cy="1588"/>
        </a:xfrm>
        <a:prstGeom prst="line">
          <a:avLst/>
        </a:prstGeom>
        <a:ln w="28575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81</xdr:row>
      <xdr:rowOff>28575</xdr:rowOff>
    </xdr:from>
    <xdr:to>
      <xdr:col>6</xdr:col>
      <xdr:colOff>0</xdr:colOff>
      <xdr:row>81</xdr:row>
      <xdr:rowOff>276225</xdr:rowOff>
    </xdr:to>
    <xdr:sp macro="" textlink="">
      <xdr:nvSpPr>
        <xdr:cNvPr id="32" name="Freeform 31"/>
        <xdr:cNvSpPr/>
      </xdr:nvSpPr>
      <xdr:spPr>
        <a:xfrm>
          <a:off x="2447925" y="23498175"/>
          <a:ext cx="1019175" cy="247650"/>
        </a:xfrm>
        <a:custGeom>
          <a:avLst/>
          <a:gdLst>
            <a:gd name="connsiteX0" fmla="*/ 638175 w 714375"/>
            <a:gd name="connsiteY0" fmla="*/ 152400 h 400050"/>
            <a:gd name="connsiteX1" fmla="*/ 695325 w 714375"/>
            <a:gd name="connsiteY1" fmla="*/ 228600 h 400050"/>
            <a:gd name="connsiteX2" fmla="*/ 695325 w 714375"/>
            <a:gd name="connsiteY2" fmla="*/ 28575 h 400050"/>
            <a:gd name="connsiteX3" fmla="*/ 0 w 714375"/>
            <a:gd name="connsiteY3" fmla="*/ 28575 h 400050"/>
            <a:gd name="connsiteX4" fmla="*/ 0 w 714375"/>
            <a:gd name="connsiteY4" fmla="*/ 400050 h 400050"/>
            <a:gd name="connsiteX5" fmla="*/ 714375 w 714375"/>
            <a:gd name="connsiteY5" fmla="*/ 400050 h 400050"/>
            <a:gd name="connsiteX6" fmla="*/ 714375 w 714375"/>
            <a:gd name="connsiteY6" fmla="*/ 0 h 400050"/>
            <a:gd name="connsiteX7" fmla="*/ 533400 w 714375"/>
            <a:gd name="connsiteY7" fmla="*/ 0 h 400050"/>
            <a:gd name="connsiteX8" fmla="*/ 628650 w 714375"/>
            <a:gd name="connsiteY8" fmla="*/ 76200 h 400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714375" h="400050">
              <a:moveTo>
                <a:pt x="638175" y="152400"/>
              </a:moveTo>
              <a:lnTo>
                <a:pt x="695325" y="228600"/>
              </a:lnTo>
              <a:lnTo>
                <a:pt x="695325" y="28575"/>
              </a:lnTo>
              <a:lnTo>
                <a:pt x="0" y="28575"/>
              </a:lnTo>
              <a:lnTo>
                <a:pt x="0" y="400050"/>
              </a:lnTo>
              <a:lnTo>
                <a:pt x="714375" y="400050"/>
              </a:lnTo>
              <a:lnTo>
                <a:pt x="714375" y="0"/>
              </a:lnTo>
              <a:lnTo>
                <a:pt x="533400" y="0"/>
              </a:lnTo>
              <a:lnTo>
                <a:pt x="628650" y="76200"/>
              </a:lnTo>
            </a:path>
          </a:pathLst>
        </a:cu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en-US"/>
        </a:p>
      </xdr:txBody>
    </xdr:sp>
    <xdr:clientData/>
  </xdr:twoCellAnchor>
  <xdr:twoCellAnchor>
    <xdr:from>
      <xdr:col>4</xdr:col>
      <xdr:colOff>16566</xdr:colOff>
      <xdr:row>87</xdr:row>
      <xdr:rowOff>198624</xdr:rowOff>
    </xdr:from>
    <xdr:to>
      <xdr:col>7</xdr:col>
      <xdr:colOff>8283</xdr:colOff>
      <xdr:row>87</xdr:row>
      <xdr:rowOff>244343</xdr:rowOff>
    </xdr:to>
    <xdr:sp macro="" textlink="">
      <xdr:nvSpPr>
        <xdr:cNvPr id="33" name="Freeform 32"/>
        <xdr:cNvSpPr/>
      </xdr:nvSpPr>
      <xdr:spPr>
        <a:xfrm>
          <a:off x="2073966" y="25230324"/>
          <a:ext cx="1734792" cy="45719"/>
        </a:xfrm>
        <a:custGeom>
          <a:avLst/>
          <a:gdLst>
            <a:gd name="connsiteX0" fmla="*/ 123825 w 962025"/>
            <a:gd name="connsiteY0" fmla="*/ 0 h 180975"/>
            <a:gd name="connsiteX1" fmla="*/ 0 w 962025"/>
            <a:gd name="connsiteY1" fmla="*/ 0 h 180975"/>
            <a:gd name="connsiteX2" fmla="*/ 0 w 962025"/>
            <a:gd name="connsiteY2" fmla="*/ 180975 h 180975"/>
            <a:gd name="connsiteX3" fmla="*/ 962025 w 962025"/>
            <a:gd name="connsiteY3" fmla="*/ 180975 h 180975"/>
            <a:gd name="connsiteX4" fmla="*/ 962025 w 962025"/>
            <a:gd name="connsiteY4" fmla="*/ 0 h 180975"/>
            <a:gd name="connsiteX5" fmla="*/ 857250 w 962025"/>
            <a:gd name="connsiteY5" fmla="*/ 0 h 180975"/>
            <a:gd name="connsiteX6" fmla="*/ 885825 w 962025"/>
            <a:gd name="connsiteY6" fmla="*/ 0 h 1809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962025" h="180975">
              <a:moveTo>
                <a:pt x="123825" y="0"/>
              </a:moveTo>
              <a:lnTo>
                <a:pt x="0" y="0"/>
              </a:lnTo>
              <a:lnTo>
                <a:pt x="0" y="180975"/>
              </a:lnTo>
              <a:lnTo>
                <a:pt x="962025" y="180975"/>
              </a:lnTo>
              <a:lnTo>
                <a:pt x="962025" y="0"/>
              </a:lnTo>
              <a:lnTo>
                <a:pt x="857250" y="0"/>
              </a:lnTo>
              <a:lnTo>
                <a:pt x="885825" y="0"/>
              </a:lnTo>
            </a:path>
          </a:pathLst>
        </a:custGeom>
        <a:ln w="1905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en-US"/>
        </a:p>
      </xdr:txBody>
    </xdr:sp>
    <xdr:clientData/>
  </xdr:twoCellAnchor>
  <xdr:twoCellAnchor>
    <xdr:from>
      <xdr:col>4</xdr:col>
      <xdr:colOff>16566</xdr:colOff>
      <xdr:row>88</xdr:row>
      <xdr:rowOff>198624</xdr:rowOff>
    </xdr:from>
    <xdr:to>
      <xdr:col>7</xdr:col>
      <xdr:colOff>8283</xdr:colOff>
      <xdr:row>88</xdr:row>
      <xdr:rowOff>244343</xdr:rowOff>
    </xdr:to>
    <xdr:sp macro="" textlink="">
      <xdr:nvSpPr>
        <xdr:cNvPr id="34" name="Freeform 33"/>
        <xdr:cNvSpPr/>
      </xdr:nvSpPr>
      <xdr:spPr>
        <a:xfrm>
          <a:off x="2073966" y="25525599"/>
          <a:ext cx="1734792" cy="45719"/>
        </a:xfrm>
        <a:custGeom>
          <a:avLst/>
          <a:gdLst>
            <a:gd name="connsiteX0" fmla="*/ 123825 w 962025"/>
            <a:gd name="connsiteY0" fmla="*/ 0 h 180975"/>
            <a:gd name="connsiteX1" fmla="*/ 0 w 962025"/>
            <a:gd name="connsiteY1" fmla="*/ 0 h 180975"/>
            <a:gd name="connsiteX2" fmla="*/ 0 w 962025"/>
            <a:gd name="connsiteY2" fmla="*/ 180975 h 180975"/>
            <a:gd name="connsiteX3" fmla="*/ 962025 w 962025"/>
            <a:gd name="connsiteY3" fmla="*/ 180975 h 180975"/>
            <a:gd name="connsiteX4" fmla="*/ 962025 w 962025"/>
            <a:gd name="connsiteY4" fmla="*/ 0 h 180975"/>
            <a:gd name="connsiteX5" fmla="*/ 857250 w 962025"/>
            <a:gd name="connsiteY5" fmla="*/ 0 h 180975"/>
            <a:gd name="connsiteX6" fmla="*/ 885825 w 962025"/>
            <a:gd name="connsiteY6" fmla="*/ 0 h 1809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962025" h="180975">
              <a:moveTo>
                <a:pt x="123825" y="0"/>
              </a:moveTo>
              <a:lnTo>
                <a:pt x="0" y="0"/>
              </a:lnTo>
              <a:lnTo>
                <a:pt x="0" y="180975"/>
              </a:lnTo>
              <a:lnTo>
                <a:pt x="962025" y="180975"/>
              </a:lnTo>
              <a:lnTo>
                <a:pt x="962025" y="0"/>
              </a:lnTo>
              <a:lnTo>
                <a:pt x="857250" y="0"/>
              </a:lnTo>
              <a:lnTo>
                <a:pt x="885825" y="0"/>
              </a:lnTo>
            </a:path>
          </a:pathLst>
        </a:custGeom>
        <a:ln w="1905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en-US"/>
        </a:p>
      </xdr:txBody>
    </xdr:sp>
    <xdr:clientData/>
  </xdr:twoCellAnchor>
  <xdr:twoCellAnchor>
    <xdr:from>
      <xdr:col>5</xdr:col>
      <xdr:colOff>0</xdr:colOff>
      <xdr:row>95</xdr:row>
      <xdr:rowOff>66254</xdr:rowOff>
    </xdr:from>
    <xdr:to>
      <xdr:col>5</xdr:col>
      <xdr:colOff>1018760</xdr:colOff>
      <xdr:row>95</xdr:row>
      <xdr:rowOff>182210</xdr:rowOff>
    </xdr:to>
    <xdr:sp macro="" textlink="">
      <xdr:nvSpPr>
        <xdr:cNvPr id="35" name="Freeform 34"/>
        <xdr:cNvSpPr/>
      </xdr:nvSpPr>
      <xdr:spPr>
        <a:xfrm rot="10800000" flipV="1">
          <a:off x="2447925" y="27460154"/>
          <a:ext cx="1018760" cy="115956"/>
        </a:xfrm>
        <a:custGeom>
          <a:avLst/>
          <a:gdLst>
            <a:gd name="connsiteX0" fmla="*/ 0 w 629478"/>
            <a:gd name="connsiteY0" fmla="*/ 173935 h 173935"/>
            <a:gd name="connsiteX1" fmla="*/ 0 w 629478"/>
            <a:gd name="connsiteY1" fmla="*/ 0 h 173935"/>
            <a:gd name="connsiteX2" fmla="*/ 629478 w 629478"/>
            <a:gd name="connsiteY2" fmla="*/ 0 h 173935"/>
            <a:gd name="connsiteX3" fmla="*/ 629478 w 629478"/>
            <a:gd name="connsiteY3" fmla="*/ 165652 h 17393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629478" h="173935">
              <a:moveTo>
                <a:pt x="0" y="173935"/>
              </a:moveTo>
              <a:lnTo>
                <a:pt x="0" y="0"/>
              </a:lnTo>
              <a:lnTo>
                <a:pt x="629478" y="0"/>
              </a:lnTo>
              <a:lnTo>
                <a:pt x="629478" y="165652"/>
              </a:lnTo>
            </a:path>
          </a:pathLst>
        </a:cu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en-US"/>
        </a:p>
      </xdr:txBody>
    </xdr:sp>
    <xdr:clientData/>
  </xdr:twoCellAnchor>
  <xdr:twoCellAnchor>
    <xdr:from>
      <xdr:col>4</xdr:col>
      <xdr:colOff>16566</xdr:colOff>
      <xdr:row>97</xdr:row>
      <xdr:rowOff>198624</xdr:rowOff>
    </xdr:from>
    <xdr:to>
      <xdr:col>7</xdr:col>
      <xdr:colOff>8283</xdr:colOff>
      <xdr:row>97</xdr:row>
      <xdr:rowOff>244343</xdr:rowOff>
    </xdr:to>
    <xdr:sp macro="" textlink="">
      <xdr:nvSpPr>
        <xdr:cNvPr id="36" name="Freeform 35"/>
        <xdr:cNvSpPr/>
      </xdr:nvSpPr>
      <xdr:spPr>
        <a:xfrm>
          <a:off x="2073966" y="28183074"/>
          <a:ext cx="1734792" cy="45719"/>
        </a:xfrm>
        <a:custGeom>
          <a:avLst/>
          <a:gdLst>
            <a:gd name="connsiteX0" fmla="*/ 123825 w 962025"/>
            <a:gd name="connsiteY0" fmla="*/ 0 h 180975"/>
            <a:gd name="connsiteX1" fmla="*/ 0 w 962025"/>
            <a:gd name="connsiteY1" fmla="*/ 0 h 180975"/>
            <a:gd name="connsiteX2" fmla="*/ 0 w 962025"/>
            <a:gd name="connsiteY2" fmla="*/ 180975 h 180975"/>
            <a:gd name="connsiteX3" fmla="*/ 962025 w 962025"/>
            <a:gd name="connsiteY3" fmla="*/ 180975 h 180975"/>
            <a:gd name="connsiteX4" fmla="*/ 962025 w 962025"/>
            <a:gd name="connsiteY4" fmla="*/ 0 h 180975"/>
            <a:gd name="connsiteX5" fmla="*/ 857250 w 962025"/>
            <a:gd name="connsiteY5" fmla="*/ 0 h 180975"/>
            <a:gd name="connsiteX6" fmla="*/ 885825 w 962025"/>
            <a:gd name="connsiteY6" fmla="*/ 0 h 1809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962025" h="180975">
              <a:moveTo>
                <a:pt x="123825" y="0"/>
              </a:moveTo>
              <a:lnTo>
                <a:pt x="0" y="0"/>
              </a:lnTo>
              <a:lnTo>
                <a:pt x="0" y="180975"/>
              </a:lnTo>
              <a:lnTo>
                <a:pt x="962025" y="180975"/>
              </a:lnTo>
              <a:lnTo>
                <a:pt x="962025" y="0"/>
              </a:lnTo>
              <a:lnTo>
                <a:pt x="857250" y="0"/>
              </a:lnTo>
              <a:lnTo>
                <a:pt x="885825" y="0"/>
              </a:lnTo>
            </a:path>
          </a:pathLst>
        </a:custGeom>
        <a:ln w="1905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en-US"/>
        </a:p>
      </xdr:txBody>
    </xdr:sp>
    <xdr:clientData/>
  </xdr:twoCellAnchor>
  <xdr:twoCellAnchor>
    <xdr:from>
      <xdr:col>4</xdr:col>
      <xdr:colOff>16566</xdr:colOff>
      <xdr:row>99</xdr:row>
      <xdr:rowOff>198624</xdr:rowOff>
    </xdr:from>
    <xdr:to>
      <xdr:col>7</xdr:col>
      <xdr:colOff>8283</xdr:colOff>
      <xdr:row>99</xdr:row>
      <xdr:rowOff>244343</xdr:rowOff>
    </xdr:to>
    <xdr:sp macro="" textlink="">
      <xdr:nvSpPr>
        <xdr:cNvPr id="37" name="Freeform 36"/>
        <xdr:cNvSpPr/>
      </xdr:nvSpPr>
      <xdr:spPr>
        <a:xfrm>
          <a:off x="2073966" y="28773624"/>
          <a:ext cx="1734792" cy="45719"/>
        </a:xfrm>
        <a:custGeom>
          <a:avLst/>
          <a:gdLst>
            <a:gd name="connsiteX0" fmla="*/ 123825 w 962025"/>
            <a:gd name="connsiteY0" fmla="*/ 0 h 180975"/>
            <a:gd name="connsiteX1" fmla="*/ 0 w 962025"/>
            <a:gd name="connsiteY1" fmla="*/ 0 h 180975"/>
            <a:gd name="connsiteX2" fmla="*/ 0 w 962025"/>
            <a:gd name="connsiteY2" fmla="*/ 180975 h 180975"/>
            <a:gd name="connsiteX3" fmla="*/ 962025 w 962025"/>
            <a:gd name="connsiteY3" fmla="*/ 180975 h 180975"/>
            <a:gd name="connsiteX4" fmla="*/ 962025 w 962025"/>
            <a:gd name="connsiteY4" fmla="*/ 0 h 180975"/>
            <a:gd name="connsiteX5" fmla="*/ 857250 w 962025"/>
            <a:gd name="connsiteY5" fmla="*/ 0 h 180975"/>
            <a:gd name="connsiteX6" fmla="*/ 885825 w 962025"/>
            <a:gd name="connsiteY6" fmla="*/ 0 h 1809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962025" h="180975">
              <a:moveTo>
                <a:pt x="123825" y="0"/>
              </a:moveTo>
              <a:lnTo>
                <a:pt x="0" y="0"/>
              </a:lnTo>
              <a:lnTo>
                <a:pt x="0" y="180975"/>
              </a:lnTo>
              <a:lnTo>
                <a:pt x="962025" y="180975"/>
              </a:lnTo>
              <a:lnTo>
                <a:pt x="962025" y="0"/>
              </a:lnTo>
              <a:lnTo>
                <a:pt x="857250" y="0"/>
              </a:lnTo>
              <a:lnTo>
                <a:pt x="885825" y="0"/>
              </a:lnTo>
            </a:path>
          </a:pathLst>
        </a:custGeom>
        <a:ln w="1905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en-US"/>
        </a:p>
      </xdr:txBody>
    </xdr:sp>
    <xdr:clientData/>
  </xdr:twoCellAnchor>
  <xdr:twoCellAnchor>
    <xdr:from>
      <xdr:col>5</xdr:col>
      <xdr:colOff>0</xdr:colOff>
      <xdr:row>15</xdr:row>
      <xdr:rowOff>33130</xdr:rowOff>
    </xdr:from>
    <xdr:to>
      <xdr:col>5</xdr:col>
      <xdr:colOff>1018760</xdr:colOff>
      <xdr:row>15</xdr:row>
      <xdr:rowOff>266699</xdr:rowOff>
    </xdr:to>
    <xdr:sp macro="" textlink="">
      <xdr:nvSpPr>
        <xdr:cNvPr id="38" name="Freeform 37"/>
        <xdr:cNvSpPr/>
      </xdr:nvSpPr>
      <xdr:spPr>
        <a:xfrm>
          <a:off x="2447925" y="4433680"/>
          <a:ext cx="1018760" cy="233569"/>
        </a:xfrm>
        <a:custGeom>
          <a:avLst/>
          <a:gdLst>
            <a:gd name="connsiteX0" fmla="*/ 638175 w 714375"/>
            <a:gd name="connsiteY0" fmla="*/ 152400 h 400050"/>
            <a:gd name="connsiteX1" fmla="*/ 695325 w 714375"/>
            <a:gd name="connsiteY1" fmla="*/ 228600 h 400050"/>
            <a:gd name="connsiteX2" fmla="*/ 695325 w 714375"/>
            <a:gd name="connsiteY2" fmla="*/ 28575 h 400050"/>
            <a:gd name="connsiteX3" fmla="*/ 0 w 714375"/>
            <a:gd name="connsiteY3" fmla="*/ 28575 h 400050"/>
            <a:gd name="connsiteX4" fmla="*/ 0 w 714375"/>
            <a:gd name="connsiteY4" fmla="*/ 400050 h 400050"/>
            <a:gd name="connsiteX5" fmla="*/ 714375 w 714375"/>
            <a:gd name="connsiteY5" fmla="*/ 400050 h 400050"/>
            <a:gd name="connsiteX6" fmla="*/ 714375 w 714375"/>
            <a:gd name="connsiteY6" fmla="*/ 0 h 400050"/>
            <a:gd name="connsiteX7" fmla="*/ 533400 w 714375"/>
            <a:gd name="connsiteY7" fmla="*/ 0 h 400050"/>
            <a:gd name="connsiteX8" fmla="*/ 628650 w 714375"/>
            <a:gd name="connsiteY8" fmla="*/ 76200 h 400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714375" h="400050">
              <a:moveTo>
                <a:pt x="638175" y="152400"/>
              </a:moveTo>
              <a:lnTo>
                <a:pt x="695325" y="228600"/>
              </a:lnTo>
              <a:lnTo>
                <a:pt x="695325" y="28575"/>
              </a:lnTo>
              <a:lnTo>
                <a:pt x="0" y="28575"/>
              </a:lnTo>
              <a:lnTo>
                <a:pt x="0" y="400050"/>
              </a:lnTo>
              <a:lnTo>
                <a:pt x="714375" y="400050"/>
              </a:lnTo>
              <a:lnTo>
                <a:pt x="714375" y="0"/>
              </a:lnTo>
              <a:lnTo>
                <a:pt x="533400" y="0"/>
              </a:lnTo>
              <a:lnTo>
                <a:pt x="628650" y="76200"/>
              </a:lnTo>
            </a:path>
          </a:pathLst>
        </a:cu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en-US"/>
        </a:p>
      </xdr:txBody>
    </xdr:sp>
    <xdr:clientData/>
  </xdr:twoCellAnchor>
  <xdr:twoCellAnchor>
    <xdr:from>
      <xdr:col>5</xdr:col>
      <xdr:colOff>0</xdr:colOff>
      <xdr:row>27</xdr:row>
      <xdr:rowOff>0</xdr:rowOff>
    </xdr:from>
    <xdr:to>
      <xdr:col>6</xdr:col>
      <xdr:colOff>0</xdr:colOff>
      <xdr:row>27</xdr:row>
      <xdr:rowOff>247650</xdr:rowOff>
    </xdr:to>
    <xdr:sp macro="" textlink="">
      <xdr:nvSpPr>
        <xdr:cNvPr id="39" name="Freeform 38"/>
        <xdr:cNvSpPr/>
      </xdr:nvSpPr>
      <xdr:spPr>
        <a:xfrm>
          <a:off x="2447925" y="7734300"/>
          <a:ext cx="1019175" cy="247650"/>
        </a:xfrm>
        <a:custGeom>
          <a:avLst/>
          <a:gdLst>
            <a:gd name="connsiteX0" fmla="*/ 638175 w 714375"/>
            <a:gd name="connsiteY0" fmla="*/ 152400 h 400050"/>
            <a:gd name="connsiteX1" fmla="*/ 695325 w 714375"/>
            <a:gd name="connsiteY1" fmla="*/ 228600 h 400050"/>
            <a:gd name="connsiteX2" fmla="*/ 695325 w 714375"/>
            <a:gd name="connsiteY2" fmla="*/ 28575 h 400050"/>
            <a:gd name="connsiteX3" fmla="*/ 0 w 714375"/>
            <a:gd name="connsiteY3" fmla="*/ 28575 h 400050"/>
            <a:gd name="connsiteX4" fmla="*/ 0 w 714375"/>
            <a:gd name="connsiteY4" fmla="*/ 400050 h 400050"/>
            <a:gd name="connsiteX5" fmla="*/ 714375 w 714375"/>
            <a:gd name="connsiteY5" fmla="*/ 400050 h 400050"/>
            <a:gd name="connsiteX6" fmla="*/ 714375 w 714375"/>
            <a:gd name="connsiteY6" fmla="*/ 0 h 400050"/>
            <a:gd name="connsiteX7" fmla="*/ 533400 w 714375"/>
            <a:gd name="connsiteY7" fmla="*/ 0 h 400050"/>
            <a:gd name="connsiteX8" fmla="*/ 628650 w 714375"/>
            <a:gd name="connsiteY8" fmla="*/ 76200 h 400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714375" h="400050">
              <a:moveTo>
                <a:pt x="638175" y="152400"/>
              </a:moveTo>
              <a:lnTo>
                <a:pt x="695325" y="228600"/>
              </a:lnTo>
              <a:lnTo>
                <a:pt x="695325" y="28575"/>
              </a:lnTo>
              <a:lnTo>
                <a:pt x="0" y="28575"/>
              </a:lnTo>
              <a:lnTo>
                <a:pt x="0" y="400050"/>
              </a:lnTo>
              <a:lnTo>
                <a:pt x="714375" y="400050"/>
              </a:lnTo>
              <a:lnTo>
                <a:pt x="714375" y="0"/>
              </a:lnTo>
              <a:lnTo>
                <a:pt x="533400" y="0"/>
              </a:lnTo>
              <a:lnTo>
                <a:pt x="628650" y="76200"/>
              </a:lnTo>
            </a:path>
          </a:pathLst>
        </a:cu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en-US"/>
        </a:p>
      </xdr:txBody>
    </xdr:sp>
    <xdr:clientData/>
  </xdr:twoCellAnchor>
  <xdr:twoCellAnchor>
    <xdr:from>
      <xdr:col>4</xdr:col>
      <xdr:colOff>273844</xdr:colOff>
      <xdr:row>31</xdr:row>
      <xdr:rowOff>202406</xdr:rowOff>
    </xdr:from>
    <xdr:to>
      <xdr:col>5</xdr:col>
      <xdr:colOff>997744</xdr:colOff>
      <xdr:row>31</xdr:row>
      <xdr:rowOff>250031</xdr:rowOff>
    </xdr:to>
    <xdr:sp macro="" textlink="">
      <xdr:nvSpPr>
        <xdr:cNvPr id="40" name="Freeform 39"/>
        <xdr:cNvSpPr/>
      </xdr:nvSpPr>
      <xdr:spPr>
        <a:xfrm>
          <a:off x="2331244" y="9117806"/>
          <a:ext cx="1114425" cy="47625"/>
        </a:xfrm>
        <a:custGeom>
          <a:avLst/>
          <a:gdLst>
            <a:gd name="connsiteX0" fmla="*/ 123825 w 962025"/>
            <a:gd name="connsiteY0" fmla="*/ 0 h 180975"/>
            <a:gd name="connsiteX1" fmla="*/ 0 w 962025"/>
            <a:gd name="connsiteY1" fmla="*/ 0 h 180975"/>
            <a:gd name="connsiteX2" fmla="*/ 0 w 962025"/>
            <a:gd name="connsiteY2" fmla="*/ 180975 h 180975"/>
            <a:gd name="connsiteX3" fmla="*/ 962025 w 962025"/>
            <a:gd name="connsiteY3" fmla="*/ 180975 h 180975"/>
            <a:gd name="connsiteX4" fmla="*/ 962025 w 962025"/>
            <a:gd name="connsiteY4" fmla="*/ 0 h 180975"/>
            <a:gd name="connsiteX5" fmla="*/ 857250 w 962025"/>
            <a:gd name="connsiteY5" fmla="*/ 0 h 180975"/>
            <a:gd name="connsiteX6" fmla="*/ 885825 w 962025"/>
            <a:gd name="connsiteY6" fmla="*/ 0 h 1809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962025" h="180975">
              <a:moveTo>
                <a:pt x="123825" y="0"/>
              </a:moveTo>
              <a:lnTo>
                <a:pt x="0" y="0"/>
              </a:lnTo>
              <a:lnTo>
                <a:pt x="0" y="180975"/>
              </a:lnTo>
              <a:lnTo>
                <a:pt x="962025" y="180975"/>
              </a:lnTo>
              <a:lnTo>
                <a:pt x="962025" y="0"/>
              </a:lnTo>
              <a:lnTo>
                <a:pt x="857250" y="0"/>
              </a:lnTo>
              <a:lnTo>
                <a:pt x="885825" y="0"/>
              </a:lnTo>
            </a:path>
          </a:pathLst>
        </a:custGeom>
        <a:ln w="28575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en-US"/>
        </a:p>
      </xdr:txBody>
    </xdr:sp>
    <xdr:clientData/>
  </xdr:twoCellAnchor>
  <xdr:twoCellAnchor>
    <xdr:from>
      <xdr:col>4</xdr:col>
      <xdr:colOff>0</xdr:colOff>
      <xdr:row>30</xdr:row>
      <xdr:rowOff>238125</xdr:rowOff>
    </xdr:from>
    <xdr:to>
      <xdr:col>7</xdr:col>
      <xdr:colOff>4763</xdr:colOff>
      <xdr:row>30</xdr:row>
      <xdr:rowOff>239713</xdr:rowOff>
    </xdr:to>
    <xdr:cxnSp macro="">
      <xdr:nvCxnSpPr>
        <xdr:cNvPr id="41" name="Straight Connector 40"/>
        <xdr:cNvCxnSpPr/>
      </xdr:nvCxnSpPr>
      <xdr:spPr>
        <a:xfrm>
          <a:off x="2057400" y="8858250"/>
          <a:ext cx="1747838" cy="1588"/>
        </a:xfrm>
        <a:prstGeom prst="line">
          <a:avLst/>
        </a:prstGeom>
        <a:ln w="28575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23812</xdr:colOff>
      <xdr:row>34</xdr:row>
      <xdr:rowOff>214312</xdr:rowOff>
    </xdr:from>
    <xdr:to>
      <xdr:col>6</xdr:col>
      <xdr:colOff>9524</xdr:colOff>
      <xdr:row>34</xdr:row>
      <xdr:rowOff>261937</xdr:rowOff>
    </xdr:to>
    <xdr:sp macro="" textlink="">
      <xdr:nvSpPr>
        <xdr:cNvPr id="42" name="Freeform 41"/>
        <xdr:cNvSpPr/>
      </xdr:nvSpPr>
      <xdr:spPr>
        <a:xfrm>
          <a:off x="2471737" y="10015537"/>
          <a:ext cx="1004887" cy="47625"/>
        </a:xfrm>
        <a:custGeom>
          <a:avLst/>
          <a:gdLst>
            <a:gd name="connsiteX0" fmla="*/ 123825 w 962025"/>
            <a:gd name="connsiteY0" fmla="*/ 0 h 180975"/>
            <a:gd name="connsiteX1" fmla="*/ 0 w 962025"/>
            <a:gd name="connsiteY1" fmla="*/ 0 h 180975"/>
            <a:gd name="connsiteX2" fmla="*/ 0 w 962025"/>
            <a:gd name="connsiteY2" fmla="*/ 180975 h 180975"/>
            <a:gd name="connsiteX3" fmla="*/ 962025 w 962025"/>
            <a:gd name="connsiteY3" fmla="*/ 180975 h 180975"/>
            <a:gd name="connsiteX4" fmla="*/ 962025 w 962025"/>
            <a:gd name="connsiteY4" fmla="*/ 0 h 180975"/>
            <a:gd name="connsiteX5" fmla="*/ 857250 w 962025"/>
            <a:gd name="connsiteY5" fmla="*/ 0 h 180975"/>
            <a:gd name="connsiteX6" fmla="*/ 885825 w 962025"/>
            <a:gd name="connsiteY6" fmla="*/ 0 h 1809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962025" h="180975">
              <a:moveTo>
                <a:pt x="123825" y="0"/>
              </a:moveTo>
              <a:lnTo>
                <a:pt x="0" y="0"/>
              </a:lnTo>
              <a:lnTo>
                <a:pt x="0" y="180975"/>
              </a:lnTo>
              <a:lnTo>
                <a:pt x="962025" y="180975"/>
              </a:lnTo>
              <a:lnTo>
                <a:pt x="962025" y="0"/>
              </a:lnTo>
              <a:lnTo>
                <a:pt x="857250" y="0"/>
              </a:lnTo>
              <a:lnTo>
                <a:pt x="885825" y="0"/>
              </a:lnTo>
            </a:path>
          </a:pathLst>
        </a:custGeom>
        <a:ln w="28575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en-US"/>
        </a:p>
      </xdr:txBody>
    </xdr:sp>
    <xdr:clientData/>
  </xdr:twoCellAnchor>
  <xdr:twoCellAnchor>
    <xdr:from>
      <xdr:col>4</xdr:col>
      <xdr:colOff>0</xdr:colOff>
      <xdr:row>26</xdr:row>
      <xdr:rowOff>238125</xdr:rowOff>
    </xdr:from>
    <xdr:to>
      <xdr:col>7</xdr:col>
      <xdr:colOff>4763</xdr:colOff>
      <xdr:row>26</xdr:row>
      <xdr:rowOff>239713</xdr:rowOff>
    </xdr:to>
    <xdr:cxnSp macro="">
      <xdr:nvCxnSpPr>
        <xdr:cNvPr id="43" name="Straight Connector 42"/>
        <xdr:cNvCxnSpPr/>
      </xdr:nvCxnSpPr>
      <xdr:spPr>
        <a:xfrm>
          <a:off x="2057400" y="7677150"/>
          <a:ext cx="1747838" cy="1588"/>
        </a:xfrm>
        <a:prstGeom prst="line">
          <a:avLst/>
        </a:prstGeom>
        <a:ln w="28575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261936</xdr:colOff>
      <xdr:row>38</xdr:row>
      <xdr:rowOff>47624</xdr:rowOff>
    </xdr:from>
    <xdr:to>
      <xdr:col>7</xdr:col>
      <xdr:colOff>2500</xdr:colOff>
      <xdr:row>38</xdr:row>
      <xdr:rowOff>238124</xdr:rowOff>
    </xdr:to>
    <xdr:sp macro="" textlink="">
      <xdr:nvSpPr>
        <xdr:cNvPr id="44" name="Freeform 43"/>
        <xdr:cNvSpPr/>
      </xdr:nvSpPr>
      <xdr:spPr>
        <a:xfrm rot="10800000">
          <a:off x="2024061" y="10820399"/>
          <a:ext cx="1778914" cy="190500"/>
        </a:xfrm>
        <a:custGeom>
          <a:avLst/>
          <a:gdLst>
            <a:gd name="connsiteX0" fmla="*/ 0 w 629478"/>
            <a:gd name="connsiteY0" fmla="*/ 173935 h 173935"/>
            <a:gd name="connsiteX1" fmla="*/ 0 w 629478"/>
            <a:gd name="connsiteY1" fmla="*/ 0 h 173935"/>
            <a:gd name="connsiteX2" fmla="*/ 629478 w 629478"/>
            <a:gd name="connsiteY2" fmla="*/ 0 h 173935"/>
            <a:gd name="connsiteX3" fmla="*/ 629478 w 629478"/>
            <a:gd name="connsiteY3" fmla="*/ 165652 h 17393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629478" h="173935">
              <a:moveTo>
                <a:pt x="0" y="173935"/>
              </a:moveTo>
              <a:lnTo>
                <a:pt x="0" y="0"/>
              </a:lnTo>
              <a:lnTo>
                <a:pt x="629478" y="0"/>
              </a:lnTo>
              <a:lnTo>
                <a:pt x="629478" y="165652"/>
              </a:lnTo>
            </a:path>
          </a:pathLst>
        </a:cu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en-US"/>
        </a:p>
      </xdr:txBody>
    </xdr:sp>
    <xdr:clientData/>
  </xdr:twoCellAnchor>
  <xdr:twoCellAnchor>
    <xdr:from>
      <xdr:col>4</xdr:col>
      <xdr:colOff>11906</xdr:colOff>
      <xdr:row>39</xdr:row>
      <xdr:rowOff>47625</xdr:rowOff>
    </xdr:from>
    <xdr:to>
      <xdr:col>7</xdr:col>
      <xdr:colOff>21431</xdr:colOff>
      <xdr:row>39</xdr:row>
      <xdr:rowOff>276225</xdr:rowOff>
    </xdr:to>
    <xdr:sp macro="" textlink="">
      <xdr:nvSpPr>
        <xdr:cNvPr id="45" name="Freeform 44"/>
        <xdr:cNvSpPr/>
      </xdr:nvSpPr>
      <xdr:spPr>
        <a:xfrm>
          <a:off x="2069306" y="11115675"/>
          <a:ext cx="1752600" cy="228600"/>
        </a:xfrm>
        <a:custGeom>
          <a:avLst/>
          <a:gdLst>
            <a:gd name="connsiteX0" fmla="*/ 0 w 687456"/>
            <a:gd name="connsiteY0" fmla="*/ 190500 h 190500"/>
            <a:gd name="connsiteX1" fmla="*/ 0 w 687456"/>
            <a:gd name="connsiteY1" fmla="*/ 0 h 190500"/>
            <a:gd name="connsiteX2" fmla="*/ 687456 w 687456"/>
            <a:gd name="connsiteY2" fmla="*/ 0 h 1905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687456" h="190500">
              <a:moveTo>
                <a:pt x="0" y="190500"/>
              </a:moveTo>
              <a:lnTo>
                <a:pt x="0" y="0"/>
              </a:lnTo>
              <a:lnTo>
                <a:pt x="687456" y="0"/>
              </a:lnTo>
            </a:path>
          </a:pathLst>
        </a:cu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en-US"/>
        </a:p>
      </xdr:txBody>
    </xdr:sp>
    <xdr:clientData/>
  </xdr:twoCellAnchor>
  <xdr:twoCellAnchor>
    <xdr:from>
      <xdr:col>4</xdr:col>
      <xdr:colOff>0</xdr:colOff>
      <xdr:row>41</xdr:row>
      <xdr:rowOff>59531</xdr:rowOff>
    </xdr:from>
    <xdr:to>
      <xdr:col>7</xdr:col>
      <xdr:colOff>4763</xdr:colOff>
      <xdr:row>41</xdr:row>
      <xdr:rowOff>61119</xdr:rowOff>
    </xdr:to>
    <xdr:cxnSp macro="">
      <xdr:nvCxnSpPr>
        <xdr:cNvPr id="46" name="Straight Connector 45"/>
        <xdr:cNvCxnSpPr/>
      </xdr:nvCxnSpPr>
      <xdr:spPr>
        <a:xfrm>
          <a:off x="2057400" y="11718131"/>
          <a:ext cx="1747838" cy="1588"/>
        </a:xfrm>
        <a:prstGeom prst="line">
          <a:avLst/>
        </a:prstGeom>
        <a:ln w="28575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11906</xdr:colOff>
      <xdr:row>40</xdr:row>
      <xdr:rowOff>47625</xdr:rowOff>
    </xdr:from>
    <xdr:to>
      <xdr:col>7</xdr:col>
      <xdr:colOff>21431</xdr:colOff>
      <xdr:row>40</xdr:row>
      <xdr:rowOff>276225</xdr:rowOff>
    </xdr:to>
    <xdr:sp macro="" textlink="">
      <xdr:nvSpPr>
        <xdr:cNvPr id="47" name="Freeform 46"/>
        <xdr:cNvSpPr/>
      </xdr:nvSpPr>
      <xdr:spPr>
        <a:xfrm>
          <a:off x="2069306" y="11410950"/>
          <a:ext cx="1752600" cy="228600"/>
        </a:xfrm>
        <a:custGeom>
          <a:avLst/>
          <a:gdLst>
            <a:gd name="connsiteX0" fmla="*/ 0 w 687456"/>
            <a:gd name="connsiteY0" fmla="*/ 190500 h 190500"/>
            <a:gd name="connsiteX1" fmla="*/ 0 w 687456"/>
            <a:gd name="connsiteY1" fmla="*/ 0 h 190500"/>
            <a:gd name="connsiteX2" fmla="*/ 687456 w 687456"/>
            <a:gd name="connsiteY2" fmla="*/ 0 h 1905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687456" h="190500">
              <a:moveTo>
                <a:pt x="0" y="190500"/>
              </a:moveTo>
              <a:lnTo>
                <a:pt x="0" y="0"/>
              </a:lnTo>
              <a:lnTo>
                <a:pt x="687456" y="0"/>
              </a:lnTo>
            </a:path>
          </a:pathLst>
        </a:cu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en-US"/>
        </a:p>
      </xdr:txBody>
    </xdr:sp>
    <xdr:clientData/>
  </xdr:twoCellAnchor>
  <xdr:twoCellAnchor>
    <xdr:from>
      <xdr:col>4</xdr:col>
      <xdr:colOff>11907</xdr:colOff>
      <xdr:row>60</xdr:row>
      <xdr:rowOff>83344</xdr:rowOff>
    </xdr:from>
    <xdr:to>
      <xdr:col>7</xdr:col>
      <xdr:colOff>16670</xdr:colOff>
      <xdr:row>60</xdr:row>
      <xdr:rowOff>84932</xdr:rowOff>
    </xdr:to>
    <xdr:cxnSp macro="">
      <xdr:nvCxnSpPr>
        <xdr:cNvPr id="48" name="Straight Connector 47"/>
        <xdr:cNvCxnSpPr/>
      </xdr:nvCxnSpPr>
      <xdr:spPr>
        <a:xfrm>
          <a:off x="2069307" y="17352169"/>
          <a:ext cx="1747838" cy="1588"/>
        </a:xfrm>
        <a:prstGeom prst="line">
          <a:avLst/>
        </a:prstGeom>
        <a:ln w="28575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63</xdr:row>
      <xdr:rowOff>44718</xdr:rowOff>
    </xdr:from>
    <xdr:to>
      <xdr:col>7</xdr:col>
      <xdr:colOff>9525</xdr:colOff>
      <xdr:row>63</xdr:row>
      <xdr:rowOff>248470</xdr:rowOff>
    </xdr:to>
    <xdr:sp macro="" textlink="">
      <xdr:nvSpPr>
        <xdr:cNvPr id="49" name="Freeform 48"/>
        <xdr:cNvSpPr/>
      </xdr:nvSpPr>
      <xdr:spPr>
        <a:xfrm>
          <a:off x="2057400" y="18199368"/>
          <a:ext cx="1752600" cy="203752"/>
        </a:xfrm>
        <a:custGeom>
          <a:avLst/>
          <a:gdLst>
            <a:gd name="connsiteX0" fmla="*/ 0 w 687456"/>
            <a:gd name="connsiteY0" fmla="*/ 190500 h 190500"/>
            <a:gd name="connsiteX1" fmla="*/ 0 w 687456"/>
            <a:gd name="connsiteY1" fmla="*/ 0 h 190500"/>
            <a:gd name="connsiteX2" fmla="*/ 687456 w 687456"/>
            <a:gd name="connsiteY2" fmla="*/ 0 h 1905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687456" h="190500">
              <a:moveTo>
                <a:pt x="0" y="190500"/>
              </a:moveTo>
              <a:lnTo>
                <a:pt x="0" y="0"/>
              </a:lnTo>
              <a:lnTo>
                <a:pt x="687456" y="0"/>
              </a:lnTo>
            </a:path>
          </a:pathLst>
        </a:cu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en-US"/>
        </a:p>
      </xdr:txBody>
    </xdr:sp>
    <xdr:clientData/>
  </xdr:twoCellAnchor>
  <xdr:twoCellAnchor>
    <xdr:from>
      <xdr:col>4</xdr:col>
      <xdr:colOff>54239</xdr:colOff>
      <xdr:row>66</xdr:row>
      <xdr:rowOff>60854</xdr:rowOff>
    </xdr:from>
    <xdr:to>
      <xdr:col>7</xdr:col>
      <xdr:colOff>52315</xdr:colOff>
      <xdr:row>66</xdr:row>
      <xdr:rowOff>239343</xdr:rowOff>
    </xdr:to>
    <xdr:sp macro="" textlink="">
      <xdr:nvSpPr>
        <xdr:cNvPr id="50" name="Freeform 49"/>
        <xdr:cNvSpPr/>
      </xdr:nvSpPr>
      <xdr:spPr>
        <a:xfrm rot="10800000">
          <a:off x="2111639" y="19101329"/>
          <a:ext cx="1741151" cy="178489"/>
        </a:xfrm>
        <a:custGeom>
          <a:avLst/>
          <a:gdLst>
            <a:gd name="connsiteX0" fmla="*/ 0 w 629478"/>
            <a:gd name="connsiteY0" fmla="*/ 173935 h 173935"/>
            <a:gd name="connsiteX1" fmla="*/ 0 w 629478"/>
            <a:gd name="connsiteY1" fmla="*/ 0 h 173935"/>
            <a:gd name="connsiteX2" fmla="*/ 629478 w 629478"/>
            <a:gd name="connsiteY2" fmla="*/ 0 h 173935"/>
            <a:gd name="connsiteX3" fmla="*/ 629478 w 629478"/>
            <a:gd name="connsiteY3" fmla="*/ 165652 h 17393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629478" h="173935">
              <a:moveTo>
                <a:pt x="0" y="173935"/>
              </a:moveTo>
              <a:lnTo>
                <a:pt x="0" y="0"/>
              </a:lnTo>
              <a:lnTo>
                <a:pt x="629478" y="0"/>
              </a:lnTo>
              <a:lnTo>
                <a:pt x="629478" y="165652"/>
              </a:lnTo>
            </a:path>
          </a:pathLst>
        </a:cu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en-US"/>
        </a:p>
      </xdr:txBody>
    </xdr:sp>
    <xdr:clientData/>
  </xdr:twoCellAnchor>
  <xdr:twoCellAnchor>
    <xdr:from>
      <xdr:col>3</xdr:col>
      <xdr:colOff>250030</xdr:colOff>
      <xdr:row>69</xdr:row>
      <xdr:rowOff>250031</xdr:rowOff>
    </xdr:from>
    <xdr:to>
      <xdr:col>6</xdr:col>
      <xdr:colOff>326231</xdr:colOff>
      <xdr:row>69</xdr:row>
      <xdr:rowOff>251619</xdr:rowOff>
    </xdr:to>
    <xdr:cxnSp macro="">
      <xdr:nvCxnSpPr>
        <xdr:cNvPr id="51" name="Straight Connector 50"/>
        <xdr:cNvCxnSpPr/>
      </xdr:nvCxnSpPr>
      <xdr:spPr>
        <a:xfrm>
          <a:off x="2012155" y="20176331"/>
          <a:ext cx="1781176" cy="1588"/>
        </a:xfrm>
        <a:prstGeom prst="line">
          <a:avLst/>
        </a:prstGeom>
        <a:ln w="28575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73</xdr:row>
      <xdr:rowOff>261938</xdr:rowOff>
    </xdr:from>
    <xdr:to>
      <xdr:col>7</xdr:col>
      <xdr:colOff>4763</xdr:colOff>
      <xdr:row>73</xdr:row>
      <xdr:rowOff>263526</xdr:rowOff>
    </xdr:to>
    <xdr:cxnSp macro="">
      <xdr:nvCxnSpPr>
        <xdr:cNvPr id="52" name="Straight Connector 51"/>
        <xdr:cNvCxnSpPr/>
      </xdr:nvCxnSpPr>
      <xdr:spPr>
        <a:xfrm>
          <a:off x="2057400" y="21369338"/>
          <a:ext cx="1747838" cy="1588"/>
        </a:xfrm>
        <a:prstGeom prst="line">
          <a:avLst/>
        </a:prstGeom>
        <a:ln w="28575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74</xdr:row>
      <xdr:rowOff>250031</xdr:rowOff>
    </xdr:from>
    <xdr:to>
      <xdr:col>7</xdr:col>
      <xdr:colOff>4763</xdr:colOff>
      <xdr:row>74</xdr:row>
      <xdr:rowOff>251619</xdr:rowOff>
    </xdr:to>
    <xdr:cxnSp macro="">
      <xdr:nvCxnSpPr>
        <xdr:cNvPr id="53" name="Straight Connector 52"/>
        <xdr:cNvCxnSpPr/>
      </xdr:nvCxnSpPr>
      <xdr:spPr>
        <a:xfrm>
          <a:off x="2057400" y="21652706"/>
          <a:ext cx="1747838" cy="1588"/>
        </a:xfrm>
        <a:prstGeom prst="line">
          <a:avLst/>
        </a:prstGeom>
        <a:ln w="28575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35719</xdr:colOff>
      <xdr:row>78</xdr:row>
      <xdr:rowOff>38100</xdr:rowOff>
    </xdr:from>
    <xdr:to>
      <xdr:col>7</xdr:col>
      <xdr:colOff>45244</xdr:colOff>
      <xdr:row>78</xdr:row>
      <xdr:rowOff>266700</xdr:rowOff>
    </xdr:to>
    <xdr:sp macro="" textlink="">
      <xdr:nvSpPr>
        <xdr:cNvPr id="54" name="Freeform 53"/>
        <xdr:cNvSpPr/>
      </xdr:nvSpPr>
      <xdr:spPr>
        <a:xfrm>
          <a:off x="2093119" y="22621875"/>
          <a:ext cx="1752600" cy="228600"/>
        </a:xfrm>
        <a:custGeom>
          <a:avLst/>
          <a:gdLst>
            <a:gd name="connsiteX0" fmla="*/ 0 w 687456"/>
            <a:gd name="connsiteY0" fmla="*/ 190500 h 190500"/>
            <a:gd name="connsiteX1" fmla="*/ 0 w 687456"/>
            <a:gd name="connsiteY1" fmla="*/ 0 h 190500"/>
            <a:gd name="connsiteX2" fmla="*/ 687456 w 687456"/>
            <a:gd name="connsiteY2" fmla="*/ 0 h 1905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687456" h="190500">
              <a:moveTo>
                <a:pt x="0" y="190500"/>
              </a:moveTo>
              <a:lnTo>
                <a:pt x="0" y="0"/>
              </a:lnTo>
              <a:lnTo>
                <a:pt x="687456" y="0"/>
              </a:lnTo>
            </a:path>
          </a:pathLst>
        </a:cu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en-US"/>
        </a:p>
      </xdr:txBody>
    </xdr:sp>
    <xdr:clientData/>
  </xdr:twoCellAnchor>
  <xdr:twoCellAnchor>
    <xdr:from>
      <xdr:col>4</xdr:col>
      <xdr:colOff>9524</xdr:colOff>
      <xdr:row>83</xdr:row>
      <xdr:rowOff>42861</xdr:rowOff>
    </xdr:from>
    <xdr:to>
      <xdr:col>7</xdr:col>
      <xdr:colOff>7600</xdr:colOff>
      <xdr:row>83</xdr:row>
      <xdr:rowOff>221350</xdr:rowOff>
    </xdr:to>
    <xdr:sp macro="" textlink="">
      <xdr:nvSpPr>
        <xdr:cNvPr id="55" name="Freeform 54"/>
        <xdr:cNvSpPr/>
      </xdr:nvSpPr>
      <xdr:spPr>
        <a:xfrm rot="10800000">
          <a:off x="2066924" y="24103011"/>
          <a:ext cx="1741151" cy="178489"/>
        </a:xfrm>
        <a:custGeom>
          <a:avLst/>
          <a:gdLst>
            <a:gd name="connsiteX0" fmla="*/ 0 w 629478"/>
            <a:gd name="connsiteY0" fmla="*/ 173935 h 173935"/>
            <a:gd name="connsiteX1" fmla="*/ 0 w 629478"/>
            <a:gd name="connsiteY1" fmla="*/ 0 h 173935"/>
            <a:gd name="connsiteX2" fmla="*/ 629478 w 629478"/>
            <a:gd name="connsiteY2" fmla="*/ 0 h 173935"/>
            <a:gd name="connsiteX3" fmla="*/ 629478 w 629478"/>
            <a:gd name="connsiteY3" fmla="*/ 165652 h 17393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629478" h="173935">
              <a:moveTo>
                <a:pt x="0" y="173935"/>
              </a:moveTo>
              <a:lnTo>
                <a:pt x="0" y="0"/>
              </a:lnTo>
              <a:lnTo>
                <a:pt x="629478" y="0"/>
              </a:lnTo>
              <a:lnTo>
                <a:pt x="629478" y="165652"/>
              </a:lnTo>
            </a:path>
          </a:pathLst>
        </a:cu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en-US"/>
        </a:p>
      </xdr:txBody>
    </xdr:sp>
    <xdr:clientData/>
  </xdr:twoCellAnchor>
  <xdr:twoCellAnchor>
    <xdr:from>
      <xdr:col>4</xdr:col>
      <xdr:colOff>9525</xdr:colOff>
      <xdr:row>82</xdr:row>
      <xdr:rowOff>47626</xdr:rowOff>
    </xdr:from>
    <xdr:to>
      <xdr:col>7</xdr:col>
      <xdr:colOff>12026</xdr:colOff>
      <xdr:row>82</xdr:row>
      <xdr:rowOff>238126</xdr:rowOff>
    </xdr:to>
    <xdr:sp macro="" textlink="">
      <xdr:nvSpPr>
        <xdr:cNvPr id="56" name="Freeform 55"/>
        <xdr:cNvSpPr/>
      </xdr:nvSpPr>
      <xdr:spPr>
        <a:xfrm>
          <a:off x="2066925" y="23812501"/>
          <a:ext cx="1745576" cy="190500"/>
        </a:xfrm>
        <a:custGeom>
          <a:avLst/>
          <a:gdLst>
            <a:gd name="connsiteX0" fmla="*/ 0 w 629478"/>
            <a:gd name="connsiteY0" fmla="*/ 173935 h 173935"/>
            <a:gd name="connsiteX1" fmla="*/ 0 w 629478"/>
            <a:gd name="connsiteY1" fmla="*/ 0 h 173935"/>
            <a:gd name="connsiteX2" fmla="*/ 629478 w 629478"/>
            <a:gd name="connsiteY2" fmla="*/ 0 h 173935"/>
            <a:gd name="connsiteX3" fmla="*/ 629478 w 629478"/>
            <a:gd name="connsiteY3" fmla="*/ 165652 h 17393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629478" h="173935">
              <a:moveTo>
                <a:pt x="0" y="173935"/>
              </a:moveTo>
              <a:lnTo>
                <a:pt x="0" y="0"/>
              </a:lnTo>
              <a:lnTo>
                <a:pt x="629478" y="0"/>
              </a:lnTo>
              <a:lnTo>
                <a:pt x="629478" y="165652"/>
              </a:lnTo>
            </a:path>
          </a:pathLst>
        </a:cu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en-US"/>
        </a:p>
      </xdr:txBody>
    </xdr:sp>
    <xdr:clientData/>
  </xdr:twoCellAnchor>
  <xdr:twoCellAnchor>
    <xdr:from>
      <xdr:col>5</xdr:col>
      <xdr:colOff>0</xdr:colOff>
      <xdr:row>84</xdr:row>
      <xdr:rowOff>28575</xdr:rowOff>
    </xdr:from>
    <xdr:to>
      <xdr:col>6</xdr:col>
      <xdr:colOff>0</xdr:colOff>
      <xdr:row>84</xdr:row>
      <xdr:rowOff>276225</xdr:rowOff>
    </xdr:to>
    <xdr:sp macro="" textlink="">
      <xdr:nvSpPr>
        <xdr:cNvPr id="57" name="Freeform 56"/>
        <xdr:cNvSpPr/>
      </xdr:nvSpPr>
      <xdr:spPr>
        <a:xfrm>
          <a:off x="2447925" y="24384000"/>
          <a:ext cx="1019175" cy="247650"/>
        </a:xfrm>
        <a:custGeom>
          <a:avLst/>
          <a:gdLst>
            <a:gd name="connsiteX0" fmla="*/ 638175 w 714375"/>
            <a:gd name="connsiteY0" fmla="*/ 152400 h 400050"/>
            <a:gd name="connsiteX1" fmla="*/ 695325 w 714375"/>
            <a:gd name="connsiteY1" fmla="*/ 228600 h 400050"/>
            <a:gd name="connsiteX2" fmla="*/ 695325 w 714375"/>
            <a:gd name="connsiteY2" fmla="*/ 28575 h 400050"/>
            <a:gd name="connsiteX3" fmla="*/ 0 w 714375"/>
            <a:gd name="connsiteY3" fmla="*/ 28575 h 400050"/>
            <a:gd name="connsiteX4" fmla="*/ 0 w 714375"/>
            <a:gd name="connsiteY4" fmla="*/ 400050 h 400050"/>
            <a:gd name="connsiteX5" fmla="*/ 714375 w 714375"/>
            <a:gd name="connsiteY5" fmla="*/ 400050 h 400050"/>
            <a:gd name="connsiteX6" fmla="*/ 714375 w 714375"/>
            <a:gd name="connsiteY6" fmla="*/ 0 h 400050"/>
            <a:gd name="connsiteX7" fmla="*/ 533400 w 714375"/>
            <a:gd name="connsiteY7" fmla="*/ 0 h 400050"/>
            <a:gd name="connsiteX8" fmla="*/ 628650 w 714375"/>
            <a:gd name="connsiteY8" fmla="*/ 76200 h 400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714375" h="400050">
              <a:moveTo>
                <a:pt x="638175" y="152400"/>
              </a:moveTo>
              <a:lnTo>
                <a:pt x="695325" y="228600"/>
              </a:lnTo>
              <a:lnTo>
                <a:pt x="695325" y="28575"/>
              </a:lnTo>
              <a:lnTo>
                <a:pt x="0" y="28575"/>
              </a:lnTo>
              <a:lnTo>
                <a:pt x="0" y="400050"/>
              </a:lnTo>
              <a:lnTo>
                <a:pt x="714375" y="400050"/>
              </a:lnTo>
              <a:lnTo>
                <a:pt x="714375" y="0"/>
              </a:lnTo>
              <a:lnTo>
                <a:pt x="533400" y="0"/>
              </a:lnTo>
              <a:lnTo>
                <a:pt x="628650" y="76200"/>
              </a:lnTo>
            </a:path>
          </a:pathLst>
        </a:cu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en-US"/>
        </a:p>
      </xdr:txBody>
    </xdr:sp>
    <xdr:clientData/>
  </xdr:twoCellAnchor>
  <xdr:twoCellAnchor>
    <xdr:from>
      <xdr:col>5</xdr:col>
      <xdr:colOff>11906</xdr:colOff>
      <xdr:row>89</xdr:row>
      <xdr:rowOff>47625</xdr:rowOff>
    </xdr:from>
    <xdr:to>
      <xdr:col>6</xdr:col>
      <xdr:colOff>6728</xdr:colOff>
      <xdr:row>89</xdr:row>
      <xdr:rowOff>163581</xdr:rowOff>
    </xdr:to>
    <xdr:sp macro="" textlink="">
      <xdr:nvSpPr>
        <xdr:cNvPr id="58" name="Freeform 57"/>
        <xdr:cNvSpPr/>
      </xdr:nvSpPr>
      <xdr:spPr>
        <a:xfrm rot="10800000" flipV="1">
          <a:off x="2459831" y="25669875"/>
          <a:ext cx="1013997" cy="115956"/>
        </a:xfrm>
        <a:custGeom>
          <a:avLst/>
          <a:gdLst>
            <a:gd name="connsiteX0" fmla="*/ 0 w 629478"/>
            <a:gd name="connsiteY0" fmla="*/ 173935 h 173935"/>
            <a:gd name="connsiteX1" fmla="*/ 0 w 629478"/>
            <a:gd name="connsiteY1" fmla="*/ 0 h 173935"/>
            <a:gd name="connsiteX2" fmla="*/ 629478 w 629478"/>
            <a:gd name="connsiteY2" fmla="*/ 0 h 173935"/>
            <a:gd name="connsiteX3" fmla="*/ 629478 w 629478"/>
            <a:gd name="connsiteY3" fmla="*/ 165652 h 17393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629478" h="173935">
              <a:moveTo>
                <a:pt x="0" y="173935"/>
              </a:moveTo>
              <a:lnTo>
                <a:pt x="0" y="0"/>
              </a:lnTo>
              <a:lnTo>
                <a:pt x="629478" y="0"/>
              </a:lnTo>
              <a:lnTo>
                <a:pt x="629478" y="165652"/>
              </a:lnTo>
            </a:path>
          </a:pathLst>
        </a:cu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en-US"/>
        </a:p>
      </xdr:txBody>
    </xdr:sp>
    <xdr:clientData/>
  </xdr:twoCellAnchor>
  <xdr:twoCellAnchor>
    <xdr:from>
      <xdr:col>5</xdr:col>
      <xdr:colOff>11906</xdr:colOff>
      <xdr:row>92</xdr:row>
      <xdr:rowOff>35719</xdr:rowOff>
    </xdr:from>
    <xdr:to>
      <xdr:col>6</xdr:col>
      <xdr:colOff>6728</xdr:colOff>
      <xdr:row>92</xdr:row>
      <xdr:rowOff>151675</xdr:rowOff>
    </xdr:to>
    <xdr:sp macro="" textlink="">
      <xdr:nvSpPr>
        <xdr:cNvPr id="59" name="Freeform 58"/>
        <xdr:cNvSpPr/>
      </xdr:nvSpPr>
      <xdr:spPr>
        <a:xfrm rot="10800000" flipV="1">
          <a:off x="2459831" y="26543794"/>
          <a:ext cx="1013997" cy="115956"/>
        </a:xfrm>
        <a:custGeom>
          <a:avLst/>
          <a:gdLst>
            <a:gd name="connsiteX0" fmla="*/ 0 w 629478"/>
            <a:gd name="connsiteY0" fmla="*/ 173935 h 173935"/>
            <a:gd name="connsiteX1" fmla="*/ 0 w 629478"/>
            <a:gd name="connsiteY1" fmla="*/ 0 h 173935"/>
            <a:gd name="connsiteX2" fmla="*/ 629478 w 629478"/>
            <a:gd name="connsiteY2" fmla="*/ 0 h 173935"/>
            <a:gd name="connsiteX3" fmla="*/ 629478 w 629478"/>
            <a:gd name="connsiteY3" fmla="*/ 165652 h 17393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629478" h="173935">
              <a:moveTo>
                <a:pt x="0" y="173935"/>
              </a:moveTo>
              <a:lnTo>
                <a:pt x="0" y="0"/>
              </a:lnTo>
              <a:lnTo>
                <a:pt x="629478" y="0"/>
              </a:lnTo>
              <a:lnTo>
                <a:pt x="629478" y="165652"/>
              </a:lnTo>
            </a:path>
          </a:pathLst>
        </a:cu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en-US"/>
        </a:p>
      </xdr:txBody>
    </xdr:sp>
    <xdr:clientData/>
  </xdr:twoCellAnchor>
  <xdr:twoCellAnchor>
    <xdr:from>
      <xdr:col>4</xdr:col>
      <xdr:colOff>11906</xdr:colOff>
      <xdr:row>98</xdr:row>
      <xdr:rowOff>226219</xdr:rowOff>
    </xdr:from>
    <xdr:to>
      <xdr:col>7</xdr:col>
      <xdr:colOff>3623</xdr:colOff>
      <xdr:row>98</xdr:row>
      <xdr:rowOff>271938</xdr:rowOff>
    </xdr:to>
    <xdr:sp macro="" textlink="">
      <xdr:nvSpPr>
        <xdr:cNvPr id="60" name="Freeform 59"/>
        <xdr:cNvSpPr/>
      </xdr:nvSpPr>
      <xdr:spPr>
        <a:xfrm>
          <a:off x="2069306" y="28505944"/>
          <a:ext cx="1734792" cy="45719"/>
        </a:xfrm>
        <a:custGeom>
          <a:avLst/>
          <a:gdLst>
            <a:gd name="connsiteX0" fmla="*/ 123825 w 962025"/>
            <a:gd name="connsiteY0" fmla="*/ 0 h 180975"/>
            <a:gd name="connsiteX1" fmla="*/ 0 w 962025"/>
            <a:gd name="connsiteY1" fmla="*/ 0 h 180975"/>
            <a:gd name="connsiteX2" fmla="*/ 0 w 962025"/>
            <a:gd name="connsiteY2" fmla="*/ 180975 h 180975"/>
            <a:gd name="connsiteX3" fmla="*/ 962025 w 962025"/>
            <a:gd name="connsiteY3" fmla="*/ 180975 h 180975"/>
            <a:gd name="connsiteX4" fmla="*/ 962025 w 962025"/>
            <a:gd name="connsiteY4" fmla="*/ 0 h 180975"/>
            <a:gd name="connsiteX5" fmla="*/ 857250 w 962025"/>
            <a:gd name="connsiteY5" fmla="*/ 0 h 180975"/>
            <a:gd name="connsiteX6" fmla="*/ 885825 w 962025"/>
            <a:gd name="connsiteY6" fmla="*/ 0 h 1809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962025" h="180975">
              <a:moveTo>
                <a:pt x="123825" y="0"/>
              </a:moveTo>
              <a:lnTo>
                <a:pt x="0" y="0"/>
              </a:lnTo>
              <a:lnTo>
                <a:pt x="0" y="180975"/>
              </a:lnTo>
              <a:lnTo>
                <a:pt x="962025" y="180975"/>
              </a:lnTo>
              <a:lnTo>
                <a:pt x="962025" y="0"/>
              </a:lnTo>
              <a:lnTo>
                <a:pt x="857250" y="0"/>
              </a:lnTo>
              <a:lnTo>
                <a:pt x="885825" y="0"/>
              </a:lnTo>
            </a:path>
          </a:pathLst>
        </a:custGeom>
        <a:ln w="1905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en-US"/>
        </a:p>
      </xdr:txBody>
    </xdr:sp>
    <xdr:clientData/>
  </xdr:twoCellAnchor>
  <xdr:twoCellAnchor>
    <xdr:from>
      <xdr:col>4</xdr:col>
      <xdr:colOff>11907</xdr:colOff>
      <xdr:row>100</xdr:row>
      <xdr:rowOff>202406</xdr:rowOff>
    </xdr:from>
    <xdr:to>
      <xdr:col>7</xdr:col>
      <xdr:colOff>3624</xdr:colOff>
      <xdr:row>100</xdr:row>
      <xdr:rowOff>248125</xdr:rowOff>
    </xdr:to>
    <xdr:sp macro="" textlink="">
      <xdr:nvSpPr>
        <xdr:cNvPr id="61" name="Freeform 60"/>
        <xdr:cNvSpPr/>
      </xdr:nvSpPr>
      <xdr:spPr>
        <a:xfrm>
          <a:off x="2069307" y="29072681"/>
          <a:ext cx="1734792" cy="45719"/>
        </a:xfrm>
        <a:custGeom>
          <a:avLst/>
          <a:gdLst>
            <a:gd name="connsiteX0" fmla="*/ 123825 w 962025"/>
            <a:gd name="connsiteY0" fmla="*/ 0 h 180975"/>
            <a:gd name="connsiteX1" fmla="*/ 0 w 962025"/>
            <a:gd name="connsiteY1" fmla="*/ 0 h 180975"/>
            <a:gd name="connsiteX2" fmla="*/ 0 w 962025"/>
            <a:gd name="connsiteY2" fmla="*/ 180975 h 180975"/>
            <a:gd name="connsiteX3" fmla="*/ 962025 w 962025"/>
            <a:gd name="connsiteY3" fmla="*/ 180975 h 180975"/>
            <a:gd name="connsiteX4" fmla="*/ 962025 w 962025"/>
            <a:gd name="connsiteY4" fmla="*/ 0 h 180975"/>
            <a:gd name="connsiteX5" fmla="*/ 857250 w 962025"/>
            <a:gd name="connsiteY5" fmla="*/ 0 h 180975"/>
            <a:gd name="connsiteX6" fmla="*/ 885825 w 962025"/>
            <a:gd name="connsiteY6" fmla="*/ 0 h 1809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962025" h="180975">
              <a:moveTo>
                <a:pt x="123825" y="0"/>
              </a:moveTo>
              <a:lnTo>
                <a:pt x="0" y="0"/>
              </a:lnTo>
              <a:lnTo>
                <a:pt x="0" y="180975"/>
              </a:lnTo>
              <a:lnTo>
                <a:pt x="962025" y="180975"/>
              </a:lnTo>
              <a:lnTo>
                <a:pt x="962025" y="0"/>
              </a:lnTo>
              <a:lnTo>
                <a:pt x="857250" y="0"/>
              </a:lnTo>
              <a:lnTo>
                <a:pt x="885825" y="0"/>
              </a:lnTo>
            </a:path>
          </a:pathLst>
        </a:custGeom>
        <a:ln w="1905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en-US"/>
        </a:p>
      </xdr:txBody>
    </xdr:sp>
    <xdr:clientData/>
  </xdr:twoCellAnchor>
  <xdr:twoCellAnchor>
    <xdr:from>
      <xdr:col>4</xdr:col>
      <xdr:colOff>0</xdr:colOff>
      <xdr:row>90</xdr:row>
      <xdr:rowOff>243416</xdr:rowOff>
    </xdr:from>
    <xdr:to>
      <xdr:col>7</xdr:col>
      <xdr:colOff>4763</xdr:colOff>
      <xdr:row>90</xdr:row>
      <xdr:rowOff>245004</xdr:rowOff>
    </xdr:to>
    <xdr:cxnSp macro="">
      <xdr:nvCxnSpPr>
        <xdr:cNvPr id="62" name="Straight Connector 61"/>
        <xdr:cNvCxnSpPr/>
      </xdr:nvCxnSpPr>
      <xdr:spPr>
        <a:xfrm>
          <a:off x="2057400" y="26160941"/>
          <a:ext cx="1747838" cy="1588"/>
        </a:xfrm>
        <a:prstGeom prst="line">
          <a:avLst/>
        </a:prstGeom>
        <a:ln w="28575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93</xdr:row>
      <xdr:rowOff>243416</xdr:rowOff>
    </xdr:from>
    <xdr:to>
      <xdr:col>7</xdr:col>
      <xdr:colOff>4763</xdr:colOff>
      <xdr:row>93</xdr:row>
      <xdr:rowOff>245004</xdr:rowOff>
    </xdr:to>
    <xdr:cxnSp macro="">
      <xdr:nvCxnSpPr>
        <xdr:cNvPr id="63" name="Straight Connector 62"/>
        <xdr:cNvCxnSpPr/>
      </xdr:nvCxnSpPr>
      <xdr:spPr>
        <a:xfrm>
          <a:off x="2057400" y="27046766"/>
          <a:ext cx="1747838" cy="1588"/>
        </a:xfrm>
        <a:prstGeom prst="line">
          <a:avLst/>
        </a:prstGeom>
        <a:ln w="28575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96</xdr:row>
      <xdr:rowOff>243416</xdr:rowOff>
    </xdr:from>
    <xdr:to>
      <xdr:col>7</xdr:col>
      <xdr:colOff>4763</xdr:colOff>
      <xdr:row>96</xdr:row>
      <xdr:rowOff>245004</xdr:rowOff>
    </xdr:to>
    <xdr:cxnSp macro="">
      <xdr:nvCxnSpPr>
        <xdr:cNvPr id="64" name="Straight Connector 63"/>
        <xdr:cNvCxnSpPr/>
      </xdr:nvCxnSpPr>
      <xdr:spPr>
        <a:xfrm>
          <a:off x="2057400" y="27932591"/>
          <a:ext cx="1747838" cy="1588"/>
        </a:xfrm>
        <a:prstGeom prst="line">
          <a:avLst/>
        </a:prstGeom>
        <a:ln w="28575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91</xdr:row>
      <xdr:rowOff>243416</xdr:rowOff>
    </xdr:from>
    <xdr:to>
      <xdr:col>7</xdr:col>
      <xdr:colOff>4763</xdr:colOff>
      <xdr:row>91</xdr:row>
      <xdr:rowOff>245004</xdr:rowOff>
    </xdr:to>
    <xdr:cxnSp macro="">
      <xdr:nvCxnSpPr>
        <xdr:cNvPr id="65" name="Straight Connector 64"/>
        <xdr:cNvCxnSpPr/>
      </xdr:nvCxnSpPr>
      <xdr:spPr>
        <a:xfrm>
          <a:off x="2057400" y="26456216"/>
          <a:ext cx="1747838" cy="1588"/>
        </a:xfrm>
        <a:prstGeom prst="line">
          <a:avLst/>
        </a:prstGeom>
        <a:ln w="28575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94</xdr:row>
      <xdr:rowOff>243416</xdr:rowOff>
    </xdr:from>
    <xdr:to>
      <xdr:col>7</xdr:col>
      <xdr:colOff>4763</xdr:colOff>
      <xdr:row>94</xdr:row>
      <xdr:rowOff>245004</xdr:rowOff>
    </xdr:to>
    <xdr:cxnSp macro="">
      <xdr:nvCxnSpPr>
        <xdr:cNvPr id="66" name="Straight Connector 65"/>
        <xdr:cNvCxnSpPr/>
      </xdr:nvCxnSpPr>
      <xdr:spPr>
        <a:xfrm>
          <a:off x="2057400" y="27342041"/>
          <a:ext cx="1747838" cy="1588"/>
        </a:xfrm>
        <a:prstGeom prst="line">
          <a:avLst/>
        </a:prstGeom>
        <a:ln w="28575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10583</xdr:colOff>
      <xdr:row>10</xdr:row>
      <xdr:rowOff>31750</xdr:rowOff>
    </xdr:from>
    <xdr:to>
      <xdr:col>6</xdr:col>
      <xdr:colOff>13343</xdr:colOff>
      <xdr:row>10</xdr:row>
      <xdr:rowOff>265319</xdr:rowOff>
    </xdr:to>
    <xdr:sp macro="" textlink="">
      <xdr:nvSpPr>
        <xdr:cNvPr id="67" name="Freeform 66"/>
        <xdr:cNvSpPr/>
      </xdr:nvSpPr>
      <xdr:spPr>
        <a:xfrm>
          <a:off x="2458508" y="2955925"/>
          <a:ext cx="1021935" cy="233569"/>
        </a:xfrm>
        <a:custGeom>
          <a:avLst/>
          <a:gdLst>
            <a:gd name="connsiteX0" fmla="*/ 638175 w 714375"/>
            <a:gd name="connsiteY0" fmla="*/ 152400 h 400050"/>
            <a:gd name="connsiteX1" fmla="*/ 695325 w 714375"/>
            <a:gd name="connsiteY1" fmla="*/ 228600 h 400050"/>
            <a:gd name="connsiteX2" fmla="*/ 695325 w 714375"/>
            <a:gd name="connsiteY2" fmla="*/ 28575 h 400050"/>
            <a:gd name="connsiteX3" fmla="*/ 0 w 714375"/>
            <a:gd name="connsiteY3" fmla="*/ 28575 h 400050"/>
            <a:gd name="connsiteX4" fmla="*/ 0 w 714375"/>
            <a:gd name="connsiteY4" fmla="*/ 400050 h 400050"/>
            <a:gd name="connsiteX5" fmla="*/ 714375 w 714375"/>
            <a:gd name="connsiteY5" fmla="*/ 400050 h 400050"/>
            <a:gd name="connsiteX6" fmla="*/ 714375 w 714375"/>
            <a:gd name="connsiteY6" fmla="*/ 0 h 400050"/>
            <a:gd name="connsiteX7" fmla="*/ 533400 w 714375"/>
            <a:gd name="connsiteY7" fmla="*/ 0 h 400050"/>
            <a:gd name="connsiteX8" fmla="*/ 628650 w 714375"/>
            <a:gd name="connsiteY8" fmla="*/ 76200 h 400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714375" h="400050">
              <a:moveTo>
                <a:pt x="638175" y="152400"/>
              </a:moveTo>
              <a:lnTo>
                <a:pt x="695325" y="228600"/>
              </a:lnTo>
              <a:lnTo>
                <a:pt x="695325" y="28575"/>
              </a:lnTo>
              <a:lnTo>
                <a:pt x="0" y="28575"/>
              </a:lnTo>
              <a:lnTo>
                <a:pt x="0" y="400050"/>
              </a:lnTo>
              <a:lnTo>
                <a:pt x="714375" y="400050"/>
              </a:lnTo>
              <a:lnTo>
                <a:pt x="714375" y="0"/>
              </a:lnTo>
              <a:lnTo>
                <a:pt x="533400" y="0"/>
              </a:lnTo>
              <a:lnTo>
                <a:pt x="628650" y="76200"/>
              </a:lnTo>
            </a:path>
          </a:pathLst>
        </a:cu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en-US"/>
        </a:p>
      </xdr:txBody>
    </xdr:sp>
    <xdr:clientData/>
  </xdr:twoCellAnchor>
  <xdr:twoCellAnchor>
    <xdr:from>
      <xdr:col>4</xdr:col>
      <xdr:colOff>0</xdr:colOff>
      <xdr:row>8</xdr:row>
      <xdr:rowOff>243417</xdr:rowOff>
    </xdr:from>
    <xdr:to>
      <xdr:col>7</xdr:col>
      <xdr:colOff>4763</xdr:colOff>
      <xdr:row>8</xdr:row>
      <xdr:rowOff>245005</xdr:rowOff>
    </xdr:to>
    <xdr:cxnSp macro="">
      <xdr:nvCxnSpPr>
        <xdr:cNvPr id="68" name="Straight Connector 67"/>
        <xdr:cNvCxnSpPr/>
      </xdr:nvCxnSpPr>
      <xdr:spPr>
        <a:xfrm>
          <a:off x="2057400" y="2577042"/>
          <a:ext cx="1747838" cy="1588"/>
        </a:xfrm>
        <a:prstGeom prst="line">
          <a:avLst/>
        </a:prstGeom>
        <a:ln w="28575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</xdr:colOff>
      <xdr:row>9</xdr:row>
      <xdr:rowOff>63499</xdr:rowOff>
    </xdr:from>
    <xdr:to>
      <xdr:col>7</xdr:col>
      <xdr:colOff>9526</xdr:colOff>
      <xdr:row>9</xdr:row>
      <xdr:rowOff>292099</xdr:rowOff>
    </xdr:to>
    <xdr:sp macro="" textlink="">
      <xdr:nvSpPr>
        <xdr:cNvPr id="69" name="Freeform 68"/>
        <xdr:cNvSpPr/>
      </xdr:nvSpPr>
      <xdr:spPr>
        <a:xfrm>
          <a:off x="2057401" y="2692399"/>
          <a:ext cx="1752600" cy="228600"/>
        </a:xfrm>
        <a:custGeom>
          <a:avLst/>
          <a:gdLst>
            <a:gd name="connsiteX0" fmla="*/ 0 w 687456"/>
            <a:gd name="connsiteY0" fmla="*/ 190500 h 190500"/>
            <a:gd name="connsiteX1" fmla="*/ 0 w 687456"/>
            <a:gd name="connsiteY1" fmla="*/ 0 h 190500"/>
            <a:gd name="connsiteX2" fmla="*/ 687456 w 687456"/>
            <a:gd name="connsiteY2" fmla="*/ 0 h 1905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687456" h="190500">
              <a:moveTo>
                <a:pt x="0" y="190500"/>
              </a:moveTo>
              <a:lnTo>
                <a:pt x="0" y="0"/>
              </a:lnTo>
              <a:lnTo>
                <a:pt x="687456" y="0"/>
              </a:lnTo>
            </a:path>
          </a:pathLst>
        </a:cu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en-US"/>
        </a:p>
      </xdr:txBody>
    </xdr:sp>
    <xdr:clientData/>
  </xdr:twoCellAnchor>
  <xdr:twoCellAnchor>
    <xdr:from>
      <xdr:col>4</xdr:col>
      <xdr:colOff>1</xdr:colOff>
      <xdr:row>14</xdr:row>
      <xdr:rowOff>63500</xdr:rowOff>
    </xdr:from>
    <xdr:to>
      <xdr:col>7</xdr:col>
      <xdr:colOff>9526</xdr:colOff>
      <xdr:row>14</xdr:row>
      <xdr:rowOff>292100</xdr:rowOff>
    </xdr:to>
    <xdr:sp macro="" textlink="">
      <xdr:nvSpPr>
        <xdr:cNvPr id="70" name="Freeform 69"/>
        <xdr:cNvSpPr/>
      </xdr:nvSpPr>
      <xdr:spPr>
        <a:xfrm>
          <a:off x="2057401" y="4168775"/>
          <a:ext cx="1752600" cy="228600"/>
        </a:xfrm>
        <a:custGeom>
          <a:avLst/>
          <a:gdLst>
            <a:gd name="connsiteX0" fmla="*/ 0 w 687456"/>
            <a:gd name="connsiteY0" fmla="*/ 190500 h 190500"/>
            <a:gd name="connsiteX1" fmla="*/ 0 w 687456"/>
            <a:gd name="connsiteY1" fmla="*/ 0 h 190500"/>
            <a:gd name="connsiteX2" fmla="*/ 687456 w 687456"/>
            <a:gd name="connsiteY2" fmla="*/ 0 h 1905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687456" h="190500">
              <a:moveTo>
                <a:pt x="0" y="190500"/>
              </a:moveTo>
              <a:lnTo>
                <a:pt x="0" y="0"/>
              </a:lnTo>
              <a:lnTo>
                <a:pt x="687456" y="0"/>
              </a:lnTo>
            </a:path>
          </a:pathLst>
        </a:cu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en-US"/>
        </a:p>
      </xdr:txBody>
    </xdr:sp>
    <xdr:clientData/>
  </xdr:twoCellAnchor>
  <xdr:twoCellAnchor>
    <xdr:from>
      <xdr:col>4</xdr:col>
      <xdr:colOff>9525</xdr:colOff>
      <xdr:row>45</xdr:row>
      <xdr:rowOff>47626</xdr:rowOff>
    </xdr:from>
    <xdr:to>
      <xdr:col>7</xdr:col>
      <xdr:colOff>12026</xdr:colOff>
      <xdr:row>45</xdr:row>
      <xdr:rowOff>238126</xdr:rowOff>
    </xdr:to>
    <xdr:sp macro="" textlink="">
      <xdr:nvSpPr>
        <xdr:cNvPr id="71" name="Freeform 70"/>
        <xdr:cNvSpPr/>
      </xdr:nvSpPr>
      <xdr:spPr>
        <a:xfrm>
          <a:off x="2066925" y="12887326"/>
          <a:ext cx="1745576" cy="190500"/>
        </a:xfrm>
        <a:custGeom>
          <a:avLst/>
          <a:gdLst>
            <a:gd name="connsiteX0" fmla="*/ 0 w 629478"/>
            <a:gd name="connsiteY0" fmla="*/ 173935 h 173935"/>
            <a:gd name="connsiteX1" fmla="*/ 0 w 629478"/>
            <a:gd name="connsiteY1" fmla="*/ 0 h 173935"/>
            <a:gd name="connsiteX2" fmla="*/ 629478 w 629478"/>
            <a:gd name="connsiteY2" fmla="*/ 0 h 173935"/>
            <a:gd name="connsiteX3" fmla="*/ 629478 w 629478"/>
            <a:gd name="connsiteY3" fmla="*/ 165652 h 17393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629478" h="173935">
              <a:moveTo>
                <a:pt x="0" y="173935"/>
              </a:moveTo>
              <a:lnTo>
                <a:pt x="0" y="0"/>
              </a:lnTo>
              <a:lnTo>
                <a:pt x="629478" y="0"/>
              </a:lnTo>
              <a:lnTo>
                <a:pt x="629478" y="165652"/>
              </a:lnTo>
            </a:path>
          </a:pathLst>
        </a:cu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en-US"/>
        </a:p>
      </xdr:txBody>
    </xdr:sp>
    <xdr:clientData/>
  </xdr:twoCellAnchor>
  <xdr:twoCellAnchor>
    <xdr:from>
      <xdr:col>4</xdr:col>
      <xdr:colOff>0</xdr:colOff>
      <xdr:row>50</xdr:row>
      <xdr:rowOff>246408</xdr:rowOff>
    </xdr:from>
    <xdr:to>
      <xdr:col>7</xdr:col>
      <xdr:colOff>4763</xdr:colOff>
      <xdr:row>50</xdr:row>
      <xdr:rowOff>247996</xdr:rowOff>
    </xdr:to>
    <xdr:cxnSp macro="">
      <xdr:nvCxnSpPr>
        <xdr:cNvPr id="72" name="Straight Connector 71"/>
        <xdr:cNvCxnSpPr/>
      </xdr:nvCxnSpPr>
      <xdr:spPr>
        <a:xfrm>
          <a:off x="2057400" y="14562483"/>
          <a:ext cx="1747838" cy="1588"/>
        </a:xfrm>
        <a:prstGeom prst="line">
          <a:avLst/>
        </a:prstGeom>
        <a:ln w="28575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57</xdr:row>
      <xdr:rowOff>28575</xdr:rowOff>
    </xdr:from>
    <xdr:to>
      <xdr:col>6</xdr:col>
      <xdr:colOff>0</xdr:colOff>
      <xdr:row>57</xdr:row>
      <xdr:rowOff>276225</xdr:rowOff>
    </xdr:to>
    <xdr:sp macro="" textlink="">
      <xdr:nvSpPr>
        <xdr:cNvPr id="73" name="Freeform 72"/>
        <xdr:cNvSpPr/>
      </xdr:nvSpPr>
      <xdr:spPr>
        <a:xfrm>
          <a:off x="2447925" y="16411575"/>
          <a:ext cx="1019175" cy="247650"/>
        </a:xfrm>
        <a:custGeom>
          <a:avLst/>
          <a:gdLst>
            <a:gd name="connsiteX0" fmla="*/ 638175 w 714375"/>
            <a:gd name="connsiteY0" fmla="*/ 152400 h 400050"/>
            <a:gd name="connsiteX1" fmla="*/ 695325 w 714375"/>
            <a:gd name="connsiteY1" fmla="*/ 228600 h 400050"/>
            <a:gd name="connsiteX2" fmla="*/ 695325 w 714375"/>
            <a:gd name="connsiteY2" fmla="*/ 28575 h 400050"/>
            <a:gd name="connsiteX3" fmla="*/ 0 w 714375"/>
            <a:gd name="connsiteY3" fmla="*/ 28575 h 400050"/>
            <a:gd name="connsiteX4" fmla="*/ 0 w 714375"/>
            <a:gd name="connsiteY4" fmla="*/ 400050 h 400050"/>
            <a:gd name="connsiteX5" fmla="*/ 714375 w 714375"/>
            <a:gd name="connsiteY5" fmla="*/ 400050 h 400050"/>
            <a:gd name="connsiteX6" fmla="*/ 714375 w 714375"/>
            <a:gd name="connsiteY6" fmla="*/ 0 h 400050"/>
            <a:gd name="connsiteX7" fmla="*/ 533400 w 714375"/>
            <a:gd name="connsiteY7" fmla="*/ 0 h 400050"/>
            <a:gd name="connsiteX8" fmla="*/ 628650 w 714375"/>
            <a:gd name="connsiteY8" fmla="*/ 76200 h 400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714375" h="400050">
              <a:moveTo>
                <a:pt x="638175" y="152400"/>
              </a:moveTo>
              <a:lnTo>
                <a:pt x="695325" y="228600"/>
              </a:lnTo>
              <a:lnTo>
                <a:pt x="695325" y="28575"/>
              </a:lnTo>
              <a:lnTo>
                <a:pt x="0" y="28575"/>
              </a:lnTo>
              <a:lnTo>
                <a:pt x="0" y="400050"/>
              </a:lnTo>
              <a:lnTo>
                <a:pt x="714375" y="400050"/>
              </a:lnTo>
              <a:lnTo>
                <a:pt x="714375" y="0"/>
              </a:lnTo>
              <a:lnTo>
                <a:pt x="533400" y="0"/>
              </a:lnTo>
              <a:lnTo>
                <a:pt x="628650" y="76200"/>
              </a:lnTo>
            </a:path>
          </a:pathLst>
        </a:cu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en-US"/>
        </a:p>
      </xdr:txBody>
    </xdr:sp>
    <xdr:clientData/>
  </xdr:twoCellAnchor>
  <xdr:twoCellAnchor>
    <xdr:from>
      <xdr:col>3</xdr:col>
      <xdr:colOff>261936</xdr:colOff>
      <xdr:row>46</xdr:row>
      <xdr:rowOff>47624</xdr:rowOff>
    </xdr:from>
    <xdr:to>
      <xdr:col>7</xdr:col>
      <xdr:colOff>2500</xdr:colOff>
      <xdr:row>46</xdr:row>
      <xdr:rowOff>238124</xdr:rowOff>
    </xdr:to>
    <xdr:sp macro="" textlink="">
      <xdr:nvSpPr>
        <xdr:cNvPr id="74" name="Freeform 73"/>
        <xdr:cNvSpPr/>
      </xdr:nvSpPr>
      <xdr:spPr>
        <a:xfrm rot="10800000">
          <a:off x="2024061" y="13182599"/>
          <a:ext cx="1778914" cy="190500"/>
        </a:xfrm>
        <a:custGeom>
          <a:avLst/>
          <a:gdLst>
            <a:gd name="connsiteX0" fmla="*/ 0 w 629478"/>
            <a:gd name="connsiteY0" fmla="*/ 173935 h 173935"/>
            <a:gd name="connsiteX1" fmla="*/ 0 w 629478"/>
            <a:gd name="connsiteY1" fmla="*/ 0 h 173935"/>
            <a:gd name="connsiteX2" fmla="*/ 629478 w 629478"/>
            <a:gd name="connsiteY2" fmla="*/ 0 h 173935"/>
            <a:gd name="connsiteX3" fmla="*/ 629478 w 629478"/>
            <a:gd name="connsiteY3" fmla="*/ 165652 h 17393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629478" h="173935">
              <a:moveTo>
                <a:pt x="0" y="173935"/>
              </a:moveTo>
              <a:lnTo>
                <a:pt x="0" y="0"/>
              </a:lnTo>
              <a:lnTo>
                <a:pt x="629478" y="0"/>
              </a:lnTo>
              <a:lnTo>
                <a:pt x="629478" y="165652"/>
              </a:lnTo>
            </a:path>
          </a:pathLst>
        </a:cu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en-US"/>
        </a:p>
      </xdr:txBody>
    </xdr:sp>
    <xdr:clientData/>
  </xdr:twoCellAnchor>
  <xdr:twoCellAnchor>
    <xdr:from>
      <xdr:col>4</xdr:col>
      <xdr:colOff>11906</xdr:colOff>
      <xdr:row>47</xdr:row>
      <xdr:rowOff>47625</xdr:rowOff>
    </xdr:from>
    <xdr:to>
      <xdr:col>7</xdr:col>
      <xdr:colOff>21431</xdr:colOff>
      <xdr:row>47</xdr:row>
      <xdr:rowOff>276225</xdr:rowOff>
    </xdr:to>
    <xdr:sp macro="" textlink="">
      <xdr:nvSpPr>
        <xdr:cNvPr id="75" name="Freeform 74"/>
        <xdr:cNvSpPr/>
      </xdr:nvSpPr>
      <xdr:spPr>
        <a:xfrm>
          <a:off x="2069306" y="13477875"/>
          <a:ext cx="1752600" cy="228600"/>
        </a:xfrm>
        <a:custGeom>
          <a:avLst/>
          <a:gdLst>
            <a:gd name="connsiteX0" fmla="*/ 0 w 687456"/>
            <a:gd name="connsiteY0" fmla="*/ 190500 h 190500"/>
            <a:gd name="connsiteX1" fmla="*/ 0 w 687456"/>
            <a:gd name="connsiteY1" fmla="*/ 0 h 190500"/>
            <a:gd name="connsiteX2" fmla="*/ 687456 w 687456"/>
            <a:gd name="connsiteY2" fmla="*/ 0 h 1905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687456" h="190500">
              <a:moveTo>
                <a:pt x="0" y="190500"/>
              </a:moveTo>
              <a:lnTo>
                <a:pt x="0" y="0"/>
              </a:lnTo>
              <a:lnTo>
                <a:pt x="687456" y="0"/>
              </a:lnTo>
            </a:path>
          </a:pathLst>
        </a:cu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en-US"/>
        </a:p>
      </xdr:txBody>
    </xdr:sp>
    <xdr:clientData/>
  </xdr:twoCellAnchor>
  <xdr:twoCellAnchor>
    <xdr:from>
      <xdr:col>4</xdr:col>
      <xdr:colOff>0</xdr:colOff>
      <xdr:row>49</xdr:row>
      <xdr:rowOff>59531</xdr:rowOff>
    </xdr:from>
    <xdr:to>
      <xdr:col>7</xdr:col>
      <xdr:colOff>4763</xdr:colOff>
      <xdr:row>49</xdr:row>
      <xdr:rowOff>61119</xdr:rowOff>
    </xdr:to>
    <xdr:cxnSp macro="">
      <xdr:nvCxnSpPr>
        <xdr:cNvPr id="76" name="Straight Connector 75"/>
        <xdr:cNvCxnSpPr/>
      </xdr:nvCxnSpPr>
      <xdr:spPr>
        <a:xfrm>
          <a:off x="2057400" y="14080331"/>
          <a:ext cx="1747838" cy="1588"/>
        </a:xfrm>
        <a:prstGeom prst="line">
          <a:avLst/>
        </a:prstGeom>
        <a:ln w="28575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11906</xdr:colOff>
      <xdr:row>48</xdr:row>
      <xdr:rowOff>47625</xdr:rowOff>
    </xdr:from>
    <xdr:to>
      <xdr:col>7</xdr:col>
      <xdr:colOff>21431</xdr:colOff>
      <xdr:row>48</xdr:row>
      <xdr:rowOff>276225</xdr:rowOff>
    </xdr:to>
    <xdr:sp macro="" textlink="">
      <xdr:nvSpPr>
        <xdr:cNvPr id="77" name="Freeform 76"/>
        <xdr:cNvSpPr/>
      </xdr:nvSpPr>
      <xdr:spPr>
        <a:xfrm>
          <a:off x="2069306" y="13773150"/>
          <a:ext cx="1752600" cy="228600"/>
        </a:xfrm>
        <a:custGeom>
          <a:avLst/>
          <a:gdLst>
            <a:gd name="connsiteX0" fmla="*/ 0 w 687456"/>
            <a:gd name="connsiteY0" fmla="*/ 190500 h 190500"/>
            <a:gd name="connsiteX1" fmla="*/ 0 w 687456"/>
            <a:gd name="connsiteY1" fmla="*/ 0 h 190500"/>
            <a:gd name="connsiteX2" fmla="*/ 687456 w 687456"/>
            <a:gd name="connsiteY2" fmla="*/ 0 h 1905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687456" h="190500">
              <a:moveTo>
                <a:pt x="0" y="190500"/>
              </a:moveTo>
              <a:lnTo>
                <a:pt x="0" y="0"/>
              </a:lnTo>
              <a:lnTo>
                <a:pt x="687456" y="0"/>
              </a:lnTo>
            </a:path>
          </a:pathLst>
        </a:cu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en-US"/>
        </a:p>
      </xdr:txBody>
    </xdr:sp>
    <xdr:clientData/>
  </xdr:twoCellAnchor>
  <xdr:twoCellAnchor>
    <xdr:from>
      <xdr:col>5</xdr:col>
      <xdr:colOff>0</xdr:colOff>
      <xdr:row>56</xdr:row>
      <xdr:rowOff>28575</xdr:rowOff>
    </xdr:from>
    <xdr:to>
      <xdr:col>6</xdr:col>
      <xdr:colOff>0</xdr:colOff>
      <xdr:row>56</xdr:row>
      <xdr:rowOff>276225</xdr:rowOff>
    </xdr:to>
    <xdr:sp macro="" textlink="">
      <xdr:nvSpPr>
        <xdr:cNvPr id="78" name="Freeform 77"/>
        <xdr:cNvSpPr/>
      </xdr:nvSpPr>
      <xdr:spPr>
        <a:xfrm>
          <a:off x="2447925" y="16116300"/>
          <a:ext cx="1019175" cy="247650"/>
        </a:xfrm>
        <a:custGeom>
          <a:avLst/>
          <a:gdLst>
            <a:gd name="connsiteX0" fmla="*/ 638175 w 714375"/>
            <a:gd name="connsiteY0" fmla="*/ 152400 h 400050"/>
            <a:gd name="connsiteX1" fmla="*/ 695325 w 714375"/>
            <a:gd name="connsiteY1" fmla="*/ 228600 h 400050"/>
            <a:gd name="connsiteX2" fmla="*/ 695325 w 714375"/>
            <a:gd name="connsiteY2" fmla="*/ 28575 h 400050"/>
            <a:gd name="connsiteX3" fmla="*/ 0 w 714375"/>
            <a:gd name="connsiteY3" fmla="*/ 28575 h 400050"/>
            <a:gd name="connsiteX4" fmla="*/ 0 w 714375"/>
            <a:gd name="connsiteY4" fmla="*/ 400050 h 400050"/>
            <a:gd name="connsiteX5" fmla="*/ 714375 w 714375"/>
            <a:gd name="connsiteY5" fmla="*/ 400050 h 400050"/>
            <a:gd name="connsiteX6" fmla="*/ 714375 w 714375"/>
            <a:gd name="connsiteY6" fmla="*/ 0 h 400050"/>
            <a:gd name="connsiteX7" fmla="*/ 533400 w 714375"/>
            <a:gd name="connsiteY7" fmla="*/ 0 h 400050"/>
            <a:gd name="connsiteX8" fmla="*/ 628650 w 714375"/>
            <a:gd name="connsiteY8" fmla="*/ 76200 h 400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714375" h="400050">
              <a:moveTo>
                <a:pt x="638175" y="152400"/>
              </a:moveTo>
              <a:lnTo>
                <a:pt x="695325" y="228600"/>
              </a:lnTo>
              <a:lnTo>
                <a:pt x="695325" y="28575"/>
              </a:lnTo>
              <a:lnTo>
                <a:pt x="0" y="28575"/>
              </a:lnTo>
              <a:lnTo>
                <a:pt x="0" y="400050"/>
              </a:lnTo>
              <a:lnTo>
                <a:pt x="714375" y="400050"/>
              </a:lnTo>
              <a:lnTo>
                <a:pt x="714375" y="0"/>
              </a:lnTo>
              <a:lnTo>
                <a:pt x="533400" y="0"/>
              </a:lnTo>
              <a:lnTo>
                <a:pt x="628650" y="76200"/>
              </a:lnTo>
            </a:path>
          </a:pathLst>
        </a:cu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en-US"/>
        </a:p>
      </xdr:txBody>
    </xdr:sp>
    <xdr:clientData/>
  </xdr:twoCellAnchor>
  <xdr:twoCellAnchor>
    <xdr:from>
      <xdr:col>4</xdr:col>
      <xdr:colOff>9525</xdr:colOff>
      <xdr:row>51</xdr:row>
      <xdr:rowOff>47626</xdr:rowOff>
    </xdr:from>
    <xdr:to>
      <xdr:col>7</xdr:col>
      <xdr:colOff>12026</xdr:colOff>
      <xdr:row>51</xdr:row>
      <xdr:rowOff>238126</xdr:rowOff>
    </xdr:to>
    <xdr:sp macro="" textlink="">
      <xdr:nvSpPr>
        <xdr:cNvPr id="79" name="Freeform 78"/>
        <xdr:cNvSpPr/>
      </xdr:nvSpPr>
      <xdr:spPr>
        <a:xfrm>
          <a:off x="2066925" y="14658976"/>
          <a:ext cx="1745576" cy="190500"/>
        </a:xfrm>
        <a:custGeom>
          <a:avLst/>
          <a:gdLst>
            <a:gd name="connsiteX0" fmla="*/ 0 w 629478"/>
            <a:gd name="connsiteY0" fmla="*/ 173935 h 173935"/>
            <a:gd name="connsiteX1" fmla="*/ 0 w 629478"/>
            <a:gd name="connsiteY1" fmla="*/ 0 h 173935"/>
            <a:gd name="connsiteX2" fmla="*/ 629478 w 629478"/>
            <a:gd name="connsiteY2" fmla="*/ 0 h 173935"/>
            <a:gd name="connsiteX3" fmla="*/ 629478 w 629478"/>
            <a:gd name="connsiteY3" fmla="*/ 165652 h 17393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629478" h="173935">
              <a:moveTo>
                <a:pt x="0" y="173935"/>
              </a:moveTo>
              <a:lnTo>
                <a:pt x="0" y="0"/>
              </a:lnTo>
              <a:lnTo>
                <a:pt x="629478" y="0"/>
              </a:lnTo>
              <a:lnTo>
                <a:pt x="629478" y="165652"/>
              </a:lnTo>
            </a:path>
          </a:pathLst>
        </a:cu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en-US"/>
        </a:p>
      </xdr:txBody>
    </xdr:sp>
    <xdr:clientData/>
  </xdr:twoCellAnchor>
  <xdr:twoCellAnchor>
    <xdr:from>
      <xdr:col>3</xdr:col>
      <xdr:colOff>261936</xdr:colOff>
      <xdr:row>52</xdr:row>
      <xdr:rowOff>47624</xdr:rowOff>
    </xdr:from>
    <xdr:to>
      <xdr:col>7</xdr:col>
      <xdr:colOff>2500</xdr:colOff>
      <xdr:row>52</xdr:row>
      <xdr:rowOff>238124</xdr:rowOff>
    </xdr:to>
    <xdr:sp macro="" textlink="">
      <xdr:nvSpPr>
        <xdr:cNvPr id="80" name="Freeform 79"/>
        <xdr:cNvSpPr/>
      </xdr:nvSpPr>
      <xdr:spPr>
        <a:xfrm rot="10800000">
          <a:off x="2024061" y="14954249"/>
          <a:ext cx="1778914" cy="190500"/>
        </a:xfrm>
        <a:custGeom>
          <a:avLst/>
          <a:gdLst>
            <a:gd name="connsiteX0" fmla="*/ 0 w 629478"/>
            <a:gd name="connsiteY0" fmla="*/ 173935 h 173935"/>
            <a:gd name="connsiteX1" fmla="*/ 0 w 629478"/>
            <a:gd name="connsiteY1" fmla="*/ 0 h 173935"/>
            <a:gd name="connsiteX2" fmla="*/ 629478 w 629478"/>
            <a:gd name="connsiteY2" fmla="*/ 0 h 173935"/>
            <a:gd name="connsiteX3" fmla="*/ 629478 w 629478"/>
            <a:gd name="connsiteY3" fmla="*/ 165652 h 17393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629478" h="173935">
              <a:moveTo>
                <a:pt x="0" y="173935"/>
              </a:moveTo>
              <a:lnTo>
                <a:pt x="0" y="0"/>
              </a:lnTo>
              <a:lnTo>
                <a:pt x="629478" y="0"/>
              </a:lnTo>
              <a:lnTo>
                <a:pt x="629478" y="165652"/>
              </a:lnTo>
            </a:path>
          </a:pathLst>
        </a:cu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en-US"/>
        </a:p>
      </xdr:txBody>
    </xdr:sp>
    <xdr:clientData/>
  </xdr:twoCellAnchor>
  <xdr:twoCellAnchor>
    <xdr:from>
      <xdr:col>4</xdr:col>
      <xdr:colOff>11906</xdr:colOff>
      <xdr:row>53</xdr:row>
      <xdr:rowOff>47625</xdr:rowOff>
    </xdr:from>
    <xdr:to>
      <xdr:col>7</xdr:col>
      <xdr:colOff>21431</xdr:colOff>
      <xdr:row>53</xdr:row>
      <xdr:rowOff>276225</xdr:rowOff>
    </xdr:to>
    <xdr:sp macro="" textlink="">
      <xdr:nvSpPr>
        <xdr:cNvPr id="81" name="Freeform 80"/>
        <xdr:cNvSpPr/>
      </xdr:nvSpPr>
      <xdr:spPr>
        <a:xfrm>
          <a:off x="2069306" y="15249525"/>
          <a:ext cx="1752600" cy="228600"/>
        </a:xfrm>
        <a:custGeom>
          <a:avLst/>
          <a:gdLst>
            <a:gd name="connsiteX0" fmla="*/ 0 w 687456"/>
            <a:gd name="connsiteY0" fmla="*/ 190500 h 190500"/>
            <a:gd name="connsiteX1" fmla="*/ 0 w 687456"/>
            <a:gd name="connsiteY1" fmla="*/ 0 h 190500"/>
            <a:gd name="connsiteX2" fmla="*/ 687456 w 687456"/>
            <a:gd name="connsiteY2" fmla="*/ 0 h 1905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687456" h="190500">
              <a:moveTo>
                <a:pt x="0" y="190500"/>
              </a:moveTo>
              <a:lnTo>
                <a:pt x="0" y="0"/>
              </a:lnTo>
              <a:lnTo>
                <a:pt x="687456" y="0"/>
              </a:lnTo>
            </a:path>
          </a:pathLst>
        </a:cu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en-US"/>
        </a:p>
      </xdr:txBody>
    </xdr:sp>
    <xdr:clientData/>
  </xdr:twoCellAnchor>
  <xdr:twoCellAnchor>
    <xdr:from>
      <xdr:col>5</xdr:col>
      <xdr:colOff>0</xdr:colOff>
      <xdr:row>17</xdr:row>
      <xdr:rowOff>33130</xdr:rowOff>
    </xdr:from>
    <xdr:to>
      <xdr:col>5</xdr:col>
      <xdr:colOff>1018760</xdr:colOff>
      <xdr:row>17</xdr:row>
      <xdr:rowOff>266699</xdr:rowOff>
    </xdr:to>
    <xdr:sp macro="" textlink="">
      <xdr:nvSpPr>
        <xdr:cNvPr id="82" name="Freeform 81"/>
        <xdr:cNvSpPr/>
      </xdr:nvSpPr>
      <xdr:spPr>
        <a:xfrm>
          <a:off x="2447925" y="5024230"/>
          <a:ext cx="1018760" cy="233569"/>
        </a:xfrm>
        <a:custGeom>
          <a:avLst/>
          <a:gdLst>
            <a:gd name="connsiteX0" fmla="*/ 638175 w 714375"/>
            <a:gd name="connsiteY0" fmla="*/ 152400 h 400050"/>
            <a:gd name="connsiteX1" fmla="*/ 695325 w 714375"/>
            <a:gd name="connsiteY1" fmla="*/ 228600 h 400050"/>
            <a:gd name="connsiteX2" fmla="*/ 695325 w 714375"/>
            <a:gd name="connsiteY2" fmla="*/ 28575 h 400050"/>
            <a:gd name="connsiteX3" fmla="*/ 0 w 714375"/>
            <a:gd name="connsiteY3" fmla="*/ 28575 h 400050"/>
            <a:gd name="connsiteX4" fmla="*/ 0 w 714375"/>
            <a:gd name="connsiteY4" fmla="*/ 400050 h 400050"/>
            <a:gd name="connsiteX5" fmla="*/ 714375 w 714375"/>
            <a:gd name="connsiteY5" fmla="*/ 400050 h 400050"/>
            <a:gd name="connsiteX6" fmla="*/ 714375 w 714375"/>
            <a:gd name="connsiteY6" fmla="*/ 0 h 400050"/>
            <a:gd name="connsiteX7" fmla="*/ 533400 w 714375"/>
            <a:gd name="connsiteY7" fmla="*/ 0 h 400050"/>
            <a:gd name="connsiteX8" fmla="*/ 628650 w 714375"/>
            <a:gd name="connsiteY8" fmla="*/ 76200 h 400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714375" h="400050">
              <a:moveTo>
                <a:pt x="638175" y="152400"/>
              </a:moveTo>
              <a:lnTo>
                <a:pt x="695325" y="228600"/>
              </a:lnTo>
              <a:lnTo>
                <a:pt x="695325" y="28575"/>
              </a:lnTo>
              <a:lnTo>
                <a:pt x="0" y="28575"/>
              </a:lnTo>
              <a:lnTo>
                <a:pt x="0" y="400050"/>
              </a:lnTo>
              <a:lnTo>
                <a:pt x="714375" y="400050"/>
              </a:lnTo>
              <a:lnTo>
                <a:pt x="714375" y="0"/>
              </a:lnTo>
              <a:lnTo>
                <a:pt x="533400" y="0"/>
              </a:lnTo>
              <a:lnTo>
                <a:pt x="628650" y="76200"/>
              </a:lnTo>
            </a:path>
          </a:pathLst>
        </a:cu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en-US"/>
        </a:p>
      </xdr:txBody>
    </xdr:sp>
    <xdr:clientData/>
  </xdr:twoCellAnchor>
  <xdr:twoCellAnchor>
    <xdr:from>
      <xdr:col>4</xdr:col>
      <xdr:colOff>31759</xdr:colOff>
      <xdr:row>16</xdr:row>
      <xdr:rowOff>243414</xdr:rowOff>
    </xdr:from>
    <xdr:to>
      <xdr:col>7</xdr:col>
      <xdr:colOff>36522</xdr:colOff>
      <xdr:row>16</xdr:row>
      <xdr:rowOff>245002</xdr:rowOff>
    </xdr:to>
    <xdr:cxnSp macro="">
      <xdr:nvCxnSpPr>
        <xdr:cNvPr id="83" name="Straight Connector 82"/>
        <xdr:cNvCxnSpPr/>
      </xdr:nvCxnSpPr>
      <xdr:spPr>
        <a:xfrm>
          <a:off x="2089159" y="4939239"/>
          <a:ext cx="1747838" cy="1588"/>
        </a:xfrm>
        <a:prstGeom prst="line">
          <a:avLst/>
        </a:prstGeom>
        <a:ln w="28575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10583</xdr:colOff>
      <xdr:row>13</xdr:row>
      <xdr:rowOff>31750</xdr:rowOff>
    </xdr:from>
    <xdr:to>
      <xdr:col>6</xdr:col>
      <xdr:colOff>13343</xdr:colOff>
      <xdr:row>13</xdr:row>
      <xdr:rowOff>265319</xdr:rowOff>
    </xdr:to>
    <xdr:sp macro="" textlink="">
      <xdr:nvSpPr>
        <xdr:cNvPr id="84" name="Freeform 83"/>
        <xdr:cNvSpPr/>
      </xdr:nvSpPr>
      <xdr:spPr>
        <a:xfrm>
          <a:off x="2458508" y="3841750"/>
          <a:ext cx="1021935" cy="233569"/>
        </a:xfrm>
        <a:custGeom>
          <a:avLst/>
          <a:gdLst>
            <a:gd name="connsiteX0" fmla="*/ 638175 w 714375"/>
            <a:gd name="connsiteY0" fmla="*/ 152400 h 400050"/>
            <a:gd name="connsiteX1" fmla="*/ 695325 w 714375"/>
            <a:gd name="connsiteY1" fmla="*/ 228600 h 400050"/>
            <a:gd name="connsiteX2" fmla="*/ 695325 w 714375"/>
            <a:gd name="connsiteY2" fmla="*/ 28575 h 400050"/>
            <a:gd name="connsiteX3" fmla="*/ 0 w 714375"/>
            <a:gd name="connsiteY3" fmla="*/ 28575 h 400050"/>
            <a:gd name="connsiteX4" fmla="*/ 0 w 714375"/>
            <a:gd name="connsiteY4" fmla="*/ 400050 h 400050"/>
            <a:gd name="connsiteX5" fmla="*/ 714375 w 714375"/>
            <a:gd name="connsiteY5" fmla="*/ 400050 h 400050"/>
            <a:gd name="connsiteX6" fmla="*/ 714375 w 714375"/>
            <a:gd name="connsiteY6" fmla="*/ 0 h 400050"/>
            <a:gd name="connsiteX7" fmla="*/ 533400 w 714375"/>
            <a:gd name="connsiteY7" fmla="*/ 0 h 400050"/>
            <a:gd name="connsiteX8" fmla="*/ 628650 w 714375"/>
            <a:gd name="connsiteY8" fmla="*/ 76200 h 400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714375" h="400050">
              <a:moveTo>
                <a:pt x="638175" y="152400"/>
              </a:moveTo>
              <a:lnTo>
                <a:pt x="695325" y="228600"/>
              </a:lnTo>
              <a:lnTo>
                <a:pt x="695325" y="28575"/>
              </a:lnTo>
              <a:lnTo>
                <a:pt x="0" y="28575"/>
              </a:lnTo>
              <a:lnTo>
                <a:pt x="0" y="400050"/>
              </a:lnTo>
              <a:lnTo>
                <a:pt x="714375" y="400050"/>
              </a:lnTo>
              <a:lnTo>
                <a:pt x="714375" y="0"/>
              </a:lnTo>
              <a:lnTo>
                <a:pt x="533400" y="0"/>
              </a:lnTo>
              <a:lnTo>
                <a:pt x="628650" y="76200"/>
              </a:lnTo>
            </a:path>
          </a:pathLst>
        </a:cu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en-US"/>
        </a:p>
      </xdr:txBody>
    </xdr:sp>
    <xdr:clientData/>
  </xdr:twoCellAnchor>
  <xdr:twoCellAnchor>
    <xdr:from>
      <xdr:col>4</xdr:col>
      <xdr:colOff>0</xdr:colOff>
      <xdr:row>11</xdr:row>
      <xdr:rowOff>243417</xdr:rowOff>
    </xdr:from>
    <xdr:to>
      <xdr:col>7</xdr:col>
      <xdr:colOff>4763</xdr:colOff>
      <xdr:row>11</xdr:row>
      <xdr:rowOff>245005</xdr:rowOff>
    </xdr:to>
    <xdr:cxnSp macro="">
      <xdr:nvCxnSpPr>
        <xdr:cNvPr id="85" name="Straight Connector 84"/>
        <xdr:cNvCxnSpPr/>
      </xdr:nvCxnSpPr>
      <xdr:spPr>
        <a:xfrm>
          <a:off x="2057400" y="3462867"/>
          <a:ext cx="1747838" cy="1588"/>
        </a:xfrm>
        <a:prstGeom prst="line">
          <a:avLst/>
        </a:prstGeom>
        <a:ln w="28575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</xdr:colOff>
      <xdr:row>12</xdr:row>
      <xdr:rowOff>63499</xdr:rowOff>
    </xdr:from>
    <xdr:to>
      <xdr:col>7</xdr:col>
      <xdr:colOff>9526</xdr:colOff>
      <xdr:row>12</xdr:row>
      <xdr:rowOff>292099</xdr:rowOff>
    </xdr:to>
    <xdr:sp macro="" textlink="">
      <xdr:nvSpPr>
        <xdr:cNvPr id="86" name="Freeform 85"/>
        <xdr:cNvSpPr/>
      </xdr:nvSpPr>
      <xdr:spPr>
        <a:xfrm>
          <a:off x="2057401" y="3578224"/>
          <a:ext cx="1752600" cy="228600"/>
        </a:xfrm>
        <a:custGeom>
          <a:avLst/>
          <a:gdLst>
            <a:gd name="connsiteX0" fmla="*/ 0 w 687456"/>
            <a:gd name="connsiteY0" fmla="*/ 190500 h 190500"/>
            <a:gd name="connsiteX1" fmla="*/ 0 w 687456"/>
            <a:gd name="connsiteY1" fmla="*/ 0 h 190500"/>
            <a:gd name="connsiteX2" fmla="*/ 687456 w 687456"/>
            <a:gd name="connsiteY2" fmla="*/ 0 h 1905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687456" h="190500">
              <a:moveTo>
                <a:pt x="0" y="190500"/>
              </a:moveTo>
              <a:lnTo>
                <a:pt x="0" y="0"/>
              </a:lnTo>
              <a:lnTo>
                <a:pt x="687456" y="0"/>
              </a:lnTo>
            </a:path>
          </a:pathLst>
        </a:cu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en-US"/>
        </a:p>
      </xdr:txBody>
    </xdr:sp>
    <xdr:clientData/>
  </xdr:twoCellAnchor>
  <xdr:twoCellAnchor>
    <xdr:from>
      <xdr:col>4</xdr:col>
      <xdr:colOff>0</xdr:colOff>
      <xdr:row>54</xdr:row>
      <xdr:rowOff>246408</xdr:rowOff>
    </xdr:from>
    <xdr:to>
      <xdr:col>7</xdr:col>
      <xdr:colOff>4763</xdr:colOff>
      <xdr:row>54</xdr:row>
      <xdr:rowOff>247996</xdr:rowOff>
    </xdr:to>
    <xdr:cxnSp macro="">
      <xdr:nvCxnSpPr>
        <xdr:cNvPr id="87" name="Straight Connector 86"/>
        <xdr:cNvCxnSpPr/>
      </xdr:nvCxnSpPr>
      <xdr:spPr>
        <a:xfrm>
          <a:off x="2057400" y="15743583"/>
          <a:ext cx="1747838" cy="1588"/>
        </a:xfrm>
        <a:prstGeom prst="line">
          <a:avLst/>
        </a:prstGeom>
        <a:ln w="28575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55</xdr:row>
      <xdr:rowOff>246408</xdr:rowOff>
    </xdr:from>
    <xdr:to>
      <xdr:col>7</xdr:col>
      <xdr:colOff>4763</xdr:colOff>
      <xdr:row>55</xdr:row>
      <xdr:rowOff>247996</xdr:rowOff>
    </xdr:to>
    <xdr:cxnSp macro="">
      <xdr:nvCxnSpPr>
        <xdr:cNvPr id="88" name="Straight Connector 87"/>
        <xdr:cNvCxnSpPr/>
      </xdr:nvCxnSpPr>
      <xdr:spPr>
        <a:xfrm>
          <a:off x="2057400" y="16038858"/>
          <a:ext cx="1747838" cy="1588"/>
        </a:xfrm>
        <a:prstGeom prst="line">
          <a:avLst/>
        </a:prstGeom>
        <a:ln w="28575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ONG%20VIEC\2015\BAYANACR%20RESORT\KHU%20PH&#7908;%20TR&#7906;\Khoi%20luong%20vat%20tu\15-0120%20DT-PHAN%20THO-CAMRANH-BUNGALOW%204R-atua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iá tháng"/>
      <sheetName val="Chiết tính"/>
      <sheetName val="Dự thầu"/>
      <sheetName val="KL CT B.1R"/>
      <sheetName val="KL CT B.2R"/>
      <sheetName val="KL CT B.4R"/>
      <sheetName val="TKe Thep"/>
      <sheetName val="Tke cua"/>
      <sheetName val="CÁC HM"/>
    </sheetNames>
    <sheetDataSet>
      <sheetData sheetId="0" refreshError="1"/>
      <sheetData sheetId="1" refreshError="1"/>
      <sheetData sheetId="2" refreshError="1">
        <row r="4">
          <cell r="A4" t="str">
            <v>STT</v>
          </cell>
          <cell r="B4" t="str">
            <v>Mã số</v>
          </cell>
          <cell r="C4" t="str">
            <v>Tên công tác</v>
          </cell>
          <cell r="D4" t="str">
            <v>Đơn vị</v>
          </cell>
          <cell r="E4" t="str">
            <v>Khối lượng</v>
          </cell>
        </row>
        <row r="5">
          <cell r="A5">
            <v>1</v>
          </cell>
          <cell r="B5" t="str">
            <v>AB.11332</v>
          </cell>
          <cell r="C5" t="str">
            <v>Đào móng băng, rộng &lt;=3m, sâu &lt;=3m, đất cấp II</v>
          </cell>
          <cell r="D5" t="str">
            <v>m3</v>
          </cell>
          <cell r="E5">
            <v>98.513999999999996</v>
          </cell>
        </row>
        <row r="6">
          <cell r="A6">
            <v>2</v>
          </cell>
          <cell r="B6" t="str">
            <v>AB.13113</v>
          </cell>
          <cell r="C6" t="str">
            <v>Đắp đất cát nền móng công trình, độ chặt K = 0,95</v>
          </cell>
          <cell r="D6" t="str">
            <v>m3</v>
          </cell>
          <cell r="E6">
            <v>65.676000000000002</v>
          </cell>
        </row>
        <row r="7">
          <cell r="A7">
            <v>3</v>
          </cell>
          <cell r="B7" t="str">
            <v>AB.41112</v>
          </cell>
          <cell r="C7" t="str">
            <v>Vận chuyển đất dư ra khỏi công trình</v>
          </cell>
          <cell r="D7" t="str">
            <v>100m3</v>
          </cell>
          <cell r="E7">
            <v>0.32840000000000003</v>
          </cell>
        </row>
        <row r="8">
          <cell r="A8">
            <v>4</v>
          </cell>
          <cell r="B8" t="str">
            <v>AF.11111</v>
          </cell>
          <cell r="C8" t="str">
            <v>Bê tông lót móng rộng &lt;=250cm đá 4x6 M100</v>
          </cell>
          <cell r="D8" t="str">
            <v>m3</v>
          </cell>
          <cell r="E8">
            <v>5.2919999999999998</v>
          </cell>
        </row>
        <row r="9">
          <cell r="A9">
            <v>5</v>
          </cell>
          <cell r="B9" t="str">
            <v>AF.11214</v>
          </cell>
          <cell r="C9" t="str">
            <v>Bê tông móng rộng, đà giằng đá 1x2 M250</v>
          </cell>
          <cell r="D9" t="str">
            <v>m3</v>
          </cell>
          <cell r="E9">
            <v>21.040500000000002</v>
          </cell>
        </row>
        <row r="10">
          <cell r="A10">
            <v>6</v>
          </cell>
          <cell r="B10" t="str">
            <v>AF.61110</v>
          </cell>
          <cell r="C10" t="str">
            <v>SXLD cốt thép móng đường kính &lt;=10mm</v>
          </cell>
          <cell r="D10" t="str">
            <v>tấn</v>
          </cell>
          <cell r="E10">
            <v>1.7600000000000001E-2</v>
          </cell>
        </row>
        <row r="11">
          <cell r="A11">
            <v>7</v>
          </cell>
          <cell r="B11" t="str">
            <v>AF.61120</v>
          </cell>
          <cell r="C11" t="str">
            <v>SXLD cốt thép móng đường kính &lt;=18mm</v>
          </cell>
          <cell r="D11" t="str">
            <v>tấn</v>
          </cell>
          <cell r="E11">
            <v>0.4924</v>
          </cell>
        </row>
        <row r="12">
          <cell r="A12">
            <v>8</v>
          </cell>
          <cell r="B12" t="str">
            <v>AF.81122</v>
          </cell>
          <cell r="C12" t="str">
            <v>SXLD tháo dỡ ván khuôn móng, đà giằng</v>
          </cell>
          <cell r="D12" t="str">
            <v>100m2</v>
          </cell>
          <cell r="E12">
            <v>0.80030000000000001</v>
          </cell>
        </row>
        <row r="13">
          <cell r="A13">
            <v>9</v>
          </cell>
          <cell r="B13" t="str">
            <v>AF.12224</v>
          </cell>
          <cell r="C13" t="str">
            <v>Bê tông cột tiết diện &lt;= 0,1m2 h&lt;=16m đá 1x2 M250</v>
          </cell>
          <cell r="D13" t="str">
            <v>m3</v>
          </cell>
          <cell r="E13">
            <v>6.3</v>
          </cell>
        </row>
        <row r="14">
          <cell r="A14">
            <v>10</v>
          </cell>
          <cell r="B14" t="str">
            <v>AF.61412</v>
          </cell>
          <cell r="C14" t="str">
            <v>SXLD cốt thép cột, trụ đường kính &lt;=10mm h&lt;=16m</v>
          </cell>
          <cell r="D14" t="str">
            <v>tấn</v>
          </cell>
          <cell r="E14">
            <v>0.24909999999999999</v>
          </cell>
        </row>
        <row r="15">
          <cell r="A15">
            <v>11</v>
          </cell>
          <cell r="B15" t="str">
            <v>AF.61422</v>
          </cell>
          <cell r="C15" t="str">
            <v>SXLD cốt thép cột, trụ đường kính &lt;=18mm h&lt;=16m</v>
          </cell>
          <cell r="D15" t="str">
            <v>tấn</v>
          </cell>
          <cell r="E15">
            <v>1.1183000000000001</v>
          </cell>
        </row>
        <row r="16">
          <cell r="A16">
            <v>12</v>
          </cell>
          <cell r="B16" t="str">
            <v>AF.81132</v>
          </cell>
          <cell r="C16" t="str">
            <v>SXLD tháo dỡ ván khuôn cột vuông, chữ nhật</v>
          </cell>
          <cell r="D16" t="str">
            <v>100m2</v>
          </cell>
          <cell r="E16">
            <v>1.0704</v>
          </cell>
        </row>
        <row r="17">
          <cell r="A17">
            <v>13</v>
          </cell>
          <cell r="B17" t="str">
            <v>AF.12314</v>
          </cell>
          <cell r="C17" t="str">
            <v>Bê tông xà dầm đá 1x2 M250</v>
          </cell>
          <cell r="D17" t="str">
            <v>m3</v>
          </cell>
          <cell r="E17">
            <v>13.58</v>
          </cell>
        </row>
        <row r="18">
          <cell r="A18">
            <v>14</v>
          </cell>
          <cell r="B18" t="str">
            <v>AF.12514</v>
          </cell>
          <cell r="C18" t="str">
            <v>Bê tông sàn mái đá 1x2 M250</v>
          </cell>
          <cell r="D18" t="str">
            <v>m3</v>
          </cell>
          <cell r="E18">
            <v>20.782499999999999</v>
          </cell>
        </row>
        <row r="19">
          <cell r="A19">
            <v>15</v>
          </cell>
          <cell r="B19" t="str">
            <v>AF.61512</v>
          </cell>
          <cell r="C19" t="str">
            <v>SXLD cốt thép xà dầm, giằng đường kính &lt;=10mm h&lt;=16m</v>
          </cell>
          <cell r="D19" t="str">
            <v>tấn</v>
          </cell>
          <cell r="E19">
            <v>0.38990000000000002</v>
          </cell>
        </row>
        <row r="20">
          <cell r="A20">
            <v>16</v>
          </cell>
          <cell r="B20" t="str">
            <v>AF.61522</v>
          </cell>
          <cell r="C20" t="str">
            <v>SXLD cốt thép xà dầm, giằng đường kính &lt;=18mm h&lt;=16m</v>
          </cell>
          <cell r="D20" t="str">
            <v>tấn</v>
          </cell>
          <cell r="E20">
            <v>2.6315</v>
          </cell>
        </row>
        <row r="21">
          <cell r="A21">
            <v>17</v>
          </cell>
          <cell r="B21" t="str">
            <v>AF.61711</v>
          </cell>
          <cell r="C21" t="str">
            <v>SXLD cốt thép sàn đk &lt;=10mm h&lt;=16m</v>
          </cell>
          <cell r="D21" t="str">
            <v>tấn</v>
          </cell>
          <cell r="E21">
            <v>2.7808999999999999</v>
          </cell>
        </row>
        <row r="22">
          <cell r="A22">
            <v>18</v>
          </cell>
          <cell r="B22" t="str">
            <v>AF.81141</v>
          </cell>
          <cell r="C22" t="str">
            <v>SXLD tháo dỡ ván khuôn xà dầm, giằng</v>
          </cell>
          <cell r="D22" t="str">
            <v>100m2</v>
          </cell>
          <cell r="E22">
            <v>1.3939999999999999</v>
          </cell>
        </row>
        <row r="23">
          <cell r="A23">
            <v>19</v>
          </cell>
          <cell r="B23" t="str">
            <v>AF.81151</v>
          </cell>
          <cell r="C23" t="str">
            <v xml:space="preserve">SXLD tháo dỡ ván khuôn sàn </v>
          </cell>
          <cell r="D23" t="str">
            <v>100m2</v>
          </cell>
          <cell r="E23">
            <v>3.7010000000000001</v>
          </cell>
        </row>
        <row r="24">
          <cell r="A24">
            <v>20</v>
          </cell>
          <cell r="B24" t="str">
            <v>AF.12714</v>
          </cell>
          <cell r="C24" t="str">
            <v>Bê tông cầu thang thường đá 1x2 M250</v>
          </cell>
          <cell r="D24" t="str">
            <v>m3</v>
          </cell>
          <cell r="E24">
            <v>1.7932999999999999</v>
          </cell>
        </row>
        <row r="25">
          <cell r="A25">
            <v>21</v>
          </cell>
          <cell r="B25" t="str">
            <v>AF.61812</v>
          </cell>
          <cell r="C25" t="str">
            <v>SXLD cốt thép cầu thang đk &lt;=10mm h&lt;=16m</v>
          </cell>
          <cell r="D25" t="str">
            <v>tấn</v>
          </cell>
          <cell r="E25">
            <v>4.65E-2</v>
          </cell>
        </row>
        <row r="26">
          <cell r="A26">
            <v>22</v>
          </cell>
          <cell r="B26" t="str">
            <v>AF.61822</v>
          </cell>
          <cell r="C26" t="str">
            <v>SXLD cốt thép cầu thang đk &lt;=18mm h&lt;=16m</v>
          </cell>
          <cell r="D26" t="str">
            <v>tấn</v>
          </cell>
          <cell r="E26">
            <v>0.25540000000000002</v>
          </cell>
        </row>
        <row r="27">
          <cell r="A27">
            <v>23</v>
          </cell>
          <cell r="B27" t="str">
            <v>AF.81161</v>
          </cell>
          <cell r="C27" t="str">
            <v>SXLD tháo dỡ ván khuôn cầu thang thường</v>
          </cell>
          <cell r="D27" t="str">
            <v>100m2</v>
          </cell>
          <cell r="E27">
            <v>0.13220000000000001</v>
          </cell>
        </row>
        <row r="28">
          <cell r="A28">
            <v>24</v>
          </cell>
          <cell r="B28" t="str">
            <v>AF.12614</v>
          </cell>
          <cell r="C28" t="str">
            <v>Bê tông lanh tô đá 1x2 M250</v>
          </cell>
          <cell r="D28" t="str">
            <v>m3</v>
          </cell>
          <cell r="E28">
            <v>1.272</v>
          </cell>
        </row>
        <row r="29">
          <cell r="A29">
            <v>25</v>
          </cell>
          <cell r="B29" t="str">
            <v>AF.61612</v>
          </cell>
          <cell r="C29" t="str">
            <v>SXLD cốt thép lanh tô đk &lt;=10mm h&lt;=16m</v>
          </cell>
          <cell r="D29" t="str">
            <v>tấn</v>
          </cell>
          <cell r="E29">
            <v>0.124</v>
          </cell>
        </row>
        <row r="30">
          <cell r="A30">
            <v>26</v>
          </cell>
          <cell r="B30" t="str">
            <v>AF.81152</v>
          </cell>
          <cell r="C30" t="str">
            <v>SXLD tháo dỡ ván khuôn lanh tô</v>
          </cell>
          <cell r="D30" t="str">
            <v>100m2</v>
          </cell>
          <cell r="E30">
            <v>0.12920000000000001</v>
          </cell>
        </row>
        <row r="31">
          <cell r="A31">
            <v>27</v>
          </cell>
          <cell r="B31" t="str">
            <v>AE.54124</v>
          </cell>
          <cell r="C31" t="str">
            <v>Xây cầu thang, bó nền gạch thẻ 4x8x19 h&lt;=16m M75</v>
          </cell>
          <cell r="D31" t="str">
            <v>m3</v>
          </cell>
          <cell r="E31">
            <v>2.4318</v>
          </cell>
        </row>
        <row r="32">
          <cell r="A32">
            <v>28</v>
          </cell>
          <cell r="B32" t="str">
            <v>AE.63124</v>
          </cell>
          <cell r="C32" t="str">
            <v>Xây tường gạch ống 8x8x19 chiều dầy &lt;=10cm h&lt;=16m M75</v>
          </cell>
          <cell r="D32" t="str">
            <v>m3</v>
          </cell>
          <cell r="E32">
            <v>12.036799999999999</v>
          </cell>
        </row>
        <row r="33">
          <cell r="A33">
            <v>29</v>
          </cell>
          <cell r="B33" t="str">
            <v>AE.63214</v>
          </cell>
          <cell r="C33" t="str">
            <v>Xây tường gạch ống 8x8x19 chiều dầy &lt;=30cm h&lt;=4m M75</v>
          </cell>
          <cell r="D33" t="str">
            <v>m3</v>
          </cell>
          <cell r="E33">
            <v>45.784999999999997</v>
          </cell>
        </row>
        <row r="34">
          <cell r="A34">
            <v>30</v>
          </cell>
          <cell r="B34" t="str">
            <v>AK.21124</v>
          </cell>
          <cell r="C34" t="str">
            <v>Trát tường ngoài chiều dày trát 1,5cm vữa M75</v>
          </cell>
          <cell r="D34" t="str">
            <v>m2</v>
          </cell>
          <cell r="E34">
            <v>252.05</v>
          </cell>
        </row>
        <row r="35">
          <cell r="A35">
            <v>31</v>
          </cell>
          <cell r="B35" t="str">
            <v>AK.21224</v>
          </cell>
          <cell r="C35" t="str">
            <v>Trát tường trong chiều dày trát 1,5cm vữa M75</v>
          </cell>
          <cell r="D35" t="str">
            <v>m2</v>
          </cell>
          <cell r="E35">
            <v>392.97</v>
          </cell>
        </row>
        <row r="36">
          <cell r="A36">
            <v>32</v>
          </cell>
          <cell r="B36" t="str">
            <v>AK.22124</v>
          </cell>
          <cell r="C36" t="str">
            <v>Trát trụ cột, cầu thang chiều dày trát 1,5cm vữa M75</v>
          </cell>
          <cell r="D36" t="str">
            <v>m2</v>
          </cell>
          <cell r="E36">
            <v>56.202500000000001</v>
          </cell>
        </row>
        <row r="37">
          <cell r="A37">
            <v>33</v>
          </cell>
          <cell r="B37" t="str">
            <v>AK.23114</v>
          </cell>
          <cell r="C37" t="str">
            <v>Trát xà dầm vữa M75</v>
          </cell>
          <cell r="D37" t="str">
            <v>m2</v>
          </cell>
          <cell r="E37">
            <v>139.4</v>
          </cell>
        </row>
        <row r="38">
          <cell r="A38">
            <v>34</v>
          </cell>
          <cell r="B38" t="str">
            <v>AK.23214</v>
          </cell>
          <cell r="C38" t="str">
            <v>Trát trần vữa M75</v>
          </cell>
          <cell r="D38" t="str">
            <v>m2</v>
          </cell>
          <cell r="E38">
            <v>237.11600000000001</v>
          </cell>
        </row>
        <row r="39">
          <cell r="A39">
            <v>35</v>
          </cell>
          <cell r="B39" t="str">
            <v>AK.13124a</v>
          </cell>
          <cell r="C39" t="str">
            <v>Dán ngói trên mái nghiêng bê tông loại 22v/m2</v>
          </cell>
          <cell r="D39" t="str">
            <v>m2</v>
          </cell>
          <cell r="E39">
            <v>140.30000000000001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>
        <row r="8">
          <cell r="C8" t="str">
            <v>D1</v>
          </cell>
          <cell r="D8">
            <v>0.9</v>
          </cell>
          <cell r="E8">
            <v>2.4</v>
          </cell>
          <cell r="G8">
            <v>2.16</v>
          </cell>
          <cell r="H8">
            <v>5.7</v>
          </cell>
        </row>
        <row r="9">
          <cell r="C9" t="str">
            <v>D2</v>
          </cell>
          <cell r="D9">
            <v>3.6</v>
          </cell>
          <cell r="E9">
            <v>2.8</v>
          </cell>
          <cell r="G9">
            <v>10.08</v>
          </cell>
          <cell r="H9">
            <v>9.1999999999999993</v>
          </cell>
        </row>
        <row r="10">
          <cell r="C10" t="str">
            <v>D3</v>
          </cell>
          <cell r="D10">
            <v>0.9</v>
          </cell>
          <cell r="E10">
            <v>2.4</v>
          </cell>
          <cell r="G10">
            <v>2.16</v>
          </cell>
          <cell r="H10">
            <v>5.7</v>
          </cell>
        </row>
        <row r="11">
          <cell r="C11" t="str">
            <v>PG01</v>
          </cell>
          <cell r="D11">
            <v>2.6</v>
          </cell>
          <cell r="E11">
            <v>2.4</v>
          </cell>
          <cell r="G11">
            <v>6.24</v>
          </cell>
          <cell r="H11">
            <v>7.4</v>
          </cell>
        </row>
        <row r="12">
          <cell r="C12" t="str">
            <v>PG01'</v>
          </cell>
          <cell r="D12">
            <v>2.6</v>
          </cell>
          <cell r="E12">
            <v>2.4</v>
          </cell>
          <cell r="G12">
            <v>6.24</v>
          </cell>
          <cell r="H12">
            <v>7.4</v>
          </cell>
        </row>
        <row r="13">
          <cell r="C13" t="str">
            <v>PG02</v>
          </cell>
          <cell r="D13">
            <v>1.2</v>
          </cell>
          <cell r="E13">
            <v>2.4</v>
          </cell>
          <cell r="G13">
            <v>2.88</v>
          </cell>
          <cell r="H13">
            <v>6</v>
          </cell>
        </row>
        <row r="14">
          <cell r="C14" t="str">
            <v>PG03</v>
          </cell>
          <cell r="D14">
            <v>1.2</v>
          </cell>
          <cell r="E14">
            <v>2.65</v>
          </cell>
          <cell r="G14">
            <v>3.1799999999999997</v>
          </cell>
          <cell r="H14">
            <v>6.5</v>
          </cell>
        </row>
        <row r="15">
          <cell r="C15" t="str">
            <v>PG04</v>
          </cell>
          <cell r="D15">
            <v>0.8</v>
          </cell>
          <cell r="E15">
            <v>2.8</v>
          </cell>
          <cell r="G15">
            <v>2.2399999999999998</v>
          </cell>
          <cell r="H15">
            <v>6.3999999999999995</v>
          </cell>
        </row>
        <row r="16">
          <cell r="C16" t="str">
            <v>PG05</v>
          </cell>
          <cell r="D16">
            <v>0.97499999999999998</v>
          </cell>
          <cell r="E16">
            <v>2.4</v>
          </cell>
          <cell r="G16">
            <v>2.34</v>
          </cell>
          <cell r="H16">
            <v>5.7749999999999995</v>
          </cell>
        </row>
        <row r="17">
          <cell r="C17" t="str">
            <v>L1</v>
          </cell>
          <cell r="D17">
            <v>1.4</v>
          </cell>
          <cell r="E17">
            <v>6.1</v>
          </cell>
          <cell r="G17">
            <v>8.5399999999999991</v>
          </cell>
          <cell r="H17">
            <v>13.6</v>
          </cell>
        </row>
        <row r="18">
          <cell r="C18" t="str">
            <v>L2</v>
          </cell>
          <cell r="D18">
            <v>1.2</v>
          </cell>
          <cell r="E18">
            <v>6.1</v>
          </cell>
          <cell r="G18">
            <v>7.3199999999999994</v>
          </cell>
          <cell r="H18">
            <v>13.399999999999999</v>
          </cell>
        </row>
        <row r="19">
          <cell r="C19" t="str">
            <v>L3</v>
          </cell>
          <cell r="D19">
            <v>1.8</v>
          </cell>
          <cell r="E19">
            <v>6.1</v>
          </cell>
          <cell r="G19">
            <v>10.98</v>
          </cell>
          <cell r="H19">
            <v>14</v>
          </cell>
        </row>
        <row r="20">
          <cell r="C20" t="str">
            <v>L11</v>
          </cell>
          <cell r="D20">
            <v>0.6</v>
          </cell>
          <cell r="E20">
            <v>2.4</v>
          </cell>
          <cell r="G20">
            <v>1.44</v>
          </cell>
          <cell r="H20">
            <v>6</v>
          </cell>
        </row>
        <row r="21">
          <cell r="C21" t="str">
            <v>L12</v>
          </cell>
          <cell r="D21">
            <v>0.6</v>
          </cell>
          <cell r="E21">
            <v>2.8</v>
          </cell>
          <cell r="G21">
            <v>1.68</v>
          </cell>
          <cell r="H21">
            <v>6.8</v>
          </cell>
        </row>
        <row r="22">
          <cell r="G22">
            <v>0</v>
          </cell>
          <cell r="H22">
            <v>0</v>
          </cell>
        </row>
        <row r="23">
          <cell r="G23">
            <v>0</v>
          </cell>
          <cell r="H23">
            <v>0</v>
          </cell>
        </row>
        <row r="24">
          <cell r="G24">
            <v>0</v>
          </cell>
          <cell r="H24">
            <v>0</v>
          </cell>
        </row>
        <row r="25">
          <cell r="G25">
            <v>0</v>
          </cell>
          <cell r="H25">
            <v>0</v>
          </cell>
        </row>
        <row r="26">
          <cell r="G26">
            <v>0</v>
          </cell>
          <cell r="H26">
            <v>0</v>
          </cell>
        </row>
      </sheetData>
      <sheetData sheetId="8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  <outlinePr summaryBelow="0"/>
  </sheetPr>
  <dimension ref="A1:AE113"/>
  <sheetViews>
    <sheetView showGridLines="0" tabSelected="1" zoomScaleNormal="100" workbookViewId="0">
      <pane xSplit="14" ySplit="7" topLeftCell="O8" activePane="bottomRight" state="frozen"/>
      <selection pane="topRight" activeCell="O1" sqref="O1"/>
      <selection pane="bottomLeft" activeCell="A8" sqref="A8"/>
      <selection pane="bottomRight" activeCell="AB18" sqref="AB18"/>
    </sheetView>
  </sheetViews>
  <sheetFormatPr defaultRowHeight="15" outlineLevelRow="1" outlineLevelCol="1" x14ac:dyDescent="0.25"/>
  <cols>
    <col min="1" max="1" width="3.85546875" style="54" customWidth="1"/>
    <col min="2" max="2" width="13.5703125" style="54" customWidth="1"/>
    <col min="3" max="3" width="5" style="54" customWidth="1"/>
    <col min="4" max="4" width="4.42578125" style="54" customWidth="1"/>
    <col min="5" max="5" width="5.85546875" style="54" customWidth="1"/>
    <col min="6" max="6" width="15.28515625" style="208" customWidth="1"/>
    <col min="7" max="8" width="5" style="54" customWidth="1"/>
    <col min="9" max="9" width="6.42578125" style="54" customWidth="1" outlineLevel="1"/>
    <col min="10" max="10" width="9" style="54" customWidth="1" outlineLevel="1"/>
    <col min="11" max="11" width="7.140625" style="54" customWidth="1" outlineLevel="1"/>
    <col min="12" max="12" width="12.42578125" style="54" customWidth="1"/>
    <col min="13" max="13" width="7.5703125" style="54" customWidth="1" outlineLevel="1"/>
    <col min="14" max="14" width="8.7109375" style="54" customWidth="1" outlineLevel="1"/>
    <col min="15" max="15" width="12.42578125" style="209" bestFit="1" customWidth="1"/>
    <col min="16" max="16" width="13.42578125" style="209" bestFit="1" customWidth="1"/>
    <col min="17" max="18" width="11.5703125" style="54" hidden="1" customWidth="1" outlineLevel="1"/>
    <col min="19" max="19" width="9.28515625" style="54" hidden="1" customWidth="1" outlineLevel="1"/>
    <col min="20" max="20" width="7.5703125" style="54" hidden="1" customWidth="1" outlineLevel="1"/>
    <col min="21" max="22" width="13.42578125" style="54" hidden="1" customWidth="1" outlineLevel="1"/>
    <col min="23" max="23" width="5.42578125" style="54" hidden="1" customWidth="1" outlineLevel="1"/>
    <col min="24" max="24" width="7.5703125" style="54" hidden="1" customWidth="1" outlineLevel="1"/>
    <col min="25" max="27" width="5.42578125" style="54" hidden="1" customWidth="1" outlineLevel="1"/>
    <col min="28" max="28" width="13.42578125" style="209" bestFit="1" customWidth="1" collapsed="1"/>
    <col min="29" max="29" width="9.5703125" style="54" customWidth="1"/>
    <col min="30" max="30" width="23" style="54" customWidth="1"/>
    <col min="31" max="31" width="7.28515625" style="54" bestFit="1" customWidth="1"/>
    <col min="32" max="256" width="9.140625" style="54"/>
    <col min="257" max="257" width="3.140625" style="54" bestFit="1" customWidth="1"/>
    <col min="258" max="258" width="15.140625" style="54" bestFit="1" customWidth="1"/>
    <col min="259" max="259" width="5" style="54" bestFit="1" customWidth="1"/>
    <col min="260" max="260" width="4" style="54" bestFit="1" customWidth="1"/>
    <col min="261" max="261" width="4.28515625" style="54" customWidth="1"/>
    <col min="262" max="262" width="15.28515625" style="54" customWidth="1"/>
    <col min="263" max="263" width="5" style="54" bestFit="1" customWidth="1"/>
    <col min="264" max="264" width="5" style="54" customWidth="1"/>
    <col min="265" max="265" width="5.5703125" style="54" bestFit="1" customWidth="1"/>
    <col min="266" max="266" width="8.140625" style="54" bestFit="1" customWidth="1"/>
    <col min="267" max="267" width="6.28515625" style="54" bestFit="1" customWidth="1"/>
    <col min="268" max="268" width="10.5703125" style="54" bestFit="1" customWidth="1"/>
    <col min="269" max="270" width="0" style="54" hidden="1" customWidth="1"/>
    <col min="271" max="271" width="9.28515625" style="54" bestFit="1" customWidth="1"/>
    <col min="272" max="272" width="6.5703125" style="54" customWidth="1"/>
    <col min="273" max="273" width="8.140625" style="54" customWidth="1"/>
    <col min="274" max="274" width="8" style="54" customWidth="1"/>
    <col min="275" max="276" width="6.5703125" style="54" customWidth="1"/>
    <col min="277" max="277" width="8.140625" style="54" customWidth="1"/>
    <col min="278" max="278" width="4.7109375" style="54" customWidth="1"/>
    <col min="279" max="279" width="6.5703125" style="54" customWidth="1"/>
    <col min="280" max="282" width="4.7109375" style="54" customWidth="1"/>
    <col min="283" max="283" width="9.42578125" style="54" bestFit="1" customWidth="1"/>
    <col min="284" max="284" width="9.5703125" style="54" customWidth="1"/>
    <col min="285" max="285" width="21.28515625" style="54" customWidth="1"/>
    <col min="286" max="286" width="6.42578125" style="54" bestFit="1" customWidth="1"/>
    <col min="287" max="512" width="9.140625" style="54"/>
    <col min="513" max="513" width="3.140625" style="54" bestFit="1" customWidth="1"/>
    <col min="514" max="514" width="15.140625" style="54" bestFit="1" customWidth="1"/>
    <col min="515" max="515" width="5" style="54" bestFit="1" customWidth="1"/>
    <col min="516" max="516" width="4" style="54" bestFit="1" customWidth="1"/>
    <col min="517" max="517" width="4.28515625" style="54" customWidth="1"/>
    <col min="518" max="518" width="15.28515625" style="54" customWidth="1"/>
    <col min="519" max="519" width="5" style="54" bestFit="1" customWidth="1"/>
    <col min="520" max="520" width="5" style="54" customWidth="1"/>
    <col min="521" max="521" width="5.5703125" style="54" bestFit="1" customWidth="1"/>
    <col min="522" max="522" width="8.140625" style="54" bestFit="1" customWidth="1"/>
    <col min="523" max="523" width="6.28515625" style="54" bestFit="1" customWidth="1"/>
    <col min="524" max="524" width="10.5703125" style="54" bestFit="1" customWidth="1"/>
    <col min="525" max="526" width="0" style="54" hidden="1" customWidth="1"/>
    <col min="527" max="527" width="9.28515625" style="54" bestFit="1" customWidth="1"/>
    <col min="528" max="528" width="6.5703125" style="54" customWidth="1"/>
    <col min="529" max="529" width="8.140625" style="54" customWidth="1"/>
    <col min="530" max="530" width="8" style="54" customWidth="1"/>
    <col min="531" max="532" width="6.5703125" style="54" customWidth="1"/>
    <col min="533" max="533" width="8.140625" style="54" customWidth="1"/>
    <col min="534" max="534" width="4.7109375" style="54" customWidth="1"/>
    <col min="535" max="535" width="6.5703125" style="54" customWidth="1"/>
    <col min="536" max="538" width="4.7109375" style="54" customWidth="1"/>
    <col min="539" max="539" width="9.42578125" style="54" bestFit="1" customWidth="1"/>
    <col min="540" max="540" width="9.5703125" style="54" customWidth="1"/>
    <col min="541" max="541" width="21.28515625" style="54" customWidth="1"/>
    <col min="542" max="542" width="6.42578125" style="54" bestFit="1" customWidth="1"/>
    <col min="543" max="768" width="9.140625" style="54"/>
    <col min="769" max="769" width="3.140625" style="54" bestFit="1" customWidth="1"/>
    <col min="770" max="770" width="15.140625" style="54" bestFit="1" customWidth="1"/>
    <col min="771" max="771" width="5" style="54" bestFit="1" customWidth="1"/>
    <col min="772" max="772" width="4" style="54" bestFit="1" customWidth="1"/>
    <col min="773" max="773" width="4.28515625" style="54" customWidth="1"/>
    <col min="774" max="774" width="15.28515625" style="54" customWidth="1"/>
    <col min="775" max="775" width="5" style="54" bestFit="1" customWidth="1"/>
    <col min="776" max="776" width="5" style="54" customWidth="1"/>
    <col min="777" max="777" width="5.5703125" style="54" bestFit="1" customWidth="1"/>
    <col min="778" max="778" width="8.140625" style="54" bestFit="1" customWidth="1"/>
    <col min="779" max="779" width="6.28515625" style="54" bestFit="1" customWidth="1"/>
    <col min="780" max="780" width="10.5703125" style="54" bestFit="1" customWidth="1"/>
    <col min="781" max="782" width="0" style="54" hidden="1" customWidth="1"/>
    <col min="783" max="783" width="9.28515625" style="54" bestFit="1" customWidth="1"/>
    <col min="784" max="784" width="6.5703125" style="54" customWidth="1"/>
    <col min="785" max="785" width="8.140625" style="54" customWidth="1"/>
    <col min="786" max="786" width="8" style="54" customWidth="1"/>
    <col min="787" max="788" width="6.5703125" style="54" customWidth="1"/>
    <col min="789" max="789" width="8.140625" style="54" customWidth="1"/>
    <col min="790" max="790" width="4.7109375" style="54" customWidth="1"/>
    <col min="791" max="791" width="6.5703125" style="54" customWidth="1"/>
    <col min="792" max="794" width="4.7109375" style="54" customWidth="1"/>
    <col min="795" max="795" width="9.42578125" style="54" bestFit="1" customWidth="1"/>
    <col min="796" max="796" width="9.5703125" style="54" customWidth="1"/>
    <col min="797" max="797" width="21.28515625" style="54" customWidth="1"/>
    <col min="798" max="798" width="6.42578125" style="54" bestFit="1" customWidth="1"/>
    <col min="799" max="1024" width="9.140625" style="54"/>
    <col min="1025" max="1025" width="3.140625" style="54" bestFit="1" customWidth="1"/>
    <col min="1026" max="1026" width="15.140625" style="54" bestFit="1" customWidth="1"/>
    <col min="1027" max="1027" width="5" style="54" bestFit="1" customWidth="1"/>
    <col min="1028" max="1028" width="4" style="54" bestFit="1" customWidth="1"/>
    <col min="1029" max="1029" width="4.28515625" style="54" customWidth="1"/>
    <col min="1030" max="1030" width="15.28515625" style="54" customWidth="1"/>
    <col min="1031" max="1031" width="5" style="54" bestFit="1" customWidth="1"/>
    <col min="1032" max="1032" width="5" style="54" customWidth="1"/>
    <col min="1033" max="1033" width="5.5703125" style="54" bestFit="1" customWidth="1"/>
    <col min="1034" max="1034" width="8.140625" style="54" bestFit="1" customWidth="1"/>
    <col min="1035" max="1035" width="6.28515625" style="54" bestFit="1" customWidth="1"/>
    <col min="1036" max="1036" width="10.5703125" style="54" bestFit="1" customWidth="1"/>
    <col min="1037" max="1038" width="0" style="54" hidden="1" customWidth="1"/>
    <col min="1039" max="1039" width="9.28515625" style="54" bestFit="1" customWidth="1"/>
    <col min="1040" max="1040" width="6.5703125" style="54" customWidth="1"/>
    <col min="1041" max="1041" width="8.140625" style="54" customWidth="1"/>
    <col min="1042" max="1042" width="8" style="54" customWidth="1"/>
    <col min="1043" max="1044" width="6.5703125" style="54" customWidth="1"/>
    <col min="1045" max="1045" width="8.140625" style="54" customWidth="1"/>
    <col min="1046" max="1046" width="4.7109375" style="54" customWidth="1"/>
    <col min="1047" max="1047" width="6.5703125" style="54" customWidth="1"/>
    <col min="1048" max="1050" width="4.7109375" style="54" customWidth="1"/>
    <col min="1051" max="1051" width="9.42578125" style="54" bestFit="1" customWidth="1"/>
    <col min="1052" max="1052" width="9.5703125" style="54" customWidth="1"/>
    <col min="1053" max="1053" width="21.28515625" style="54" customWidth="1"/>
    <col min="1054" max="1054" width="6.42578125" style="54" bestFit="1" customWidth="1"/>
    <col min="1055" max="1280" width="9.140625" style="54"/>
    <col min="1281" max="1281" width="3.140625" style="54" bestFit="1" customWidth="1"/>
    <col min="1282" max="1282" width="15.140625" style="54" bestFit="1" customWidth="1"/>
    <col min="1283" max="1283" width="5" style="54" bestFit="1" customWidth="1"/>
    <col min="1284" max="1284" width="4" style="54" bestFit="1" customWidth="1"/>
    <col min="1285" max="1285" width="4.28515625" style="54" customWidth="1"/>
    <col min="1286" max="1286" width="15.28515625" style="54" customWidth="1"/>
    <col min="1287" max="1287" width="5" style="54" bestFit="1" customWidth="1"/>
    <col min="1288" max="1288" width="5" style="54" customWidth="1"/>
    <col min="1289" max="1289" width="5.5703125" style="54" bestFit="1" customWidth="1"/>
    <col min="1290" max="1290" width="8.140625" style="54" bestFit="1" customWidth="1"/>
    <col min="1291" max="1291" width="6.28515625" style="54" bestFit="1" customWidth="1"/>
    <col min="1292" max="1292" width="10.5703125" style="54" bestFit="1" customWidth="1"/>
    <col min="1293" max="1294" width="0" style="54" hidden="1" customWidth="1"/>
    <col min="1295" max="1295" width="9.28515625" style="54" bestFit="1" customWidth="1"/>
    <col min="1296" max="1296" width="6.5703125" style="54" customWidth="1"/>
    <col min="1297" max="1297" width="8.140625" style="54" customWidth="1"/>
    <col min="1298" max="1298" width="8" style="54" customWidth="1"/>
    <col min="1299" max="1300" width="6.5703125" style="54" customWidth="1"/>
    <col min="1301" max="1301" width="8.140625" style="54" customWidth="1"/>
    <col min="1302" max="1302" width="4.7109375" style="54" customWidth="1"/>
    <col min="1303" max="1303" width="6.5703125" style="54" customWidth="1"/>
    <col min="1304" max="1306" width="4.7109375" style="54" customWidth="1"/>
    <col min="1307" max="1307" width="9.42578125" style="54" bestFit="1" customWidth="1"/>
    <col min="1308" max="1308" width="9.5703125" style="54" customWidth="1"/>
    <col min="1309" max="1309" width="21.28515625" style="54" customWidth="1"/>
    <col min="1310" max="1310" width="6.42578125" style="54" bestFit="1" customWidth="1"/>
    <col min="1311" max="1536" width="9.140625" style="54"/>
    <col min="1537" max="1537" width="3.140625" style="54" bestFit="1" customWidth="1"/>
    <col min="1538" max="1538" width="15.140625" style="54" bestFit="1" customWidth="1"/>
    <col min="1539" max="1539" width="5" style="54" bestFit="1" customWidth="1"/>
    <col min="1540" max="1540" width="4" style="54" bestFit="1" customWidth="1"/>
    <col min="1541" max="1541" width="4.28515625" style="54" customWidth="1"/>
    <col min="1542" max="1542" width="15.28515625" style="54" customWidth="1"/>
    <col min="1543" max="1543" width="5" style="54" bestFit="1" customWidth="1"/>
    <col min="1544" max="1544" width="5" style="54" customWidth="1"/>
    <col min="1545" max="1545" width="5.5703125" style="54" bestFit="1" customWidth="1"/>
    <col min="1546" max="1546" width="8.140625" style="54" bestFit="1" customWidth="1"/>
    <col min="1547" max="1547" width="6.28515625" style="54" bestFit="1" customWidth="1"/>
    <col min="1548" max="1548" width="10.5703125" style="54" bestFit="1" customWidth="1"/>
    <col min="1549" max="1550" width="0" style="54" hidden="1" customWidth="1"/>
    <col min="1551" max="1551" width="9.28515625" style="54" bestFit="1" customWidth="1"/>
    <col min="1552" max="1552" width="6.5703125" style="54" customWidth="1"/>
    <col min="1553" max="1553" width="8.140625" style="54" customWidth="1"/>
    <col min="1554" max="1554" width="8" style="54" customWidth="1"/>
    <col min="1555" max="1556" width="6.5703125" style="54" customWidth="1"/>
    <col min="1557" max="1557" width="8.140625" style="54" customWidth="1"/>
    <col min="1558" max="1558" width="4.7109375" style="54" customWidth="1"/>
    <col min="1559" max="1559" width="6.5703125" style="54" customWidth="1"/>
    <col min="1560" max="1562" width="4.7109375" style="54" customWidth="1"/>
    <col min="1563" max="1563" width="9.42578125" style="54" bestFit="1" customWidth="1"/>
    <col min="1564" max="1564" width="9.5703125" style="54" customWidth="1"/>
    <col min="1565" max="1565" width="21.28515625" style="54" customWidth="1"/>
    <col min="1566" max="1566" width="6.42578125" style="54" bestFit="1" customWidth="1"/>
    <col min="1567" max="1792" width="9.140625" style="54"/>
    <col min="1793" max="1793" width="3.140625" style="54" bestFit="1" customWidth="1"/>
    <col min="1794" max="1794" width="15.140625" style="54" bestFit="1" customWidth="1"/>
    <col min="1795" max="1795" width="5" style="54" bestFit="1" customWidth="1"/>
    <col min="1796" max="1796" width="4" style="54" bestFit="1" customWidth="1"/>
    <col min="1797" max="1797" width="4.28515625" style="54" customWidth="1"/>
    <col min="1798" max="1798" width="15.28515625" style="54" customWidth="1"/>
    <col min="1799" max="1799" width="5" style="54" bestFit="1" customWidth="1"/>
    <col min="1800" max="1800" width="5" style="54" customWidth="1"/>
    <col min="1801" max="1801" width="5.5703125" style="54" bestFit="1" customWidth="1"/>
    <col min="1802" max="1802" width="8.140625" style="54" bestFit="1" customWidth="1"/>
    <col min="1803" max="1803" width="6.28515625" style="54" bestFit="1" customWidth="1"/>
    <col min="1804" max="1804" width="10.5703125" style="54" bestFit="1" customWidth="1"/>
    <col min="1805" max="1806" width="0" style="54" hidden="1" customWidth="1"/>
    <col min="1807" max="1807" width="9.28515625" style="54" bestFit="1" customWidth="1"/>
    <col min="1808" max="1808" width="6.5703125" style="54" customWidth="1"/>
    <col min="1809" max="1809" width="8.140625" style="54" customWidth="1"/>
    <col min="1810" max="1810" width="8" style="54" customWidth="1"/>
    <col min="1811" max="1812" width="6.5703125" style="54" customWidth="1"/>
    <col min="1813" max="1813" width="8.140625" style="54" customWidth="1"/>
    <col min="1814" max="1814" width="4.7109375" style="54" customWidth="1"/>
    <col min="1815" max="1815" width="6.5703125" style="54" customWidth="1"/>
    <col min="1816" max="1818" width="4.7109375" style="54" customWidth="1"/>
    <col min="1819" max="1819" width="9.42578125" style="54" bestFit="1" customWidth="1"/>
    <col min="1820" max="1820" width="9.5703125" style="54" customWidth="1"/>
    <col min="1821" max="1821" width="21.28515625" style="54" customWidth="1"/>
    <col min="1822" max="1822" width="6.42578125" style="54" bestFit="1" customWidth="1"/>
    <col min="1823" max="2048" width="9.140625" style="54"/>
    <col min="2049" max="2049" width="3.140625" style="54" bestFit="1" customWidth="1"/>
    <col min="2050" max="2050" width="15.140625" style="54" bestFit="1" customWidth="1"/>
    <col min="2051" max="2051" width="5" style="54" bestFit="1" customWidth="1"/>
    <col min="2052" max="2052" width="4" style="54" bestFit="1" customWidth="1"/>
    <col min="2053" max="2053" width="4.28515625" style="54" customWidth="1"/>
    <col min="2054" max="2054" width="15.28515625" style="54" customWidth="1"/>
    <col min="2055" max="2055" width="5" style="54" bestFit="1" customWidth="1"/>
    <col min="2056" max="2056" width="5" style="54" customWidth="1"/>
    <col min="2057" max="2057" width="5.5703125" style="54" bestFit="1" customWidth="1"/>
    <col min="2058" max="2058" width="8.140625" style="54" bestFit="1" customWidth="1"/>
    <col min="2059" max="2059" width="6.28515625" style="54" bestFit="1" customWidth="1"/>
    <col min="2060" max="2060" width="10.5703125" style="54" bestFit="1" customWidth="1"/>
    <col min="2061" max="2062" width="0" style="54" hidden="1" customWidth="1"/>
    <col min="2063" max="2063" width="9.28515625" style="54" bestFit="1" customWidth="1"/>
    <col min="2064" max="2064" width="6.5703125" style="54" customWidth="1"/>
    <col min="2065" max="2065" width="8.140625" style="54" customWidth="1"/>
    <col min="2066" max="2066" width="8" style="54" customWidth="1"/>
    <col min="2067" max="2068" width="6.5703125" style="54" customWidth="1"/>
    <col min="2069" max="2069" width="8.140625" style="54" customWidth="1"/>
    <col min="2070" max="2070" width="4.7109375" style="54" customWidth="1"/>
    <col min="2071" max="2071" width="6.5703125" style="54" customWidth="1"/>
    <col min="2072" max="2074" width="4.7109375" style="54" customWidth="1"/>
    <col min="2075" max="2075" width="9.42578125" style="54" bestFit="1" customWidth="1"/>
    <col min="2076" max="2076" width="9.5703125" style="54" customWidth="1"/>
    <col min="2077" max="2077" width="21.28515625" style="54" customWidth="1"/>
    <col min="2078" max="2078" width="6.42578125" style="54" bestFit="1" customWidth="1"/>
    <col min="2079" max="2304" width="9.140625" style="54"/>
    <col min="2305" max="2305" width="3.140625" style="54" bestFit="1" customWidth="1"/>
    <col min="2306" max="2306" width="15.140625" style="54" bestFit="1" customWidth="1"/>
    <col min="2307" max="2307" width="5" style="54" bestFit="1" customWidth="1"/>
    <col min="2308" max="2308" width="4" style="54" bestFit="1" customWidth="1"/>
    <col min="2309" max="2309" width="4.28515625" style="54" customWidth="1"/>
    <col min="2310" max="2310" width="15.28515625" style="54" customWidth="1"/>
    <col min="2311" max="2311" width="5" style="54" bestFit="1" customWidth="1"/>
    <col min="2312" max="2312" width="5" style="54" customWidth="1"/>
    <col min="2313" max="2313" width="5.5703125" style="54" bestFit="1" customWidth="1"/>
    <col min="2314" max="2314" width="8.140625" style="54" bestFit="1" customWidth="1"/>
    <col min="2315" max="2315" width="6.28515625" style="54" bestFit="1" customWidth="1"/>
    <col min="2316" max="2316" width="10.5703125" style="54" bestFit="1" customWidth="1"/>
    <col min="2317" max="2318" width="0" style="54" hidden="1" customWidth="1"/>
    <col min="2319" max="2319" width="9.28515625" style="54" bestFit="1" customWidth="1"/>
    <col min="2320" max="2320" width="6.5703125" style="54" customWidth="1"/>
    <col min="2321" max="2321" width="8.140625" style="54" customWidth="1"/>
    <col min="2322" max="2322" width="8" style="54" customWidth="1"/>
    <col min="2323" max="2324" width="6.5703125" style="54" customWidth="1"/>
    <col min="2325" max="2325" width="8.140625" style="54" customWidth="1"/>
    <col min="2326" max="2326" width="4.7109375" style="54" customWidth="1"/>
    <col min="2327" max="2327" width="6.5703125" style="54" customWidth="1"/>
    <col min="2328" max="2330" width="4.7109375" style="54" customWidth="1"/>
    <col min="2331" max="2331" width="9.42578125" style="54" bestFit="1" customWidth="1"/>
    <col min="2332" max="2332" width="9.5703125" style="54" customWidth="1"/>
    <col min="2333" max="2333" width="21.28515625" style="54" customWidth="1"/>
    <col min="2334" max="2334" width="6.42578125" style="54" bestFit="1" customWidth="1"/>
    <col min="2335" max="2560" width="9.140625" style="54"/>
    <col min="2561" max="2561" width="3.140625" style="54" bestFit="1" customWidth="1"/>
    <col min="2562" max="2562" width="15.140625" style="54" bestFit="1" customWidth="1"/>
    <col min="2563" max="2563" width="5" style="54" bestFit="1" customWidth="1"/>
    <col min="2564" max="2564" width="4" style="54" bestFit="1" customWidth="1"/>
    <col min="2565" max="2565" width="4.28515625" style="54" customWidth="1"/>
    <col min="2566" max="2566" width="15.28515625" style="54" customWidth="1"/>
    <col min="2567" max="2567" width="5" style="54" bestFit="1" customWidth="1"/>
    <col min="2568" max="2568" width="5" style="54" customWidth="1"/>
    <col min="2569" max="2569" width="5.5703125" style="54" bestFit="1" customWidth="1"/>
    <col min="2570" max="2570" width="8.140625" style="54" bestFit="1" customWidth="1"/>
    <col min="2571" max="2571" width="6.28515625" style="54" bestFit="1" customWidth="1"/>
    <col min="2572" max="2572" width="10.5703125" style="54" bestFit="1" customWidth="1"/>
    <col min="2573" max="2574" width="0" style="54" hidden="1" customWidth="1"/>
    <col min="2575" max="2575" width="9.28515625" style="54" bestFit="1" customWidth="1"/>
    <col min="2576" max="2576" width="6.5703125" style="54" customWidth="1"/>
    <col min="2577" max="2577" width="8.140625" style="54" customWidth="1"/>
    <col min="2578" max="2578" width="8" style="54" customWidth="1"/>
    <col min="2579" max="2580" width="6.5703125" style="54" customWidth="1"/>
    <col min="2581" max="2581" width="8.140625" style="54" customWidth="1"/>
    <col min="2582" max="2582" width="4.7109375" style="54" customWidth="1"/>
    <col min="2583" max="2583" width="6.5703125" style="54" customWidth="1"/>
    <col min="2584" max="2586" width="4.7109375" style="54" customWidth="1"/>
    <col min="2587" max="2587" width="9.42578125" style="54" bestFit="1" customWidth="1"/>
    <col min="2588" max="2588" width="9.5703125" style="54" customWidth="1"/>
    <col min="2589" max="2589" width="21.28515625" style="54" customWidth="1"/>
    <col min="2590" max="2590" width="6.42578125" style="54" bestFit="1" customWidth="1"/>
    <col min="2591" max="2816" width="9.140625" style="54"/>
    <col min="2817" max="2817" width="3.140625" style="54" bestFit="1" customWidth="1"/>
    <col min="2818" max="2818" width="15.140625" style="54" bestFit="1" customWidth="1"/>
    <col min="2819" max="2819" width="5" style="54" bestFit="1" customWidth="1"/>
    <col min="2820" max="2820" width="4" style="54" bestFit="1" customWidth="1"/>
    <col min="2821" max="2821" width="4.28515625" style="54" customWidth="1"/>
    <col min="2822" max="2822" width="15.28515625" style="54" customWidth="1"/>
    <col min="2823" max="2823" width="5" style="54" bestFit="1" customWidth="1"/>
    <col min="2824" max="2824" width="5" style="54" customWidth="1"/>
    <col min="2825" max="2825" width="5.5703125" style="54" bestFit="1" customWidth="1"/>
    <col min="2826" max="2826" width="8.140625" style="54" bestFit="1" customWidth="1"/>
    <col min="2827" max="2827" width="6.28515625" style="54" bestFit="1" customWidth="1"/>
    <col min="2828" max="2828" width="10.5703125" style="54" bestFit="1" customWidth="1"/>
    <col min="2829" max="2830" width="0" style="54" hidden="1" customWidth="1"/>
    <col min="2831" max="2831" width="9.28515625" style="54" bestFit="1" customWidth="1"/>
    <col min="2832" max="2832" width="6.5703125" style="54" customWidth="1"/>
    <col min="2833" max="2833" width="8.140625" style="54" customWidth="1"/>
    <col min="2834" max="2834" width="8" style="54" customWidth="1"/>
    <col min="2835" max="2836" width="6.5703125" style="54" customWidth="1"/>
    <col min="2837" max="2837" width="8.140625" style="54" customWidth="1"/>
    <col min="2838" max="2838" width="4.7109375" style="54" customWidth="1"/>
    <col min="2839" max="2839" width="6.5703125" style="54" customWidth="1"/>
    <col min="2840" max="2842" width="4.7109375" style="54" customWidth="1"/>
    <col min="2843" max="2843" width="9.42578125" style="54" bestFit="1" customWidth="1"/>
    <col min="2844" max="2844" width="9.5703125" style="54" customWidth="1"/>
    <col min="2845" max="2845" width="21.28515625" style="54" customWidth="1"/>
    <col min="2846" max="2846" width="6.42578125" style="54" bestFit="1" customWidth="1"/>
    <col min="2847" max="3072" width="9.140625" style="54"/>
    <col min="3073" max="3073" width="3.140625" style="54" bestFit="1" customWidth="1"/>
    <col min="3074" max="3074" width="15.140625" style="54" bestFit="1" customWidth="1"/>
    <col min="3075" max="3075" width="5" style="54" bestFit="1" customWidth="1"/>
    <col min="3076" max="3076" width="4" style="54" bestFit="1" customWidth="1"/>
    <col min="3077" max="3077" width="4.28515625" style="54" customWidth="1"/>
    <col min="3078" max="3078" width="15.28515625" style="54" customWidth="1"/>
    <col min="3079" max="3079" width="5" style="54" bestFit="1" customWidth="1"/>
    <col min="3080" max="3080" width="5" style="54" customWidth="1"/>
    <col min="3081" max="3081" width="5.5703125" style="54" bestFit="1" customWidth="1"/>
    <col min="3082" max="3082" width="8.140625" style="54" bestFit="1" customWidth="1"/>
    <col min="3083" max="3083" width="6.28515625" style="54" bestFit="1" customWidth="1"/>
    <col min="3084" max="3084" width="10.5703125" style="54" bestFit="1" customWidth="1"/>
    <col min="3085" max="3086" width="0" style="54" hidden="1" customWidth="1"/>
    <col min="3087" max="3087" width="9.28515625" style="54" bestFit="1" customWidth="1"/>
    <col min="3088" max="3088" width="6.5703125" style="54" customWidth="1"/>
    <col min="3089" max="3089" width="8.140625" style="54" customWidth="1"/>
    <col min="3090" max="3090" width="8" style="54" customWidth="1"/>
    <col min="3091" max="3092" width="6.5703125" style="54" customWidth="1"/>
    <col min="3093" max="3093" width="8.140625" style="54" customWidth="1"/>
    <col min="3094" max="3094" width="4.7109375" style="54" customWidth="1"/>
    <col min="3095" max="3095" width="6.5703125" style="54" customWidth="1"/>
    <col min="3096" max="3098" width="4.7109375" style="54" customWidth="1"/>
    <col min="3099" max="3099" width="9.42578125" style="54" bestFit="1" customWidth="1"/>
    <col min="3100" max="3100" width="9.5703125" style="54" customWidth="1"/>
    <col min="3101" max="3101" width="21.28515625" style="54" customWidth="1"/>
    <col min="3102" max="3102" width="6.42578125" style="54" bestFit="1" customWidth="1"/>
    <col min="3103" max="3328" width="9.140625" style="54"/>
    <col min="3329" max="3329" width="3.140625" style="54" bestFit="1" customWidth="1"/>
    <col min="3330" max="3330" width="15.140625" style="54" bestFit="1" customWidth="1"/>
    <col min="3331" max="3331" width="5" style="54" bestFit="1" customWidth="1"/>
    <col min="3332" max="3332" width="4" style="54" bestFit="1" customWidth="1"/>
    <col min="3333" max="3333" width="4.28515625" style="54" customWidth="1"/>
    <col min="3334" max="3334" width="15.28515625" style="54" customWidth="1"/>
    <col min="3335" max="3335" width="5" style="54" bestFit="1" customWidth="1"/>
    <col min="3336" max="3336" width="5" style="54" customWidth="1"/>
    <col min="3337" max="3337" width="5.5703125" style="54" bestFit="1" customWidth="1"/>
    <col min="3338" max="3338" width="8.140625" style="54" bestFit="1" customWidth="1"/>
    <col min="3339" max="3339" width="6.28515625" style="54" bestFit="1" customWidth="1"/>
    <col min="3340" max="3340" width="10.5703125" style="54" bestFit="1" customWidth="1"/>
    <col min="3341" max="3342" width="0" style="54" hidden="1" customWidth="1"/>
    <col min="3343" max="3343" width="9.28515625" style="54" bestFit="1" customWidth="1"/>
    <col min="3344" max="3344" width="6.5703125" style="54" customWidth="1"/>
    <col min="3345" max="3345" width="8.140625" style="54" customWidth="1"/>
    <col min="3346" max="3346" width="8" style="54" customWidth="1"/>
    <col min="3347" max="3348" width="6.5703125" style="54" customWidth="1"/>
    <col min="3349" max="3349" width="8.140625" style="54" customWidth="1"/>
    <col min="3350" max="3350" width="4.7109375" style="54" customWidth="1"/>
    <col min="3351" max="3351" width="6.5703125" style="54" customWidth="1"/>
    <col min="3352" max="3354" width="4.7109375" style="54" customWidth="1"/>
    <col min="3355" max="3355" width="9.42578125" style="54" bestFit="1" customWidth="1"/>
    <col min="3356" max="3356" width="9.5703125" style="54" customWidth="1"/>
    <col min="3357" max="3357" width="21.28515625" style="54" customWidth="1"/>
    <col min="3358" max="3358" width="6.42578125" style="54" bestFit="1" customWidth="1"/>
    <col min="3359" max="3584" width="9.140625" style="54"/>
    <col min="3585" max="3585" width="3.140625" style="54" bestFit="1" customWidth="1"/>
    <col min="3586" max="3586" width="15.140625" style="54" bestFit="1" customWidth="1"/>
    <col min="3587" max="3587" width="5" style="54" bestFit="1" customWidth="1"/>
    <col min="3588" max="3588" width="4" style="54" bestFit="1" customWidth="1"/>
    <col min="3589" max="3589" width="4.28515625" style="54" customWidth="1"/>
    <col min="3590" max="3590" width="15.28515625" style="54" customWidth="1"/>
    <col min="3591" max="3591" width="5" style="54" bestFit="1" customWidth="1"/>
    <col min="3592" max="3592" width="5" style="54" customWidth="1"/>
    <col min="3593" max="3593" width="5.5703125" style="54" bestFit="1" customWidth="1"/>
    <col min="3594" max="3594" width="8.140625" style="54" bestFit="1" customWidth="1"/>
    <col min="3595" max="3595" width="6.28515625" style="54" bestFit="1" customWidth="1"/>
    <col min="3596" max="3596" width="10.5703125" style="54" bestFit="1" customWidth="1"/>
    <col min="3597" max="3598" width="0" style="54" hidden="1" customWidth="1"/>
    <col min="3599" max="3599" width="9.28515625" style="54" bestFit="1" customWidth="1"/>
    <col min="3600" max="3600" width="6.5703125" style="54" customWidth="1"/>
    <col min="3601" max="3601" width="8.140625" style="54" customWidth="1"/>
    <col min="3602" max="3602" width="8" style="54" customWidth="1"/>
    <col min="3603" max="3604" width="6.5703125" style="54" customWidth="1"/>
    <col min="3605" max="3605" width="8.140625" style="54" customWidth="1"/>
    <col min="3606" max="3606" width="4.7109375" style="54" customWidth="1"/>
    <col min="3607" max="3607" width="6.5703125" style="54" customWidth="1"/>
    <col min="3608" max="3610" width="4.7109375" style="54" customWidth="1"/>
    <col min="3611" max="3611" width="9.42578125" style="54" bestFit="1" customWidth="1"/>
    <col min="3612" max="3612" width="9.5703125" style="54" customWidth="1"/>
    <col min="3613" max="3613" width="21.28515625" style="54" customWidth="1"/>
    <col min="3614" max="3614" width="6.42578125" style="54" bestFit="1" customWidth="1"/>
    <col min="3615" max="3840" width="9.140625" style="54"/>
    <col min="3841" max="3841" width="3.140625" style="54" bestFit="1" customWidth="1"/>
    <col min="3842" max="3842" width="15.140625" style="54" bestFit="1" customWidth="1"/>
    <col min="3843" max="3843" width="5" style="54" bestFit="1" customWidth="1"/>
    <col min="3844" max="3844" width="4" style="54" bestFit="1" customWidth="1"/>
    <col min="3845" max="3845" width="4.28515625" style="54" customWidth="1"/>
    <col min="3846" max="3846" width="15.28515625" style="54" customWidth="1"/>
    <col min="3847" max="3847" width="5" style="54" bestFit="1" customWidth="1"/>
    <col min="3848" max="3848" width="5" style="54" customWidth="1"/>
    <col min="3849" max="3849" width="5.5703125" style="54" bestFit="1" customWidth="1"/>
    <col min="3850" max="3850" width="8.140625" style="54" bestFit="1" customWidth="1"/>
    <col min="3851" max="3851" width="6.28515625" style="54" bestFit="1" customWidth="1"/>
    <col min="3852" max="3852" width="10.5703125" style="54" bestFit="1" customWidth="1"/>
    <col min="3853" max="3854" width="0" style="54" hidden="1" customWidth="1"/>
    <col min="3855" max="3855" width="9.28515625" style="54" bestFit="1" customWidth="1"/>
    <col min="3856" max="3856" width="6.5703125" style="54" customWidth="1"/>
    <col min="3857" max="3857" width="8.140625" style="54" customWidth="1"/>
    <col min="3858" max="3858" width="8" style="54" customWidth="1"/>
    <col min="3859" max="3860" width="6.5703125" style="54" customWidth="1"/>
    <col min="3861" max="3861" width="8.140625" style="54" customWidth="1"/>
    <col min="3862" max="3862" width="4.7109375" style="54" customWidth="1"/>
    <col min="3863" max="3863" width="6.5703125" style="54" customWidth="1"/>
    <col min="3864" max="3866" width="4.7109375" style="54" customWidth="1"/>
    <col min="3867" max="3867" width="9.42578125" style="54" bestFit="1" customWidth="1"/>
    <col min="3868" max="3868" width="9.5703125" style="54" customWidth="1"/>
    <col min="3869" max="3869" width="21.28515625" style="54" customWidth="1"/>
    <col min="3870" max="3870" width="6.42578125" style="54" bestFit="1" customWidth="1"/>
    <col min="3871" max="4096" width="9.140625" style="54"/>
    <col min="4097" max="4097" width="3.140625" style="54" bestFit="1" customWidth="1"/>
    <col min="4098" max="4098" width="15.140625" style="54" bestFit="1" customWidth="1"/>
    <col min="4099" max="4099" width="5" style="54" bestFit="1" customWidth="1"/>
    <col min="4100" max="4100" width="4" style="54" bestFit="1" customWidth="1"/>
    <col min="4101" max="4101" width="4.28515625" style="54" customWidth="1"/>
    <col min="4102" max="4102" width="15.28515625" style="54" customWidth="1"/>
    <col min="4103" max="4103" width="5" style="54" bestFit="1" customWidth="1"/>
    <col min="4104" max="4104" width="5" style="54" customWidth="1"/>
    <col min="4105" max="4105" width="5.5703125" style="54" bestFit="1" customWidth="1"/>
    <col min="4106" max="4106" width="8.140625" style="54" bestFit="1" customWidth="1"/>
    <col min="4107" max="4107" width="6.28515625" style="54" bestFit="1" customWidth="1"/>
    <col min="4108" max="4108" width="10.5703125" style="54" bestFit="1" customWidth="1"/>
    <col min="4109" max="4110" width="0" style="54" hidden="1" customWidth="1"/>
    <col min="4111" max="4111" width="9.28515625" style="54" bestFit="1" customWidth="1"/>
    <col min="4112" max="4112" width="6.5703125" style="54" customWidth="1"/>
    <col min="4113" max="4113" width="8.140625" style="54" customWidth="1"/>
    <col min="4114" max="4114" width="8" style="54" customWidth="1"/>
    <col min="4115" max="4116" width="6.5703125" style="54" customWidth="1"/>
    <col min="4117" max="4117" width="8.140625" style="54" customWidth="1"/>
    <col min="4118" max="4118" width="4.7109375" style="54" customWidth="1"/>
    <col min="4119" max="4119" width="6.5703125" style="54" customWidth="1"/>
    <col min="4120" max="4122" width="4.7109375" style="54" customWidth="1"/>
    <col min="4123" max="4123" width="9.42578125" style="54" bestFit="1" customWidth="1"/>
    <col min="4124" max="4124" width="9.5703125" style="54" customWidth="1"/>
    <col min="4125" max="4125" width="21.28515625" style="54" customWidth="1"/>
    <col min="4126" max="4126" width="6.42578125" style="54" bestFit="1" customWidth="1"/>
    <col min="4127" max="4352" width="9.140625" style="54"/>
    <col min="4353" max="4353" width="3.140625" style="54" bestFit="1" customWidth="1"/>
    <col min="4354" max="4354" width="15.140625" style="54" bestFit="1" customWidth="1"/>
    <col min="4355" max="4355" width="5" style="54" bestFit="1" customWidth="1"/>
    <col min="4356" max="4356" width="4" style="54" bestFit="1" customWidth="1"/>
    <col min="4357" max="4357" width="4.28515625" style="54" customWidth="1"/>
    <col min="4358" max="4358" width="15.28515625" style="54" customWidth="1"/>
    <col min="4359" max="4359" width="5" style="54" bestFit="1" customWidth="1"/>
    <col min="4360" max="4360" width="5" style="54" customWidth="1"/>
    <col min="4361" max="4361" width="5.5703125" style="54" bestFit="1" customWidth="1"/>
    <col min="4362" max="4362" width="8.140625" style="54" bestFit="1" customWidth="1"/>
    <col min="4363" max="4363" width="6.28515625" style="54" bestFit="1" customWidth="1"/>
    <col min="4364" max="4364" width="10.5703125" style="54" bestFit="1" customWidth="1"/>
    <col min="4365" max="4366" width="0" style="54" hidden="1" customWidth="1"/>
    <col min="4367" max="4367" width="9.28515625" style="54" bestFit="1" customWidth="1"/>
    <col min="4368" max="4368" width="6.5703125" style="54" customWidth="1"/>
    <col min="4369" max="4369" width="8.140625" style="54" customWidth="1"/>
    <col min="4370" max="4370" width="8" style="54" customWidth="1"/>
    <col min="4371" max="4372" width="6.5703125" style="54" customWidth="1"/>
    <col min="4373" max="4373" width="8.140625" style="54" customWidth="1"/>
    <col min="4374" max="4374" width="4.7109375" style="54" customWidth="1"/>
    <col min="4375" max="4375" width="6.5703125" style="54" customWidth="1"/>
    <col min="4376" max="4378" width="4.7109375" style="54" customWidth="1"/>
    <col min="4379" max="4379" width="9.42578125" style="54" bestFit="1" customWidth="1"/>
    <col min="4380" max="4380" width="9.5703125" style="54" customWidth="1"/>
    <col min="4381" max="4381" width="21.28515625" style="54" customWidth="1"/>
    <col min="4382" max="4382" width="6.42578125" style="54" bestFit="1" customWidth="1"/>
    <col min="4383" max="4608" width="9.140625" style="54"/>
    <col min="4609" max="4609" width="3.140625" style="54" bestFit="1" customWidth="1"/>
    <col min="4610" max="4610" width="15.140625" style="54" bestFit="1" customWidth="1"/>
    <col min="4611" max="4611" width="5" style="54" bestFit="1" customWidth="1"/>
    <col min="4612" max="4612" width="4" style="54" bestFit="1" customWidth="1"/>
    <col min="4613" max="4613" width="4.28515625" style="54" customWidth="1"/>
    <col min="4614" max="4614" width="15.28515625" style="54" customWidth="1"/>
    <col min="4615" max="4615" width="5" style="54" bestFit="1" customWidth="1"/>
    <col min="4616" max="4616" width="5" style="54" customWidth="1"/>
    <col min="4617" max="4617" width="5.5703125" style="54" bestFit="1" customWidth="1"/>
    <col min="4618" max="4618" width="8.140625" style="54" bestFit="1" customWidth="1"/>
    <col min="4619" max="4619" width="6.28515625" style="54" bestFit="1" customWidth="1"/>
    <col min="4620" max="4620" width="10.5703125" style="54" bestFit="1" customWidth="1"/>
    <col min="4621" max="4622" width="0" style="54" hidden="1" customWidth="1"/>
    <col min="4623" max="4623" width="9.28515625" style="54" bestFit="1" customWidth="1"/>
    <col min="4624" max="4624" width="6.5703125" style="54" customWidth="1"/>
    <col min="4625" max="4625" width="8.140625" style="54" customWidth="1"/>
    <col min="4626" max="4626" width="8" style="54" customWidth="1"/>
    <col min="4627" max="4628" width="6.5703125" style="54" customWidth="1"/>
    <col min="4629" max="4629" width="8.140625" style="54" customWidth="1"/>
    <col min="4630" max="4630" width="4.7109375" style="54" customWidth="1"/>
    <col min="4631" max="4631" width="6.5703125" style="54" customWidth="1"/>
    <col min="4632" max="4634" width="4.7109375" style="54" customWidth="1"/>
    <col min="4635" max="4635" width="9.42578125" style="54" bestFit="1" customWidth="1"/>
    <col min="4636" max="4636" width="9.5703125" style="54" customWidth="1"/>
    <col min="4637" max="4637" width="21.28515625" style="54" customWidth="1"/>
    <col min="4638" max="4638" width="6.42578125" style="54" bestFit="1" customWidth="1"/>
    <col min="4639" max="4864" width="9.140625" style="54"/>
    <col min="4865" max="4865" width="3.140625" style="54" bestFit="1" customWidth="1"/>
    <col min="4866" max="4866" width="15.140625" style="54" bestFit="1" customWidth="1"/>
    <col min="4867" max="4867" width="5" style="54" bestFit="1" customWidth="1"/>
    <col min="4868" max="4868" width="4" style="54" bestFit="1" customWidth="1"/>
    <col min="4869" max="4869" width="4.28515625" style="54" customWidth="1"/>
    <col min="4870" max="4870" width="15.28515625" style="54" customWidth="1"/>
    <col min="4871" max="4871" width="5" style="54" bestFit="1" customWidth="1"/>
    <col min="4872" max="4872" width="5" style="54" customWidth="1"/>
    <col min="4873" max="4873" width="5.5703125" style="54" bestFit="1" customWidth="1"/>
    <col min="4874" max="4874" width="8.140625" style="54" bestFit="1" customWidth="1"/>
    <col min="4875" max="4875" width="6.28515625" style="54" bestFit="1" customWidth="1"/>
    <col min="4876" max="4876" width="10.5703125" style="54" bestFit="1" customWidth="1"/>
    <col min="4877" max="4878" width="0" style="54" hidden="1" customWidth="1"/>
    <col min="4879" max="4879" width="9.28515625" style="54" bestFit="1" customWidth="1"/>
    <col min="4880" max="4880" width="6.5703125" style="54" customWidth="1"/>
    <col min="4881" max="4881" width="8.140625" style="54" customWidth="1"/>
    <col min="4882" max="4882" width="8" style="54" customWidth="1"/>
    <col min="4883" max="4884" width="6.5703125" style="54" customWidth="1"/>
    <col min="4885" max="4885" width="8.140625" style="54" customWidth="1"/>
    <col min="4886" max="4886" width="4.7109375" style="54" customWidth="1"/>
    <col min="4887" max="4887" width="6.5703125" style="54" customWidth="1"/>
    <col min="4888" max="4890" width="4.7109375" style="54" customWidth="1"/>
    <col min="4891" max="4891" width="9.42578125" style="54" bestFit="1" customWidth="1"/>
    <col min="4892" max="4892" width="9.5703125" style="54" customWidth="1"/>
    <col min="4893" max="4893" width="21.28515625" style="54" customWidth="1"/>
    <col min="4894" max="4894" width="6.42578125" style="54" bestFit="1" customWidth="1"/>
    <col min="4895" max="5120" width="9.140625" style="54"/>
    <col min="5121" max="5121" width="3.140625" style="54" bestFit="1" customWidth="1"/>
    <col min="5122" max="5122" width="15.140625" style="54" bestFit="1" customWidth="1"/>
    <col min="5123" max="5123" width="5" style="54" bestFit="1" customWidth="1"/>
    <col min="5124" max="5124" width="4" style="54" bestFit="1" customWidth="1"/>
    <col min="5125" max="5125" width="4.28515625" style="54" customWidth="1"/>
    <col min="5126" max="5126" width="15.28515625" style="54" customWidth="1"/>
    <col min="5127" max="5127" width="5" style="54" bestFit="1" customWidth="1"/>
    <col min="5128" max="5128" width="5" style="54" customWidth="1"/>
    <col min="5129" max="5129" width="5.5703125" style="54" bestFit="1" customWidth="1"/>
    <col min="5130" max="5130" width="8.140625" style="54" bestFit="1" customWidth="1"/>
    <col min="5131" max="5131" width="6.28515625" style="54" bestFit="1" customWidth="1"/>
    <col min="5132" max="5132" width="10.5703125" style="54" bestFit="1" customWidth="1"/>
    <col min="5133" max="5134" width="0" style="54" hidden="1" customWidth="1"/>
    <col min="5135" max="5135" width="9.28515625" style="54" bestFit="1" customWidth="1"/>
    <col min="5136" max="5136" width="6.5703125" style="54" customWidth="1"/>
    <col min="5137" max="5137" width="8.140625" style="54" customWidth="1"/>
    <col min="5138" max="5138" width="8" style="54" customWidth="1"/>
    <col min="5139" max="5140" width="6.5703125" style="54" customWidth="1"/>
    <col min="5141" max="5141" width="8.140625" style="54" customWidth="1"/>
    <col min="5142" max="5142" width="4.7109375" style="54" customWidth="1"/>
    <col min="5143" max="5143" width="6.5703125" style="54" customWidth="1"/>
    <col min="5144" max="5146" width="4.7109375" style="54" customWidth="1"/>
    <col min="5147" max="5147" width="9.42578125" style="54" bestFit="1" customWidth="1"/>
    <col min="5148" max="5148" width="9.5703125" style="54" customWidth="1"/>
    <col min="5149" max="5149" width="21.28515625" style="54" customWidth="1"/>
    <col min="5150" max="5150" width="6.42578125" style="54" bestFit="1" customWidth="1"/>
    <col min="5151" max="5376" width="9.140625" style="54"/>
    <col min="5377" max="5377" width="3.140625" style="54" bestFit="1" customWidth="1"/>
    <col min="5378" max="5378" width="15.140625" style="54" bestFit="1" customWidth="1"/>
    <col min="5379" max="5379" width="5" style="54" bestFit="1" customWidth="1"/>
    <col min="5380" max="5380" width="4" style="54" bestFit="1" customWidth="1"/>
    <col min="5381" max="5381" width="4.28515625" style="54" customWidth="1"/>
    <col min="5382" max="5382" width="15.28515625" style="54" customWidth="1"/>
    <col min="5383" max="5383" width="5" style="54" bestFit="1" customWidth="1"/>
    <col min="5384" max="5384" width="5" style="54" customWidth="1"/>
    <col min="5385" max="5385" width="5.5703125" style="54" bestFit="1" customWidth="1"/>
    <col min="5386" max="5386" width="8.140625" style="54" bestFit="1" customWidth="1"/>
    <col min="5387" max="5387" width="6.28515625" style="54" bestFit="1" customWidth="1"/>
    <col min="5388" max="5388" width="10.5703125" style="54" bestFit="1" customWidth="1"/>
    <col min="5389" max="5390" width="0" style="54" hidden="1" customWidth="1"/>
    <col min="5391" max="5391" width="9.28515625" style="54" bestFit="1" customWidth="1"/>
    <col min="5392" max="5392" width="6.5703125" style="54" customWidth="1"/>
    <col min="5393" max="5393" width="8.140625" style="54" customWidth="1"/>
    <col min="5394" max="5394" width="8" style="54" customWidth="1"/>
    <col min="5395" max="5396" width="6.5703125" style="54" customWidth="1"/>
    <col min="5397" max="5397" width="8.140625" style="54" customWidth="1"/>
    <col min="5398" max="5398" width="4.7109375" style="54" customWidth="1"/>
    <col min="5399" max="5399" width="6.5703125" style="54" customWidth="1"/>
    <col min="5400" max="5402" width="4.7109375" style="54" customWidth="1"/>
    <col min="5403" max="5403" width="9.42578125" style="54" bestFit="1" customWidth="1"/>
    <col min="5404" max="5404" width="9.5703125" style="54" customWidth="1"/>
    <col min="5405" max="5405" width="21.28515625" style="54" customWidth="1"/>
    <col min="5406" max="5406" width="6.42578125" style="54" bestFit="1" customWidth="1"/>
    <col min="5407" max="5632" width="9.140625" style="54"/>
    <col min="5633" max="5633" width="3.140625" style="54" bestFit="1" customWidth="1"/>
    <col min="5634" max="5634" width="15.140625" style="54" bestFit="1" customWidth="1"/>
    <col min="5635" max="5635" width="5" style="54" bestFit="1" customWidth="1"/>
    <col min="5636" max="5636" width="4" style="54" bestFit="1" customWidth="1"/>
    <col min="5637" max="5637" width="4.28515625" style="54" customWidth="1"/>
    <col min="5638" max="5638" width="15.28515625" style="54" customWidth="1"/>
    <col min="5639" max="5639" width="5" style="54" bestFit="1" customWidth="1"/>
    <col min="5640" max="5640" width="5" style="54" customWidth="1"/>
    <col min="5641" max="5641" width="5.5703125" style="54" bestFit="1" customWidth="1"/>
    <col min="5642" max="5642" width="8.140625" style="54" bestFit="1" customWidth="1"/>
    <col min="5643" max="5643" width="6.28515625" style="54" bestFit="1" customWidth="1"/>
    <col min="5644" max="5644" width="10.5703125" style="54" bestFit="1" customWidth="1"/>
    <col min="5645" max="5646" width="0" style="54" hidden="1" customWidth="1"/>
    <col min="5647" max="5647" width="9.28515625" style="54" bestFit="1" customWidth="1"/>
    <col min="5648" max="5648" width="6.5703125" style="54" customWidth="1"/>
    <col min="5649" max="5649" width="8.140625" style="54" customWidth="1"/>
    <col min="5650" max="5650" width="8" style="54" customWidth="1"/>
    <col min="5651" max="5652" width="6.5703125" style="54" customWidth="1"/>
    <col min="5653" max="5653" width="8.140625" style="54" customWidth="1"/>
    <col min="5654" max="5654" width="4.7109375" style="54" customWidth="1"/>
    <col min="5655" max="5655" width="6.5703125" style="54" customWidth="1"/>
    <col min="5656" max="5658" width="4.7109375" style="54" customWidth="1"/>
    <col min="5659" max="5659" width="9.42578125" style="54" bestFit="1" customWidth="1"/>
    <col min="5660" max="5660" width="9.5703125" style="54" customWidth="1"/>
    <col min="5661" max="5661" width="21.28515625" style="54" customWidth="1"/>
    <col min="5662" max="5662" width="6.42578125" style="54" bestFit="1" customWidth="1"/>
    <col min="5663" max="5888" width="9.140625" style="54"/>
    <col min="5889" max="5889" width="3.140625" style="54" bestFit="1" customWidth="1"/>
    <col min="5890" max="5890" width="15.140625" style="54" bestFit="1" customWidth="1"/>
    <col min="5891" max="5891" width="5" style="54" bestFit="1" customWidth="1"/>
    <col min="5892" max="5892" width="4" style="54" bestFit="1" customWidth="1"/>
    <col min="5893" max="5893" width="4.28515625" style="54" customWidth="1"/>
    <col min="5894" max="5894" width="15.28515625" style="54" customWidth="1"/>
    <col min="5895" max="5895" width="5" style="54" bestFit="1" customWidth="1"/>
    <col min="5896" max="5896" width="5" style="54" customWidth="1"/>
    <col min="5897" max="5897" width="5.5703125" style="54" bestFit="1" customWidth="1"/>
    <col min="5898" max="5898" width="8.140625" style="54" bestFit="1" customWidth="1"/>
    <col min="5899" max="5899" width="6.28515625" style="54" bestFit="1" customWidth="1"/>
    <col min="5900" max="5900" width="10.5703125" style="54" bestFit="1" customWidth="1"/>
    <col min="5901" max="5902" width="0" style="54" hidden="1" customWidth="1"/>
    <col min="5903" max="5903" width="9.28515625" style="54" bestFit="1" customWidth="1"/>
    <col min="5904" max="5904" width="6.5703125" style="54" customWidth="1"/>
    <col min="5905" max="5905" width="8.140625" style="54" customWidth="1"/>
    <col min="5906" max="5906" width="8" style="54" customWidth="1"/>
    <col min="5907" max="5908" width="6.5703125" style="54" customWidth="1"/>
    <col min="5909" max="5909" width="8.140625" style="54" customWidth="1"/>
    <col min="5910" max="5910" width="4.7109375" style="54" customWidth="1"/>
    <col min="5911" max="5911" width="6.5703125" style="54" customWidth="1"/>
    <col min="5912" max="5914" width="4.7109375" style="54" customWidth="1"/>
    <col min="5915" max="5915" width="9.42578125" style="54" bestFit="1" customWidth="1"/>
    <col min="5916" max="5916" width="9.5703125" style="54" customWidth="1"/>
    <col min="5917" max="5917" width="21.28515625" style="54" customWidth="1"/>
    <col min="5918" max="5918" width="6.42578125" style="54" bestFit="1" customWidth="1"/>
    <col min="5919" max="6144" width="9.140625" style="54"/>
    <col min="6145" max="6145" width="3.140625" style="54" bestFit="1" customWidth="1"/>
    <col min="6146" max="6146" width="15.140625" style="54" bestFit="1" customWidth="1"/>
    <col min="6147" max="6147" width="5" style="54" bestFit="1" customWidth="1"/>
    <col min="6148" max="6148" width="4" style="54" bestFit="1" customWidth="1"/>
    <col min="6149" max="6149" width="4.28515625" style="54" customWidth="1"/>
    <col min="6150" max="6150" width="15.28515625" style="54" customWidth="1"/>
    <col min="6151" max="6151" width="5" style="54" bestFit="1" customWidth="1"/>
    <col min="6152" max="6152" width="5" style="54" customWidth="1"/>
    <col min="6153" max="6153" width="5.5703125" style="54" bestFit="1" customWidth="1"/>
    <col min="6154" max="6154" width="8.140625" style="54" bestFit="1" customWidth="1"/>
    <col min="6155" max="6155" width="6.28515625" style="54" bestFit="1" customWidth="1"/>
    <col min="6156" max="6156" width="10.5703125" style="54" bestFit="1" customWidth="1"/>
    <col min="6157" max="6158" width="0" style="54" hidden="1" customWidth="1"/>
    <col min="6159" max="6159" width="9.28515625" style="54" bestFit="1" customWidth="1"/>
    <col min="6160" max="6160" width="6.5703125" style="54" customWidth="1"/>
    <col min="6161" max="6161" width="8.140625" style="54" customWidth="1"/>
    <col min="6162" max="6162" width="8" style="54" customWidth="1"/>
    <col min="6163" max="6164" width="6.5703125" style="54" customWidth="1"/>
    <col min="6165" max="6165" width="8.140625" style="54" customWidth="1"/>
    <col min="6166" max="6166" width="4.7109375" style="54" customWidth="1"/>
    <col min="6167" max="6167" width="6.5703125" style="54" customWidth="1"/>
    <col min="6168" max="6170" width="4.7109375" style="54" customWidth="1"/>
    <col min="6171" max="6171" width="9.42578125" style="54" bestFit="1" customWidth="1"/>
    <col min="6172" max="6172" width="9.5703125" style="54" customWidth="1"/>
    <col min="6173" max="6173" width="21.28515625" style="54" customWidth="1"/>
    <col min="6174" max="6174" width="6.42578125" style="54" bestFit="1" customWidth="1"/>
    <col min="6175" max="6400" width="9.140625" style="54"/>
    <col min="6401" max="6401" width="3.140625" style="54" bestFit="1" customWidth="1"/>
    <col min="6402" max="6402" width="15.140625" style="54" bestFit="1" customWidth="1"/>
    <col min="6403" max="6403" width="5" style="54" bestFit="1" customWidth="1"/>
    <col min="6404" max="6404" width="4" style="54" bestFit="1" customWidth="1"/>
    <col min="6405" max="6405" width="4.28515625" style="54" customWidth="1"/>
    <col min="6406" max="6406" width="15.28515625" style="54" customWidth="1"/>
    <col min="6407" max="6407" width="5" style="54" bestFit="1" customWidth="1"/>
    <col min="6408" max="6408" width="5" style="54" customWidth="1"/>
    <col min="6409" max="6409" width="5.5703125" style="54" bestFit="1" customWidth="1"/>
    <col min="6410" max="6410" width="8.140625" style="54" bestFit="1" customWidth="1"/>
    <col min="6411" max="6411" width="6.28515625" style="54" bestFit="1" customWidth="1"/>
    <col min="6412" max="6412" width="10.5703125" style="54" bestFit="1" customWidth="1"/>
    <col min="6413" max="6414" width="0" style="54" hidden="1" customWidth="1"/>
    <col min="6415" max="6415" width="9.28515625" style="54" bestFit="1" customWidth="1"/>
    <col min="6416" max="6416" width="6.5703125" style="54" customWidth="1"/>
    <col min="6417" max="6417" width="8.140625" style="54" customWidth="1"/>
    <col min="6418" max="6418" width="8" style="54" customWidth="1"/>
    <col min="6419" max="6420" width="6.5703125" style="54" customWidth="1"/>
    <col min="6421" max="6421" width="8.140625" style="54" customWidth="1"/>
    <col min="6422" max="6422" width="4.7109375" style="54" customWidth="1"/>
    <col min="6423" max="6423" width="6.5703125" style="54" customWidth="1"/>
    <col min="6424" max="6426" width="4.7109375" style="54" customWidth="1"/>
    <col min="6427" max="6427" width="9.42578125" style="54" bestFit="1" customWidth="1"/>
    <col min="6428" max="6428" width="9.5703125" style="54" customWidth="1"/>
    <col min="6429" max="6429" width="21.28515625" style="54" customWidth="1"/>
    <col min="6430" max="6430" width="6.42578125" style="54" bestFit="1" customWidth="1"/>
    <col min="6431" max="6656" width="9.140625" style="54"/>
    <col min="6657" max="6657" width="3.140625" style="54" bestFit="1" customWidth="1"/>
    <col min="6658" max="6658" width="15.140625" style="54" bestFit="1" customWidth="1"/>
    <col min="6659" max="6659" width="5" style="54" bestFit="1" customWidth="1"/>
    <col min="6660" max="6660" width="4" style="54" bestFit="1" customWidth="1"/>
    <col min="6661" max="6661" width="4.28515625" style="54" customWidth="1"/>
    <col min="6662" max="6662" width="15.28515625" style="54" customWidth="1"/>
    <col min="6663" max="6663" width="5" style="54" bestFit="1" customWidth="1"/>
    <col min="6664" max="6664" width="5" style="54" customWidth="1"/>
    <col min="6665" max="6665" width="5.5703125" style="54" bestFit="1" customWidth="1"/>
    <col min="6666" max="6666" width="8.140625" style="54" bestFit="1" customWidth="1"/>
    <col min="6667" max="6667" width="6.28515625" style="54" bestFit="1" customWidth="1"/>
    <col min="6668" max="6668" width="10.5703125" style="54" bestFit="1" customWidth="1"/>
    <col min="6669" max="6670" width="0" style="54" hidden="1" customWidth="1"/>
    <col min="6671" max="6671" width="9.28515625" style="54" bestFit="1" customWidth="1"/>
    <col min="6672" max="6672" width="6.5703125" style="54" customWidth="1"/>
    <col min="6673" max="6673" width="8.140625" style="54" customWidth="1"/>
    <col min="6674" max="6674" width="8" style="54" customWidth="1"/>
    <col min="6675" max="6676" width="6.5703125" style="54" customWidth="1"/>
    <col min="6677" max="6677" width="8.140625" style="54" customWidth="1"/>
    <col min="6678" max="6678" width="4.7109375" style="54" customWidth="1"/>
    <col min="6679" max="6679" width="6.5703125" style="54" customWidth="1"/>
    <col min="6680" max="6682" width="4.7109375" style="54" customWidth="1"/>
    <col min="6683" max="6683" width="9.42578125" style="54" bestFit="1" customWidth="1"/>
    <col min="6684" max="6684" width="9.5703125" style="54" customWidth="1"/>
    <col min="6685" max="6685" width="21.28515625" style="54" customWidth="1"/>
    <col min="6686" max="6686" width="6.42578125" style="54" bestFit="1" customWidth="1"/>
    <col min="6687" max="6912" width="9.140625" style="54"/>
    <col min="6913" max="6913" width="3.140625" style="54" bestFit="1" customWidth="1"/>
    <col min="6914" max="6914" width="15.140625" style="54" bestFit="1" customWidth="1"/>
    <col min="6915" max="6915" width="5" style="54" bestFit="1" customWidth="1"/>
    <col min="6916" max="6916" width="4" style="54" bestFit="1" customWidth="1"/>
    <col min="6917" max="6917" width="4.28515625" style="54" customWidth="1"/>
    <col min="6918" max="6918" width="15.28515625" style="54" customWidth="1"/>
    <col min="6919" max="6919" width="5" style="54" bestFit="1" customWidth="1"/>
    <col min="6920" max="6920" width="5" style="54" customWidth="1"/>
    <col min="6921" max="6921" width="5.5703125" style="54" bestFit="1" customWidth="1"/>
    <col min="6922" max="6922" width="8.140625" style="54" bestFit="1" customWidth="1"/>
    <col min="6923" max="6923" width="6.28515625" style="54" bestFit="1" customWidth="1"/>
    <col min="6924" max="6924" width="10.5703125" style="54" bestFit="1" customWidth="1"/>
    <col min="6925" max="6926" width="0" style="54" hidden="1" customWidth="1"/>
    <col min="6927" max="6927" width="9.28515625" style="54" bestFit="1" customWidth="1"/>
    <col min="6928" max="6928" width="6.5703125" style="54" customWidth="1"/>
    <col min="6929" max="6929" width="8.140625" style="54" customWidth="1"/>
    <col min="6930" max="6930" width="8" style="54" customWidth="1"/>
    <col min="6931" max="6932" width="6.5703125" style="54" customWidth="1"/>
    <col min="6933" max="6933" width="8.140625" style="54" customWidth="1"/>
    <col min="6934" max="6934" width="4.7109375" style="54" customWidth="1"/>
    <col min="6935" max="6935" width="6.5703125" style="54" customWidth="1"/>
    <col min="6936" max="6938" width="4.7109375" style="54" customWidth="1"/>
    <col min="6939" max="6939" width="9.42578125" style="54" bestFit="1" customWidth="1"/>
    <col min="6940" max="6940" width="9.5703125" style="54" customWidth="1"/>
    <col min="6941" max="6941" width="21.28515625" style="54" customWidth="1"/>
    <col min="6942" max="6942" width="6.42578125" style="54" bestFit="1" customWidth="1"/>
    <col min="6943" max="7168" width="9.140625" style="54"/>
    <col min="7169" max="7169" width="3.140625" style="54" bestFit="1" customWidth="1"/>
    <col min="7170" max="7170" width="15.140625" style="54" bestFit="1" customWidth="1"/>
    <col min="7171" max="7171" width="5" style="54" bestFit="1" customWidth="1"/>
    <col min="7172" max="7172" width="4" style="54" bestFit="1" customWidth="1"/>
    <col min="7173" max="7173" width="4.28515625" style="54" customWidth="1"/>
    <col min="7174" max="7174" width="15.28515625" style="54" customWidth="1"/>
    <col min="7175" max="7175" width="5" style="54" bestFit="1" customWidth="1"/>
    <col min="7176" max="7176" width="5" style="54" customWidth="1"/>
    <col min="7177" max="7177" width="5.5703125" style="54" bestFit="1" customWidth="1"/>
    <col min="7178" max="7178" width="8.140625" style="54" bestFit="1" customWidth="1"/>
    <col min="7179" max="7179" width="6.28515625" style="54" bestFit="1" customWidth="1"/>
    <col min="7180" max="7180" width="10.5703125" style="54" bestFit="1" customWidth="1"/>
    <col min="7181" max="7182" width="0" style="54" hidden="1" customWidth="1"/>
    <col min="7183" max="7183" width="9.28515625" style="54" bestFit="1" customWidth="1"/>
    <col min="7184" max="7184" width="6.5703125" style="54" customWidth="1"/>
    <col min="7185" max="7185" width="8.140625" style="54" customWidth="1"/>
    <col min="7186" max="7186" width="8" style="54" customWidth="1"/>
    <col min="7187" max="7188" width="6.5703125" style="54" customWidth="1"/>
    <col min="7189" max="7189" width="8.140625" style="54" customWidth="1"/>
    <col min="7190" max="7190" width="4.7109375" style="54" customWidth="1"/>
    <col min="7191" max="7191" width="6.5703125" style="54" customWidth="1"/>
    <col min="7192" max="7194" width="4.7109375" style="54" customWidth="1"/>
    <col min="7195" max="7195" width="9.42578125" style="54" bestFit="1" customWidth="1"/>
    <col min="7196" max="7196" width="9.5703125" style="54" customWidth="1"/>
    <col min="7197" max="7197" width="21.28515625" style="54" customWidth="1"/>
    <col min="7198" max="7198" width="6.42578125" style="54" bestFit="1" customWidth="1"/>
    <col min="7199" max="7424" width="9.140625" style="54"/>
    <col min="7425" max="7425" width="3.140625" style="54" bestFit="1" customWidth="1"/>
    <col min="7426" max="7426" width="15.140625" style="54" bestFit="1" customWidth="1"/>
    <col min="7427" max="7427" width="5" style="54" bestFit="1" customWidth="1"/>
    <col min="7428" max="7428" width="4" style="54" bestFit="1" customWidth="1"/>
    <col min="7429" max="7429" width="4.28515625" style="54" customWidth="1"/>
    <col min="7430" max="7430" width="15.28515625" style="54" customWidth="1"/>
    <col min="7431" max="7431" width="5" style="54" bestFit="1" customWidth="1"/>
    <col min="7432" max="7432" width="5" style="54" customWidth="1"/>
    <col min="7433" max="7433" width="5.5703125" style="54" bestFit="1" customWidth="1"/>
    <col min="7434" max="7434" width="8.140625" style="54" bestFit="1" customWidth="1"/>
    <col min="7435" max="7435" width="6.28515625" style="54" bestFit="1" customWidth="1"/>
    <col min="7436" max="7436" width="10.5703125" style="54" bestFit="1" customWidth="1"/>
    <col min="7437" max="7438" width="0" style="54" hidden="1" customWidth="1"/>
    <col min="7439" max="7439" width="9.28515625" style="54" bestFit="1" customWidth="1"/>
    <col min="7440" max="7440" width="6.5703125" style="54" customWidth="1"/>
    <col min="7441" max="7441" width="8.140625" style="54" customWidth="1"/>
    <col min="7442" max="7442" width="8" style="54" customWidth="1"/>
    <col min="7443" max="7444" width="6.5703125" style="54" customWidth="1"/>
    <col min="7445" max="7445" width="8.140625" style="54" customWidth="1"/>
    <col min="7446" max="7446" width="4.7109375" style="54" customWidth="1"/>
    <col min="7447" max="7447" width="6.5703125" style="54" customWidth="1"/>
    <col min="7448" max="7450" width="4.7109375" style="54" customWidth="1"/>
    <col min="7451" max="7451" width="9.42578125" style="54" bestFit="1" customWidth="1"/>
    <col min="7452" max="7452" width="9.5703125" style="54" customWidth="1"/>
    <col min="7453" max="7453" width="21.28515625" style="54" customWidth="1"/>
    <col min="7454" max="7454" width="6.42578125" style="54" bestFit="1" customWidth="1"/>
    <col min="7455" max="7680" width="9.140625" style="54"/>
    <col min="7681" max="7681" width="3.140625" style="54" bestFit="1" customWidth="1"/>
    <col min="7682" max="7682" width="15.140625" style="54" bestFit="1" customWidth="1"/>
    <col min="7683" max="7683" width="5" style="54" bestFit="1" customWidth="1"/>
    <col min="7684" max="7684" width="4" style="54" bestFit="1" customWidth="1"/>
    <col min="7685" max="7685" width="4.28515625" style="54" customWidth="1"/>
    <col min="7686" max="7686" width="15.28515625" style="54" customWidth="1"/>
    <col min="7687" max="7687" width="5" style="54" bestFit="1" customWidth="1"/>
    <col min="7688" max="7688" width="5" style="54" customWidth="1"/>
    <col min="7689" max="7689" width="5.5703125" style="54" bestFit="1" customWidth="1"/>
    <col min="7690" max="7690" width="8.140625" style="54" bestFit="1" customWidth="1"/>
    <col min="7691" max="7691" width="6.28515625" style="54" bestFit="1" customWidth="1"/>
    <col min="7692" max="7692" width="10.5703125" style="54" bestFit="1" customWidth="1"/>
    <col min="7693" max="7694" width="0" style="54" hidden="1" customWidth="1"/>
    <col min="7695" max="7695" width="9.28515625" style="54" bestFit="1" customWidth="1"/>
    <col min="7696" max="7696" width="6.5703125" style="54" customWidth="1"/>
    <col min="7697" max="7697" width="8.140625" style="54" customWidth="1"/>
    <col min="7698" max="7698" width="8" style="54" customWidth="1"/>
    <col min="7699" max="7700" width="6.5703125" style="54" customWidth="1"/>
    <col min="7701" max="7701" width="8.140625" style="54" customWidth="1"/>
    <col min="7702" max="7702" width="4.7109375" style="54" customWidth="1"/>
    <col min="7703" max="7703" width="6.5703125" style="54" customWidth="1"/>
    <col min="7704" max="7706" width="4.7109375" style="54" customWidth="1"/>
    <col min="7707" max="7707" width="9.42578125" style="54" bestFit="1" customWidth="1"/>
    <col min="7708" max="7708" width="9.5703125" style="54" customWidth="1"/>
    <col min="7709" max="7709" width="21.28515625" style="54" customWidth="1"/>
    <col min="7710" max="7710" width="6.42578125" style="54" bestFit="1" customWidth="1"/>
    <col min="7711" max="7936" width="9.140625" style="54"/>
    <col min="7937" max="7937" width="3.140625" style="54" bestFit="1" customWidth="1"/>
    <col min="7938" max="7938" width="15.140625" style="54" bestFit="1" customWidth="1"/>
    <col min="7939" max="7939" width="5" style="54" bestFit="1" customWidth="1"/>
    <col min="7940" max="7940" width="4" style="54" bestFit="1" customWidth="1"/>
    <col min="7941" max="7941" width="4.28515625" style="54" customWidth="1"/>
    <col min="7942" max="7942" width="15.28515625" style="54" customWidth="1"/>
    <col min="7943" max="7943" width="5" style="54" bestFit="1" customWidth="1"/>
    <col min="7944" max="7944" width="5" style="54" customWidth="1"/>
    <col min="7945" max="7945" width="5.5703125" style="54" bestFit="1" customWidth="1"/>
    <col min="7946" max="7946" width="8.140625" style="54" bestFit="1" customWidth="1"/>
    <col min="7947" max="7947" width="6.28515625" style="54" bestFit="1" customWidth="1"/>
    <col min="7948" max="7948" width="10.5703125" style="54" bestFit="1" customWidth="1"/>
    <col min="7949" max="7950" width="0" style="54" hidden="1" customWidth="1"/>
    <col min="7951" max="7951" width="9.28515625" style="54" bestFit="1" customWidth="1"/>
    <col min="7952" max="7952" width="6.5703125" style="54" customWidth="1"/>
    <col min="7953" max="7953" width="8.140625" style="54" customWidth="1"/>
    <col min="7954" max="7954" width="8" style="54" customWidth="1"/>
    <col min="7955" max="7956" width="6.5703125" style="54" customWidth="1"/>
    <col min="7957" max="7957" width="8.140625" style="54" customWidth="1"/>
    <col min="7958" max="7958" width="4.7109375" style="54" customWidth="1"/>
    <col min="7959" max="7959" width="6.5703125" style="54" customWidth="1"/>
    <col min="7960" max="7962" width="4.7109375" style="54" customWidth="1"/>
    <col min="7963" max="7963" width="9.42578125" style="54" bestFit="1" customWidth="1"/>
    <col min="7964" max="7964" width="9.5703125" style="54" customWidth="1"/>
    <col min="7965" max="7965" width="21.28515625" style="54" customWidth="1"/>
    <col min="7966" max="7966" width="6.42578125" style="54" bestFit="1" customWidth="1"/>
    <col min="7967" max="8192" width="9.140625" style="54"/>
    <col min="8193" max="8193" width="3.140625" style="54" bestFit="1" customWidth="1"/>
    <col min="8194" max="8194" width="15.140625" style="54" bestFit="1" customWidth="1"/>
    <col min="8195" max="8195" width="5" style="54" bestFit="1" customWidth="1"/>
    <col min="8196" max="8196" width="4" style="54" bestFit="1" customWidth="1"/>
    <col min="8197" max="8197" width="4.28515625" style="54" customWidth="1"/>
    <col min="8198" max="8198" width="15.28515625" style="54" customWidth="1"/>
    <col min="8199" max="8199" width="5" style="54" bestFit="1" customWidth="1"/>
    <col min="8200" max="8200" width="5" style="54" customWidth="1"/>
    <col min="8201" max="8201" width="5.5703125" style="54" bestFit="1" customWidth="1"/>
    <col min="8202" max="8202" width="8.140625" style="54" bestFit="1" customWidth="1"/>
    <col min="8203" max="8203" width="6.28515625" style="54" bestFit="1" customWidth="1"/>
    <col min="8204" max="8204" width="10.5703125" style="54" bestFit="1" customWidth="1"/>
    <col min="8205" max="8206" width="0" style="54" hidden="1" customWidth="1"/>
    <col min="8207" max="8207" width="9.28515625" style="54" bestFit="1" customWidth="1"/>
    <col min="8208" max="8208" width="6.5703125" style="54" customWidth="1"/>
    <col min="8209" max="8209" width="8.140625" style="54" customWidth="1"/>
    <col min="8210" max="8210" width="8" style="54" customWidth="1"/>
    <col min="8211" max="8212" width="6.5703125" style="54" customWidth="1"/>
    <col min="8213" max="8213" width="8.140625" style="54" customWidth="1"/>
    <col min="8214" max="8214" width="4.7109375" style="54" customWidth="1"/>
    <col min="8215" max="8215" width="6.5703125" style="54" customWidth="1"/>
    <col min="8216" max="8218" width="4.7109375" style="54" customWidth="1"/>
    <col min="8219" max="8219" width="9.42578125" style="54" bestFit="1" customWidth="1"/>
    <col min="8220" max="8220" width="9.5703125" style="54" customWidth="1"/>
    <col min="8221" max="8221" width="21.28515625" style="54" customWidth="1"/>
    <col min="8222" max="8222" width="6.42578125" style="54" bestFit="1" customWidth="1"/>
    <col min="8223" max="8448" width="9.140625" style="54"/>
    <col min="8449" max="8449" width="3.140625" style="54" bestFit="1" customWidth="1"/>
    <col min="8450" max="8450" width="15.140625" style="54" bestFit="1" customWidth="1"/>
    <col min="8451" max="8451" width="5" style="54" bestFit="1" customWidth="1"/>
    <col min="8452" max="8452" width="4" style="54" bestFit="1" customWidth="1"/>
    <col min="8453" max="8453" width="4.28515625" style="54" customWidth="1"/>
    <col min="8454" max="8454" width="15.28515625" style="54" customWidth="1"/>
    <col min="8455" max="8455" width="5" style="54" bestFit="1" customWidth="1"/>
    <col min="8456" max="8456" width="5" style="54" customWidth="1"/>
    <col min="8457" max="8457" width="5.5703125" style="54" bestFit="1" customWidth="1"/>
    <col min="8458" max="8458" width="8.140625" style="54" bestFit="1" customWidth="1"/>
    <col min="8459" max="8459" width="6.28515625" style="54" bestFit="1" customWidth="1"/>
    <col min="8460" max="8460" width="10.5703125" style="54" bestFit="1" customWidth="1"/>
    <col min="8461" max="8462" width="0" style="54" hidden="1" customWidth="1"/>
    <col min="8463" max="8463" width="9.28515625" style="54" bestFit="1" customWidth="1"/>
    <col min="8464" max="8464" width="6.5703125" style="54" customWidth="1"/>
    <col min="8465" max="8465" width="8.140625" style="54" customWidth="1"/>
    <col min="8466" max="8466" width="8" style="54" customWidth="1"/>
    <col min="8467" max="8468" width="6.5703125" style="54" customWidth="1"/>
    <col min="8469" max="8469" width="8.140625" style="54" customWidth="1"/>
    <col min="8470" max="8470" width="4.7109375" style="54" customWidth="1"/>
    <col min="8471" max="8471" width="6.5703125" style="54" customWidth="1"/>
    <col min="8472" max="8474" width="4.7109375" style="54" customWidth="1"/>
    <col min="8475" max="8475" width="9.42578125" style="54" bestFit="1" customWidth="1"/>
    <col min="8476" max="8476" width="9.5703125" style="54" customWidth="1"/>
    <col min="8477" max="8477" width="21.28515625" style="54" customWidth="1"/>
    <col min="8478" max="8478" width="6.42578125" style="54" bestFit="1" customWidth="1"/>
    <col min="8479" max="8704" width="9.140625" style="54"/>
    <col min="8705" max="8705" width="3.140625" style="54" bestFit="1" customWidth="1"/>
    <col min="8706" max="8706" width="15.140625" style="54" bestFit="1" customWidth="1"/>
    <col min="8707" max="8707" width="5" style="54" bestFit="1" customWidth="1"/>
    <col min="8708" max="8708" width="4" style="54" bestFit="1" customWidth="1"/>
    <col min="8709" max="8709" width="4.28515625" style="54" customWidth="1"/>
    <col min="8710" max="8710" width="15.28515625" style="54" customWidth="1"/>
    <col min="8711" max="8711" width="5" style="54" bestFit="1" customWidth="1"/>
    <col min="8712" max="8712" width="5" style="54" customWidth="1"/>
    <col min="8713" max="8713" width="5.5703125" style="54" bestFit="1" customWidth="1"/>
    <col min="8714" max="8714" width="8.140625" style="54" bestFit="1" customWidth="1"/>
    <col min="8715" max="8715" width="6.28515625" style="54" bestFit="1" customWidth="1"/>
    <col min="8716" max="8716" width="10.5703125" style="54" bestFit="1" customWidth="1"/>
    <col min="8717" max="8718" width="0" style="54" hidden="1" customWidth="1"/>
    <col min="8719" max="8719" width="9.28515625" style="54" bestFit="1" customWidth="1"/>
    <col min="8720" max="8720" width="6.5703125" style="54" customWidth="1"/>
    <col min="8721" max="8721" width="8.140625" style="54" customWidth="1"/>
    <col min="8722" max="8722" width="8" style="54" customWidth="1"/>
    <col min="8723" max="8724" width="6.5703125" style="54" customWidth="1"/>
    <col min="8725" max="8725" width="8.140625" style="54" customWidth="1"/>
    <col min="8726" max="8726" width="4.7109375" style="54" customWidth="1"/>
    <col min="8727" max="8727" width="6.5703125" style="54" customWidth="1"/>
    <col min="8728" max="8730" width="4.7109375" style="54" customWidth="1"/>
    <col min="8731" max="8731" width="9.42578125" style="54" bestFit="1" customWidth="1"/>
    <col min="8732" max="8732" width="9.5703125" style="54" customWidth="1"/>
    <col min="8733" max="8733" width="21.28515625" style="54" customWidth="1"/>
    <col min="8734" max="8734" width="6.42578125" style="54" bestFit="1" customWidth="1"/>
    <col min="8735" max="8960" width="9.140625" style="54"/>
    <col min="8961" max="8961" width="3.140625" style="54" bestFit="1" customWidth="1"/>
    <col min="8962" max="8962" width="15.140625" style="54" bestFit="1" customWidth="1"/>
    <col min="8963" max="8963" width="5" style="54" bestFit="1" customWidth="1"/>
    <col min="8964" max="8964" width="4" style="54" bestFit="1" customWidth="1"/>
    <col min="8965" max="8965" width="4.28515625" style="54" customWidth="1"/>
    <col min="8966" max="8966" width="15.28515625" style="54" customWidth="1"/>
    <col min="8967" max="8967" width="5" style="54" bestFit="1" customWidth="1"/>
    <col min="8968" max="8968" width="5" style="54" customWidth="1"/>
    <col min="8969" max="8969" width="5.5703125" style="54" bestFit="1" customWidth="1"/>
    <col min="8970" max="8970" width="8.140625" style="54" bestFit="1" customWidth="1"/>
    <col min="8971" max="8971" width="6.28515625" style="54" bestFit="1" customWidth="1"/>
    <col min="8972" max="8972" width="10.5703125" style="54" bestFit="1" customWidth="1"/>
    <col min="8973" max="8974" width="0" style="54" hidden="1" customWidth="1"/>
    <col min="8975" max="8975" width="9.28515625" style="54" bestFit="1" customWidth="1"/>
    <col min="8976" max="8976" width="6.5703125" style="54" customWidth="1"/>
    <col min="8977" max="8977" width="8.140625" style="54" customWidth="1"/>
    <col min="8978" max="8978" width="8" style="54" customWidth="1"/>
    <col min="8979" max="8980" width="6.5703125" style="54" customWidth="1"/>
    <col min="8981" max="8981" width="8.140625" style="54" customWidth="1"/>
    <col min="8982" max="8982" width="4.7109375" style="54" customWidth="1"/>
    <col min="8983" max="8983" width="6.5703125" style="54" customWidth="1"/>
    <col min="8984" max="8986" width="4.7109375" style="54" customWidth="1"/>
    <col min="8987" max="8987" width="9.42578125" style="54" bestFit="1" customWidth="1"/>
    <col min="8988" max="8988" width="9.5703125" style="54" customWidth="1"/>
    <col min="8989" max="8989" width="21.28515625" style="54" customWidth="1"/>
    <col min="8990" max="8990" width="6.42578125" style="54" bestFit="1" customWidth="1"/>
    <col min="8991" max="9216" width="9.140625" style="54"/>
    <col min="9217" max="9217" width="3.140625" style="54" bestFit="1" customWidth="1"/>
    <col min="9218" max="9218" width="15.140625" style="54" bestFit="1" customWidth="1"/>
    <col min="9219" max="9219" width="5" style="54" bestFit="1" customWidth="1"/>
    <col min="9220" max="9220" width="4" style="54" bestFit="1" customWidth="1"/>
    <col min="9221" max="9221" width="4.28515625" style="54" customWidth="1"/>
    <col min="9222" max="9222" width="15.28515625" style="54" customWidth="1"/>
    <col min="9223" max="9223" width="5" style="54" bestFit="1" customWidth="1"/>
    <col min="9224" max="9224" width="5" style="54" customWidth="1"/>
    <col min="9225" max="9225" width="5.5703125" style="54" bestFit="1" customWidth="1"/>
    <col min="9226" max="9226" width="8.140625" style="54" bestFit="1" customWidth="1"/>
    <col min="9227" max="9227" width="6.28515625" style="54" bestFit="1" customWidth="1"/>
    <col min="9228" max="9228" width="10.5703125" style="54" bestFit="1" customWidth="1"/>
    <col min="9229" max="9230" width="0" style="54" hidden="1" customWidth="1"/>
    <col min="9231" max="9231" width="9.28515625" style="54" bestFit="1" customWidth="1"/>
    <col min="9232" max="9232" width="6.5703125" style="54" customWidth="1"/>
    <col min="9233" max="9233" width="8.140625" style="54" customWidth="1"/>
    <col min="9234" max="9234" width="8" style="54" customWidth="1"/>
    <col min="9235" max="9236" width="6.5703125" style="54" customWidth="1"/>
    <col min="9237" max="9237" width="8.140625" style="54" customWidth="1"/>
    <col min="9238" max="9238" width="4.7109375" style="54" customWidth="1"/>
    <col min="9239" max="9239" width="6.5703125" style="54" customWidth="1"/>
    <col min="9240" max="9242" width="4.7109375" style="54" customWidth="1"/>
    <col min="9243" max="9243" width="9.42578125" style="54" bestFit="1" customWidth="1"/>
    <col min="9244" max="9244" width="9.5703125" style="54" customWidth="1"/>
    <col min="9245" max="9245" width="21.28515625" style="54" customWidth="1"/>
    <col min="9246" max="9246" width="6.42578125" style="54" bestFit="1" customWidth="1"/>
    <col min="9247" max="9472" width="9.140625" style="54"/>
    <col min="9473" max="9473" width="3.140625" style="54" bestFit="1" customWidth="1"/>
    <col min="9474" max="9474" width="15.140625" style="54" bestFit="1" customWidth="1"/>
    <col min="9475" max="9475" width="5" style="54" bestFit="1" customWidth="1"/>
    <col min="9476" max="9476" width="4" style="54" bestFit="1" customWidth="1"/>
    <col min="9477" max="9477" width="4.28515625" style="54" customWidth="1"/>
    <col min="9478" max="9478" width="15.28515625" style="54" customWidth="1"/>
    <col min="9479" max="9479" width="5" style="54" bestFit="1" customWidth="1"/>
    <col min="9480" max="9480" width="5" style="54" customWidth="1"/>
    <col min="9481" max="9481" width="5.5703125" style="54" bestFit="1" customWidth="1"/>
    <col min="9482" max="9482" width="8.140625" style="54" bestFit="1" customWidth="1"/>
    <col min="9483" max="9483" width="6.28515625" style="54" bestFit="1" customWidth="1"/>
    <col min="9484" max="9484" width="10.5703125" style="54" bestFit="1" customWidth="1"/>
    <col min="9485" max="9486" width="0" style="54" hidden="1" customWidth="1"/>
    <col min="9487" max="9487" width="9.28515625" style="54" bestFit="1" customWidth="1"/>
    <col min="9488" max="9488" width="6.5703125" style="54" customWidth="1"/>
    <col min="9489" max="9489" width="8.140625" style="54" customWidth="1"/>
    <col min="9490" max="9490" width="8" style="54" customWidth="1"/>
    <col min="9491" max="9492" width="6.5703125" style="54" customWidth="1"/>
    <col min="9493" max="9493" width="8.140625" style="54" customWidth="1"/>
    <col min="9494" max="9494" width="4.7109375" style="54" customWidth="1"/>
    <col min="9495" max="9495" width="6.5703125" style="54" customWidth="1"/>
    <col min="9496" max="9498" width="4.7109375" style="54" customWidth="1"/>
    <col min="9499" max="9499" width="9.42578125" style="54" bestFit="1" customWidth="1"/>
    <col min="9500" max="9500" width="9.5703125" style="54" customWidth="1"/>
    <col min="9501" max="9501" width="21.28515625" style="54" customWidth="1"/>
    <col min="9502" max="9502" width="6.42578125" style="54" bestFit="1" customWidth="1"/>
    <col min="9503" max="9728" width="9.140625" style="54"/>
    <col min="9729" max="9729" width="3.140625" style="54" bestFit="1" customWidth="1"/>
    <col min="9730" max="9730" width="15.140625" style="54" bestFit="1" customWidth="1"/>
    <col min="9731" max="9731" width="5" style="54" bestFit="1" customWidth="1"/>
    <col min="9732" max="9732" width="4" style="54" bestFit="1" customWidth="1"/>
    <col min="9733" max="9733" width="4.28515625" style="54" customWidth="1"/>
    <col min="9734" max="9734" width="15.28515625" style="54" customWidth="1"/>
    <col min="9735" max="9735" width="5" style="54" bestFit="1" customWidth="1"/>
    <col min="9736" max="9736" width="5" style="54" customWidth="1"/>
    <col min="9737" max="9737" width="5.5703125" style="54" bestFit="1" customWidth="1"/>
    <col min="9738" max="9738" width="8.140625" style="54" bestFit="1" customWidth="1"/>
    <col min="9739" max="9739" width="6.28515625" style="54" bestFit="1" customWidth="1"/>
    <col min="9740" max="9740" width="10.5703125" style="54" bestFit="1" customWidth="1"/>
    <col min="9741" max="9742" width="0" style="54" hidden="1" customWidth="1"/>
    <col min="9743" max="9743" width="9.28515625" style="54" bestFit="1" customWidth="1"/>
    <col min="9744" max="9744" width="6.5703125" style="54" customWidth="1"/>
    <col min="9745" max="9745" width="8.140625" style="54" customWidth="1"/>
    <col min="9746" max="9746" width="8" style="54" customWidth="1"/>
    <col min="9747" max="9748" width="6.5703125" style="54" customWidth="1"/>
    <col min="9749" max="9749" width="8.140625" style="54" customWidth="1"/>
    <col min="9750" max="9750" width="4.7109375" style="54" customWidth="1"/>
    <col min="9751" max="9751" width="6.5703125" style="54" customWidth="1"/>
    <col min="9752" max="9754" width="4.7109375" style="54" customWidth="1"/>
    <col min="9755" max="9755" width="9.42578125" style="54" bestFit="1" customWidth="1"/>
    <col min="9756" max="9756" width="9.5703125" style="54" customWidth="1"/>
    <col min="9757" max="9757" width="21.28515625" style="54" customWidth="1"/>
    <col min="9758" max="9758" width="6.42578125" style="54" bestFit="1" customWidth="1"/>
    <col min="9759" max="9984" width="9.140625" style="54"/>
    <col min="9985" max="9985" width="3.140625" style="54" bestFit="1" customWidth="1"/>
    <col min="9986" max="9986" width="15.140625" style="54" bestFit="1" customWidth="1"/>
    <col min="9987" max="9987" width="5" style="54" bestFit="1" customWidth="1"/>
    <col min="9988" max="9988" width="4" style="54" bestFit="1" customWidth="1"/>
    <col min="9989" max="9989" width="4.28515625" style="54" customWidth="1"/>
    <col min="9990" max="9990" width="15.28515625" style="54" customWidth="1"/>
    <col min="9991" max="9991" width="5" style="54" bestFit="1" customWidth="1"/>
    <col min="9992" max="9992" width="5" style="54" customWidth="1"/>
    <col min="9993" max="9993" width="5.5703125" style="54" bestFit="1" customWidth="1"/>
    <col min="9994" max="9994" width="8.140625" style="54" bestFit="1" customWidth="1"/>
    <col min="9995" max="9995" width="6.28515625" style="54" bestFit="1" customWidth="1"/>
    <col min="9996" max="9996" width="10.5703125" style="54" bestFit="1" customWidth="1"/>
    <col min="9997" max="9998" width="0" style="54" hidden="1" customWidth="1"/>
    <col min="9999" max="9999" width="9.28515625" style="54" bestFit="1" customWidth="1"/>
    <col min="10000" max="10000" width="6.5703125" style="54" customWidth="1"/>
    <col min="10001" max="10001" width="8.140625" style="54" customWidth="1"/>
    <col min="10002" max="10002" width="8" style="54" customWidth="1"/>
    <col min="10003" max="10004" width="6.5703125" style="54" customWidth="1"/>
    <col min="10005" max="10005" width="8.140625" style="54" customWidth="1"/>
    <col min="10006" max="10006" width="4.7109375" style="54" customWidth="1"/>
    <col min="10007" max="10007" width="6.5703125" style="54" customWidth="1"/>
    <col min="10008" max="10010" width="4.7109375" style="54" customWidth="1"/>
    <col min="10011" max="10011" width="9.42578125" style="54" bestFit="1" customWidth="1"/>
    <col min="10012" max="10012" width="9.5703125" style="54" customWidth="1"/>
    <col min="10013" max="10013" width="21.28515625" style="54" customWidth="1"/>
    <col min="10014" max="10014" width="6.42578125" style="54" bestFit="1" customWidth="1"/>
    <col min="10015" max="10240" width="9.140625" style="54"/>
    <col min="10241" max="10241" width="3.140625" style="54" bestFit="1" customWidth="1"/>
    <col min="10242" max="10242" width="15.140625" style="54" bestFit="1" customWidth="1"/>
    <col min="10243" max="10243" width="5" style="54" bestFit="1" customWidth="1"/>
    <col min="10244" max="10244" width="4" style="54" bestFit="1" customWidth="1"/>
    <col min="10245" max="10245" width="4.28515625" style="54" customWidth="1"/>
    <col min="10246" max="10246" width="15.28515625" style="54" customWidth="1"/>
    <col min="10247" max="10247" width="5" style="54" bestFit="1" customWidth="1"/>
    <col min="10248" max="10248" width="5" style="54" customWidth="1"/>
    <col min="10249" max="10249" width="5.5703125" style="54" bestFit="1" customWidth="1"/>
    <col min="10250" max="10250" width="8.140625" style="54" bestFit="1" customWidth="1"/>
    <col min="10251" max="10251" width="6.28515625" style="54" bestFit="1" customWidth="1"/>
    <col min="10252" max="10252" width="10.5703125" style="54" bestFit="1" customWidth="1"/>
    <col min="10253" max="10254" width="0" style="54" hidden="1" customWidth="1"/>
    <col min="10255" max="10255" width="9.28515625" style="54" bestFit="1" customWidth="1"/>
    <col min="10256" max="10256" width="6.5703125" style="54" customWidth="1"/>
    <col min="10257" max="10257" width="8.140625" style="54" customWidth="1"/>
    <col min="10258" max="10258" width="8" style="54" customWidth="1"/>
    <col min="10259" max="10260" width="6.5703125" style="54" customWidth="1"/>
    <col min="10261" max="10261" width="8.140625" style="54" customWidth="1"/>
    <col min="10262" max="10262" width="4.7109375" style="54" customWidth="1"/>
    <col min="10263" max="10263" width="6.5703125" style="54" customWidth="1"/>
    <col min="10264" max="10266" width="4.7109375" style="54" customWidth="1"/>
    <col min="10267" max="10267" width="9.42578125" style="54" bestFit="1" customWidth="1"/>
    <col min="10268" max="10268" width="9.5703125" style="54" customWidth="1"/>
    <col min="10269" max="10269" width="21.28515625" style="54" customWidth="1"/>
    <col min="10270" max="10270" width="6.42578125" style="54" bestFit="1" customWidth="1"/>
    <col min="10271" max="10496" width="9.140625" style="54"/>
    <col min="10497" max="10497" width="3.140625" style="54" bestFit="1" customWidth="1"/>
    <col min="10498" max="10498" width="15.140625" style="54" bestFit="1" customWidth="1"/>
    <col min="10499" max="10499" width="5" style="54" bestFit="1" customWidth="1"/>
    <col min="10500" max="10500" width="4" style="54" bestFit="1" customWidth="1"/>
    <col min="10501" max="10501" width="4.28515625" style="54" customWidth="1"/>
    <col min="10502" max="10502" width="15.28515625" style="54" customWidth="1"/>
    <col min="10503" max="10503" width="5" style="54" bestFit="1" customWidth="1"/>
    <col min="10504" max="10504" width="5" style="54" customWidth="1"/>
    <col min="10505" max="10505" width="5.5703125" style="54" bestFit="1" customWidth="1"/>
    <col min="10506" max="10506" width="8.140625" style="54" bestFit="1" customWidth="1"/>
    <col min="10507" max="10507" width="6.28515625" style="54" bestFit="1" customWidth="1"/>
    <col min="10508" max="10508" width="10.5703125" style="54" bestFit="1" customWidth="1"/>
    <col min="10509" max="10510" width="0" style="54" hidden="1" customWidth="1"/>
    <col min="10511" max="10511" width="9.28515625" style="54" bestFit="1" customWidth="1"/>
    <col min="10512" max="10512" width="6.5703125" style="54" customWidth="1"/>
    <col min="10513" max="10513" width="8.140625" style="54" customWidth="1"/>
    <col min="10514" max="10514" width="8" style="54" customWidth="1"/>
    <col min="10515" max="10516" width="6.5703125" style="54" customWidth="1"/>
    <col min="10517" max="10517" width="8.140625" style="54" customWidth="1"/>
    <col min="10518" max="10518" width="4.7109375" style="54" customWidth="1"/>
    <col min="10519" max="10519" width="6.5703125" style="54" customWidth="1"/>
    <col min="10520" max="10522" width="4.7109375" style="54" customWidth="1"/>
    <col min="10523" max="10523" width="9.42578125" style="54" bestFit="1" customWidth="1"/>
    <col min="10524" max="10524" width="9.5703125" style="54" customWidth="1"/>
    <col min="10525" max="10525" width="21.28515625" style="54" customWidth="1"/>
    <col min="10526" max="10526" width="6.42578125" style="54" bestFit="1" customWidth="1"/>
    <col min="10527" max="10752" width="9.140625" style="54"/>
    <col min="10753" max="10753" width="3.140625" style="54" bestFit="1" customWidth="1"/>
    <col min="10754" max="10754" width="15.140625" style="54" bestFit="1" customWidth="1"/>
    <col min="10755" max="10755" width="5" style="54" bestFit="1" customWidth="1"/>
    <col min="10756" max="10756" width="4" style="54" bestFit="1" customWidth="1"/>
    <col min="10757" max="10757" width="4.28515625" style="54" customWidth="1"/>
    <col min="10758" max="10758" width="15.28515625" style="54" customWidth="1"/>
    <col min="10759" max="10759" width="5" style="54" bestFit="1" customWidth="1"/>
    <col min="10760" max="10760" width="5" style="54" customWidth="1"/>
    <col min="10761" max="10761" width="5.5703125" style="54" bestFit="1" customWidth="1"/>
    <col min="10762" max="10762" width="8.140625" style="54" bestFit="1" customWidth="1"/>
    <col min="10763" max="10763" width="6.28515625" style="54" bestFit="1" customWidth="1"/>
    <col min="10764" max="10764" width="10.5703125" style="54" bestFit="1" customWidth="1"/>
    <col min="10765" max="10766" width="0" style="54" hidden="1" customWidth="1"/>
    <col min="10767" max="10767" width="9.28515625" style="54" bestFit="1" customWidth="1"/>
    <col min="10768" max="10768" width="6.5703125" style="54" customWidth="1"/>
    <col min="10769" max="10769" width="8.140625" style="54" customWidth="1"/>
    <col min="10770" max="10770" width="8" style="54" customWidth="1"/>
    <col min="10771" max="10772" width="6.5703125" style="54" customWidth="1"/>
    <col min="10773" max="10773" width="8.140625" style="54" customWidth="1"/>
    <col min="10774" max="10774" width="4.7109375" style="54" customWidth="1"/>
    <col min="10775" max="10775" width="6.5703125" style="54" customWidth="1"/>
    <col min="10776" max="10778" width="4.7109375" style="54" customWidth="1"/>
    <col min="10779" max="10779" width="9.42578125" style="54" bestFit="1" customWidth="1"/>
    <col min="10780" max="10780" width="9.5703125" style="54" customWidth="1"/>
    <col min="10781" max="10781" width="21.28515625" style="54" customWidth="1"/>
    <col min="10782" max="10782" width="6.42578125" style="54" bestFit="1" customWidth="1"/>
    <col min="10783" max="11008" width="9.140625" style="54"/>
    <col min="11009" max="11009" width="3.140625" style="54" bestFit="1" customWidth="1"/>
    <col min="11010" max="11010" width="15.140625" style="54" bestFit="1" customWidth="1"/>
    <col min="11011" max="11011" width="5" style="54" bestFit="1" customWidth="1"/>
    <col min="11012" max="11012" width="4" style="54" bestFit="1" customWidth="1"/>
    <col min="11013" max="11013" width="4.28515625" style="54" customWidth="1"/>
    <col min="11014" max="11014" width="15.28515625" style="54" customWidth="1"/>
    <col min="11015" max="11015" width="5" style="54" bestFit="1" customWidth="1"/>
    <col min="11016" max="11016" width="5" style="54" customWidth="1"/>
    <col min="11017" max="11017" width="5.5703125" style="54" bestFit="1" customWidth="1"/>
    <col min="11018" max="11018" width="8.140625" style="54" bestFit="1" customWidth="1"/>
    <col min="11019" max="11019" width="6.28515625" style="54" bestFit="1" customWidth="1"/>
    <col min="11020" max="11020" width="10.5703125" style="54" bestFit="1" customWidth="1"/>
    <col min="11021" max="11022" width="0" style="54" hidden="1" customWidth="1"/>
    <col min="11023" max="11023" width="9.28515625" style="54" bestFit="1" customWidth="1"/>
    <col min="11024" max="11024" width="6.5703125" style="54" customWidth="1"/>
    <col min="11025" max="11025" width="8.140625" style="54" customWidth="1"/>
    <col min="11026" max="11026" width="8" style="54" customWidth="1"/>
    <col min="11027" max="11028" width="6.5703125" style="54" customWidth="1"/>
    <col min="11029" max="11029" width="8.140625" style="54" customWidth="1"/>
    <col min="11030" max="11030" width="4.7109375" style="54" customWidth="1"/>
    <col min="11031" max="11031" width="6.5703125" style="54" customWidth="1"/>
    <col min="11032" max="11034" width="4.7109375" style="54" customWidth="1"/>
    <col min="11035" max="11035" width="9.42578125" style="54" bestFit="1" customWidth="1"/>
    <col min="11036" max="11036" width="9.5703125" style="54" customWidth="1"/>
    <col min="11037" max="11037" width="21.28515625" style="54" customWidth="1"/>
    <col min="11038" max="11038" width="6.42578125" style="54" bestFit="1" customWidth="1"/>
    <col min="11039" max="11264" width="9.140625" style="54"/>
    <col min="11265" max="11265" width="3.140625" style="54" bestFit="1" customWidth="1"/>
    <col min="11266" max="11266" width="15.140625" style="54" bestFit="1" customWidth="1"/>
    <col min="11267" max="11267" width="5" style="54" bestFit="1" customWidth="1"/>
    <col min="11268" max="11268" width="4" style="54" bestFit="1" customWidth="1"/>
    <col min="11269" max="11269" width="4.28515625" style="54" customWidth="1"/>
    <col min="11270" max="11270" width="15.28515625" style="54" customWidth="1"/>
    <col min="11271" max="11271" width="5" style="54" bestFit="1" customWidth="1"/>
    <col min="11272" max="11272" width="5" style="54" customWidth="1"/>
    <col min="11273" max="11273" width="5.5703125" style="54" bestFit="1" customWidth="1"/>
    <col min="11274" max="11274" width="8.140625" style="54" bestFit="1" customWidth="1"/>
    <col min="11275" max="11275" width="6.28515625" style="54" bestFit="1" customWidth="1"/>
    <col min="11276" max="11276" width="10.5703125" style="54" bestFit="1" customWidth="1"/>
    <col min="11277" max="11278" width="0" style="54" hidden="1" customWidth="1"/>
    <col min="11279" max="11279" width="9.28515625" style="54" bestFit="1" customWidth="1"/>
    <col min="11280" max="11280" width="6.5703125" style="54" customWidth="1"/>
    <col min="11281" max="11281" width="8.140625" style="54" customWidth="1"/>
    <col min="11282" max="11282" width="8" style="54" customWidth="1"/>
    <col min="11283" max="11284" width="6.5703125" style="54" customWidth="1"/>
    <col min="11285" max="11285" width="8.140625" style="54" customWidth="1"/>
    <col min="11286" max="11286" width="4.7109375" style="54" customWidth="1"/>
    <col min="11287" max="11287" width="6.5703125" style="54" customWidth="1"/>
    <col min="11288" max="11290" width="4.7109375" style="54" customWidth="1"/>
    <col min="11291" max="11291" width="9.42578125" style="54" bestFit="1" customWidth="1"/>
    <col min="11292" max="11292" width="9.5703125" style="54" customWidth="1"/>
    <col min="11293" max="11293" width="21.28515625" style="54" customWidth="1"/>
    <col min="11294" max="11294" width="6.42578125" style="54" bestFit="1" customWidth="1"/>
    <col min="11295" max="11520" width="9.140625" style="54"/>
    <col min="11521" max="11521" width="3.140625" style="54" bestFit="1" customWidth="1"/>
    <col min="11522" max="11522" width="15.140625" style="54" bestFit="1" customWidth="1"/>
    <col min="11523" max="11523" width="5" style="54" bestFit="1" customWidth="1"/>
    <col min="11524" max="11524" width="4" style="54" bestFit="1" customWidth="1"/>
    <col min="11525" max="11525" width="4.28515625" style="54" customWidth="1"/>
    <col min="11526" max="11526" width="15.28515625" style="54" customWidth="1"/>
    <col min="11527" max="11527" width="5" style="54" bestFit="1" customWidth="1"/>
    <col min="11528" max="11528" width="5" style="54" customWidth="1"/>
    <col min="11529" max="11529" width="5.5703125" style="54" bestFit="1" customWidth="1"/>
    <col min="11530" max="11530" width="8.140625" style="54" bestFit="1" customWidth="1"/>
    <col min="11531" max="11531" width="6.28515625" style="54" bestFit="1" customWidth="1"/>
    <col min="11532" max="11532" width="10.5703125" style="54" bestFit="1" customWidth="1"/>
    <col min="11533" max="11534" width="0" style="54" hidden="1" customWidth="1"/>
    <col min="11535" max="11535" width="9.28515625" style="54" bestFit="1" customWidth="1"/>
    <col min="11536" max="11536" width="6.5703125" style="54" customWidth="1"/>
    <col min="11537" max="11537" width="8.140625" style="54" customWidth="1"/>
    <col min="11538" max="11538" width="8" style="54" customWidth="1"/>
    <col min="11539" max="11540" width="6.5703125" style="54" customWidth="1"/>
    <col min="11541" max="11541" width="8.140625" style="54" customWidth="1"/>
    <col min="11542" max="11542" width="4.7109375" style="54" customWidth="1"/>
    <col min="11543" max="11543" width="6.5703125" style="54" customWidth="1"/>
    <col min="11544" max="11546" width="4.7109375" style="54" customWidth="1"/>
    <col min="11547" max="11547" width="9.42578125" style="54" bestFit="1" customWidth="1"/>
    <col min="11548" max="11548" width="9.5703125" style="54" customWidth="1"/>
    <col min="11549" max="11549" width="21.28515625" style="54" customWidth="1"/>
    <col min="11550" max="11550" width="6.42578125" style="54" bestFit="1" customWidth="1"/>
    <col min="11551" max="11776" width="9.140625" style="54"/>
    <col min="11777" max="11777" width="3.140625" style="54" bestFit="1" customWidth="1"/>
    <col min="11778" max="11778" width="15.140625" style="54" bestFit="1" customWidth="1"/>
    <col min="11779" max="11779" width="5" style="54" bestFit="1" customWidth="1"/>
    <col min="11780" max="11780" width="4" style="54" bestFit="1" customWidth="1"/>
    <col min="11781" max="11781" width="4.28515625" style="54" customWidth="1"/>
    <col min="11782" max="11782" width="15.28515625" style="54" customWidth="1"/>
    <col min="11783" max="11783" width="5" style="54" bestFit="1" customWidth="1"/>
    <col min="11784" max="11784" width="5" style="54" customWidth="1"/>
    <col min="11785" max="11785" width="5.5703125" style="54" bestFit="1" customWidth="1"/>
    <col min="11786" max="11786" width="8.140625" style="54" bestFit="1" customWidth="1"/>
    <col min="11787" max="11787" width="6.28515625" style="54" bestFit="1" customWidth="1"/>
    <col min="11788" max="11788" width="10.5703125" style="54" bestFit="1" customWidth="1"/>
    <col min="11789" max="11790" width="0" style="54" hidden="1" customWidth="1"/>
    <col min="11791" max="11791" width="9.28515625" style="54" bestFit="1" customWidth="1"/>
    <col min="11792" max="11792" width="6.5703125" style="54" customWidth="1"/>
    <col min="11793" max="11793" width="8.140625" style="54" customWidth="1"/>
    <col min="11794" max="11794" width="8" style="54" customWidth="1"/>
    <col min="11795" max="11796" width="6.5703125" style="54" customWidth="1"/>
    <col min="11797" max="11797" width="8.140625" style="54" customWidth="1"/>
    <col min="11798" max="11798" width="4.7109375" style="54" customWidth="1"/>
    <col min="11799" max="11799" width="6.5703125" style="54" customWidth="1"/>
    <col min="11800" max="11802" width="4.7109375" style="54" customWidth="1"/>
    <col min="11803" max="11803" width="9.42578125" style="54" bestFit="1" customWidth="1"/>
    <col min="11804" max="11804" width="9.5703125" style="54" customWidth="1"/>
    <col min="11805" max="11805" width="21.28515625" style="54" customWidth="1"/>
    <col min="11806" max="11806" width="6.42578125" style="54" bestFit="1" customWidth="1"/>
    <col min="11807" max="12032" width="9.140625" style="54"/>
    <col min="12033" max="12033" width="3.140625" style="54" bestFit="1" customWidth="1"/>
    <col min="12034" max="12034" width="15.140625" style="54" bestFit="1" customWidth="1"/>
    <col min="12035" max="12035" width="5" style="54" bestFit="1" customWidth="1"/>
    <col min="12036" max="12036" width="4" style="54" bestFit="1" customWidth="1"/>
    <col min="12037" max="12037" width="4.28515625" style="54" customWidth="1"/>
    <col min="12038" max="12038" width="15.28515625" style="54" customWidth="1"/>
    <col min="12039" max="12039" width="5" style="54" bestFit="1" customWidth="1"/>
    <col min="12040" max="12040" width="5" style="54" customWidth="1"/>
    <col min="12041" max="12041" width="5.5703125" style="54" bestFit="1" customWidth="1"/>
    <col min="12042" max="12042" width="8.140625" style="54" bestFit="1" customWidth="1"/>
    <col min="12043" max="12043" width="6.28515625" style="54" bestFit="1" customWidth="1"/>
    <col min="12044" max="12044" width="10.5703125" style="54" bestFit="1" customWidth="1"/>
    <col min="12045" max="12046" width="0" style="54" hidden="1" customWidth="1"/>
    <col min="12047" max="12047" width="9.28515625" style="54" bestFit="1" customWidth="1"/>
    <col min="12048" max="12048" width="6.5703125" style="54" customWidth="1"/>
    <col min="12049" max="12049" width="8.140625" style="54" customWidth="1"/>
    <col min="12050" max="12050" width="8" style="54" customWidth="1"/>
    <col min="12051" max="12052" width="6.5703125" style="54" customWidth="1"/>
    <col min="12053" max="12053" width="8.140625" style="54" customWidth="1"/>
    <col min="12054" max="12054" width="4.7109375" style="54" customWidth="1"/>
    <col min="12055" max="12055" width="6.5703125" style="54" customWidth="1"/>
    <col min="12056" max="12058" width="4.7109375" style="54" customWidth="1"/>
    <col min="12059" max="12059" width="9.42578125" style="54" bestFit="1" customWidth="1"/>
    <col min="12060" max="12060" width="9.5703125" style="54" customWidth="1"/>
    <col min="12061" max="12061" width="21.28515625" style="54" customWidth="1"/>
    <col min="12062" max="12062" width="6.42578125" style="54" bestFit="1" customWidth="1"/>
    <col min="12063" max="12288" width="9.140625" style="54"/>
    <col min="12289" max="12289" width="3.140625" style="54" bestFit="1" customWidth="1"/>
    <col min="12290" max="12290" width="15.140625" style="54" bestFit="1" customWidth="1"/>
    <col min="12291" max="12291" width="5" style="54" bestFit="1" customWidth="1"/>
    <col min="12292" max="12292" width="4" style="54" bestFit="1" customWidth="1"/>
    <col min="12293" max="12293" width="4.28515625" style="54" customWidth="1"/>
    <col min="12294" max="12294" width="15.28515625" style="54" customWidth="1"/>
    <col min="12295" max="12295" width="5" style="54" bestFit="1" customWidth="1"/>
    <col min="12296" max="12296" width="5" style="54" customWidth="1"/>
    <col min="12297" max="12297" width="5.5703125" style="54" bestFit="1" customWidth="1"/>
    <col min="12298" max="12298" width="8.140625" style="54" bestFit="1" customWidth="1"/>
    <col min="12299" max="12299" width="6.28515625" style="54" bestFit="1" customWidth="1"/>
    <col min="12300" max="12300" width="10.5703125" style="54" bestFit="1" customWidth="1"/>
    <col min="12301" max="12302" width="0" style="54" hidden="1" customWidth="1"/>
    <col min="12303" max="12303" width="9.28515625" style="54" bestFit="1" customWidth="1"/>
    <col min="12304" max="12304" width="6.5703125" style="54" customWidth="1"/>
    <col min="12305" max="12305" width="8.140625" style="54" customWidth="1"/>
    <col min="12306" max="12306" width="8" style="54" customWidth="1"/>
    <col min="12307" max="12308" width="6.5703125" style="54" customWidth="1"/>
    <col min="12309" max="12309" width="8.140625" style="54" customWidth="1"/>
    <col min="12310" max="12310" width="4.7109375" style="54" customWidth="1"/>
    <col min="12311" max="12311" width="6.5703125" style="54" customWidth="1"/>
    <col min="12312" max="12314" width="4.7109375" style="54" customWidth="1"/>
    <col min="12315" max="12315" width="9.42578125" style="54" bestFit="1" customWidth="1"/>
    <col min="12316" max="12316" width="9.5703125" style="54" customWidth="1"/>
    <col min="12317" max="12317" width="21.28515625" style="54" customWidth="1"/>
    <col min="12318" max="12318" width="6.42578125" style="54" bestFit="1" customWidth="1"/>
    <col min="12319" max="12544" width="9.140625" style="54"/>
    <col min="12545" max="12545" width="3.140625" style="54" bestFit="1" customWidth="1"/>
    <col min="12546" max="12546" width="15.140625" style="54" bestFit="1" customWidth="1"/>
    <col min="12547" max="12547" width="5" style="54" bestFit="1" customWidth="1"/>
    <col min="12548" max="12548" width="4" style="54" bestFit="1" customWidth="1"/>
    <col min="12549" max="12549" width="4.28515625" style="54" customWidth="1"/>
    <col min="12550" max="12550" width="15.28515625" style="54" customWidth="1"/>
    <col min="12551" max="12551" width="5" style="54" bestFit="1" customWidth="1"/>
    <col min="12552" max="12552" width="5" style="54" customWidth="1"/>
    <col min="12553" max="12553" width="5.5703125" style="54" bestFit="1" customWidth="1"/>
    <col min="12554" max="12554" width="8.140625" style="54" bestFit="1" customWidth="1"/>
    <col min="12555" max="12555" width="6.28515625" style="54" bestFit="1" customWidth="1"/>
    <col min="12556" max="12556" width="10.5703125" style="54" bestFit="1" customWidth="1"/>
    <col min="12557" max="12558" width="0" style="54" hidden="1" customWidth="1"/>
    <col min="12559" max="12559" width="9.28515625" style="54" bestFit="1" customWidth="1"/>
    <col min="12560" max="12560" width="6.5703125" style="54" customWidth="1"/>
    <col min="12561" max="12561" width="8.140625" style="54" customWidth="1"/>
    <col min="12562" max="12562" width="8" style="54" customWidth="1"/>
    <col min="12563" max="12564" width="6.5703125" style="54" customWidth="1"/>
    <col min="12565" max="12565" width="8.140625" style="54" customWidth="1"/>
    <col min="12566" max="12566" width="4.7109375" style="54" customWidth="1"/>
    <col min="12567" max="12567" width="6.5703125" style="54" customWidth="1"/>
    <col min="12568" max="12570" width="4.7109375" style="54" customWidth="1"/>
    <col min="12571" max="12571" width="9.42578125" style="54" bestFit="1" customWidth="1"/>
    <col min="12572" max="12572" width="9.5703125" style="54" customWidth="1"/>
    <col min="12573" max="12573" width="21.28515625" style="54" customWidth="1"/>
    <col min="12574" max="12574" width="6.42578125" style="54" bestFit="1" customWidth="1"/>
    <col min="12575" max="12800" width="9.140625" style="54"/>
    <col min="12801" max="12801" width="3.140625" style="54" bestFit="1" customWidth="1"/>
    <col min="12802" max="12802" width="15.140625" style="54" bestFit="1" customWidth="1"/>
    <col min="12803" max="12803" width="5" style="54" bestFit="1" customWidth="1"/>
    <col min="12804" max="12804" width="4" style="54" bestFit="1" customWidth="1"/>
    <col min="12805" max="12805" width="4.28515625" style="54" customWidth="1"/>
    <col min="12806" max="12806" width="15.28515625" style="54" customWidth="1"/>
    <col min="12807" max="12807" width="5" style="54" bestFit="1" customWidth="1"/>
    <col min="12808" max="12808" width="5" style="54" customWidth="1"/>
    <col min="12809" max="12809" width="5.5703125" style="54" bestFit="1" customWidth="1"/>
    <col min="12810" max="12810" width="8.140625" style="54" bestFit="1" customWidth="1"/>
    <col min="12811" max="12811" width="6.28515625" style="54" bestFit="1" customWidth="1"/>
    <col min="12812" max="12812" width="10.5703125" style="54" bestFit="1" customWidth="1"/>
    <col min="12813" max="12814" width="0" style="54" hidden="1" customWidth="1"/>
    <col min="12815" max="12815" width="9.28515625" style="54" bestFit="1" customWidth="1"/>
    <col min="12816" max="12816" width="6.5703125" style="54" customWidth="1"/>
    <col min="12817" max="12817" width="8.140625" style="54" customWidth="1"/>
    <col min="12818" max="12818" width="8" style="54" customWidth="1"/>
    <col min="12819" max="12820" width="6.5703125" style="54" customWidth="1"/>
    <col min="12821" max="12821" width="8.140625" style="54" customWidth="1"/>
    <col min="12822" max="12822" width="4.7109375" style="54" customWidth="1"/>
    <col min="12823" max="12823" width="6.5703125" style="54" customWidth="1"/>
    <col min="12824" max="12826" width="4.7109375" style="54" customWidth="1"/>
    <col min="12827" max="12827" width="9.42578125" style="54" bestFit="1" customWidth="1"/>
    <col min="12828" max="12828" width="9.5703125" style="54" customWidth="1"/>
    <col min="12829" max="12829" width="21.28515625" style="54" customWidth="1"/>
    <col min="12830" max="12830" width="6.42578125" style="54" bestFit="1" customWidth="1"/>
    <col min="12831" max="13056" width="9.140625" style="54"/>
    <col min="13057" max="13057" width="3.140625" style="54" bestFit="1" customWidth="1"/>
    <col min="13058" max="13058" width="15.140625" style="54" bestFit="1" customWidth="1"/>
    <col min="13059" max="13059" width="5" style="54" bestFit="1" customWidth="1"/>
    <col min="13060" max="13060" width="4" style="54" bestFit="1" customWidth="1"/>
    <col min="13061" max="13061" width="4.28515625" style="54" customWidth="1"/>
    <col min="13062" max="13062" width="15.28515625" style="54" customWidth="1"/>
    <col min="13063" max="13063" width="5" style="54" bestFit="1" customWidth="1"/>
    <col min="13064" max="13064" width="5" style="54" customWidth="1"/>
    <col min="13065" max="13065" width="5.5703125" style="54" bestFit="1" customWidth="1"/>
    <col min="13066" max="13066" width="8.140625" style="54" bestFit="1" customWidth="1"/>
    <col min="13067" max="13067" width="6.28515625" style="54" bestFit="1" customWidth="1"/>
    <col min="13068" max="13068" width="10.5703125" style="54" bestFit="1" customWidth="1"/>
    <col min="13069" max="13070" width="0" style="54" hidden="1" customWidth="1"/>
    <col min="13071" max="13071" width="9.28515625" style="54" bestFit="1" customWidth="1"/>
    <col min="13072" max="13072" width="6.5703125" style="54" customWidth="1"/>
    <col min="13073" max="13073" width="8.140625" style="54" customWidth="1"/>
    <col min="13074" max="13074" width="8" style="54" customWidth="1"/>
    <col min="13075" max="13076" width="6.5703125" style="54" customWidth="1"/>
    <col min="13077" max="13077" width="8.140625" style="54" customWidth="1"/>
    <col min="13078" max="13078" width="4.7109375" style="54" customWidth="1"/>
    <col min="13079" max="13079" width="6.5703125" style="54" customWidth="1"/>
    <col min="13080" max="13082" width="4.7109375" style="54" customWidth="1"/>
    <col min="13083" max="13083" width="9.42578125" style="54" bestFit="1" customWidth="1"/>
    <col min="13084" max="13084" width="9.5703125" style="54" customWidth="1"/>
    <col min="13085" max="13085" width="21.28515625" style="54" customWidth="1"/>
    <col min="13086" max="13086" width="6.42578125" style="54" bestFit="1" customWidth="1"/>
    <col min="13087" max="13312" width="9.140625" style="54"/>
    <col min="13313" max="13313" width="3.140625" style="54" bestFit="1" customWidth="1"/>
    <col min="13314" max="13314" width="15.140625" style="54" bestFit="1" customWidth="1"/>
    <col min="13315" max="13315" width="5" style="54" bestFit="1" customWidth="1"/>
    <col min="13316" max="13316" width="4" style="54" bestFit="1" customWidth="1"/>
    <col min="13317" max="13317" width="4.28515625" style="54" customWidth="1"/>
    <col min="13318" max="13318" width="15.28515625" style="54" customWidth="1"/>
    <col min="13319" max="13319" width="5" style="54" bestFit="1" customWidth="1"/>
    <col min="13320" max="13320" width="5" style="54" customWidth="1"/>
    <col min="13321" max="13321" width="5.5703125" style="54" bestFit="1" customWidth="1"/>
    <col min="13322" max="13322" width="8.140625" style="54" bestFit="1" customWidth="1"/>
    <col min="13323" max="13323" width="6.28515625" style="54" bestFit="1" customWidth="1"/>
    <col min="13324" max="13324" width="10.5703125" style="54" bestFit="1" customWidth="1"/>
    <col min="13325" max="13326" width="0" style="54" hidden="1" customWidth="1"/>
    <col min="13327" max="13327" width="9.28515625" style="54" bestFit="1" customWidth="1"/>
    <col min="13328" max="13328" width="6.5703125" style="54" customWidth="1"/>
    <col min="13329" max="13329" width="8.140625" style="54" customWidth="1"/>
    <col min="13330" max="13330" width="8" style="54" customWidth="1"/>
    <col min="13331" max="13332" width="6.5703125" style="54" customWidth="1"/>
    <col min="13333" max="13333" width="8.140625" style="54" customWidth="1"/>
    <col min="13334" max="13334" width="4.7109375" style="54" customWidth="1"/>
    <col min="13335" max="13335" width="6.5703125" style="54" customWidth="1"/>
    <col min="13336" max="13338" width="4.7109375" style="54" customWidth="1"/>
    <col min="13339" max="13339" width="9.42578125" style="54" bestFit="1" customWidth="1"/>
    <col min="13340" max="13340" width="9.5703125" style="54" customWidth="1"/>
    <col min="13341" max="13341" width="21.28515625" style="54" customWidth="1"/>
    <col min="13342" max="13342" width="6.42578125" style="54" bestFit="1" customWidth="1"/>
    <col min="13343" max="13568" width="9.140625" style="54"/>
    <col min="13569" max="13569" width="3.140625" style="54" bestFit="1" customWidth="1"/>
    <col min="13570" max="13570" width="15.140625" style="54" bestFit="1" customWidth="1"/>
    <col min="13571" max="13571" width="5" style="54" bestFit="1" customWidth="1"/>
    <col min="13572" max="13572" width="4" style="54" bestFit="1" customWidth="1"/>
    <col min="13573" max="13573" width="4.28515625" style="54" customWidth="1"/>
    <col min="13574" max="13574" width="15.28515625" style="54" customWidth="1"/>
    <col min="13575" max="13575" width="5" style="54" bestFit="1" customWidth="1"/>
    <col min="13576" max="13576" width="5" style="54" customWidth="1"/>
    <col min="13577" max="13577" width="5.5703125" style="54" bestFit="1" customWidth="1"/>
    <col min="13578" max="13578" width="8.140625" style="54" bestFit="1" customWidth="1"/>
    <col min="13579" max="13579" width="6.28515625" style="54" bestFit="1" customWidth="1"/>
    <col min="13580" max="13580" width="10.5703125" style="54" bestFit="1" customWidth="1"/>
    <col min="13581" max="13582" width="0" style="54" hidden="1" customWidth="1"/>
    <col min="13583" max="13583" width="9.28515625" style="54" bestFit="1" customWidth="1"/>
    <col min="13584" max="13584" width="6.5703125" style="54" customWidth="1"/>
    <col min="13585" max="13585" width="8.140625" style="54" customWidth="1"/>
    <col min="13586" max="13586" width="8" style="54" customWidth="1"/>
    <col min="13587" max="13588" width="6.5703125" style="54" customWidth="1"/>
    <col min="13589" max="13589" width="8.140625" style="54" customWidth="1"/>
    <col min="13590" max="13590" width="4.7109375" style="54" customWidth="1"/>
    <col min="13591" max="13591" width="6.5703125" style="54" customWidth="1"/>
    <col min="13592" max="13594" width="4.7109375" style="54" customWidth="1"/>
    <col min="13595" max="13595" width="9.42578125" style="54" bestFit="1" customWidth="1"/>
    <col min="13596" max="13596" width="9.5703125" style="54" customWidth="1"/>
    <col min="13597" max="13597" width="21.28515625" style="54" customWidth="1"/>
    <col min="13598" max="13598" width="6.42578125" style="54" bestFit="1" customWidth="1"/>
    <col min="13599" max="13824" width="9.140625" style="54"/>
    <col min="13825" max="13825" width="3.140625" style="54" bestFit="1" customWidth="1"/>
    <col min="13826" max="13826" width="15.140625" style="54" bestFit="1" customWidth="1"/>
    <col min="13827" max="13827" width="5" style="54" bestFit="1" customWidth="1"/>
    <col min="13828" max="13828" width="4" style="54" bestFit="1" customWidth="1"/>
    <col min="13829" max="13829" width="4.28515625" style="54" customWidth="1"/>
    <col min="13830" max="13830" width="15.28515625" style="54" customWidth="1"/>
    <col min="13831" max="13831" width="5" style="54" bestFit="1" customWidth="1"/>
    <col min="13832" max="13832" width="5" style="54" customWidth="1"/>
    <col min="13833" max="13833" width="5.5703125" style="54" bestFit="1" customWidth="1"/>
    <col min="13834" max="13834" width="8.140625" style="54" bestFit="1" customWidth="1"/>
    <col min="13835" max="13835" width="6.28515625" style="54" bestFit="1" customWidth="1"/>
    <col min="13836" max="13836" width="10.5703125" style="54" bestFit="1" customWidth="1"/>
    <col min="13837" max="13838" width="0" style="54" hidden="1" customWidth="1"/>
    <col min="13839" max="13839" width="9.28515625" style="54" bestFit="1" customWidth="1"/>
    <col min="13840" max="13840" width="6.5703125" style="54" customWidth="1"/>
    <col min="13841" max="13841" width="8.140625" style="54" customWidth="1"/>
    <col min="13842" max="13842" width="8" style="54" customWidth="1"/>
    <col min="13843" max="13844" width="6.5703125" style="54" customWidth="1"/>
    <col min="13845" max="13845" width="8.140625" style="54" customWidth="1"/>
    <col min="13846" max="13846" width="4.7109375" style="54" customWidth="1"/>
    <col min="13847" max="13847" width="6.5703125" style="54" customWidth="1"/>
    <col min="13848" max="13850" width="4.7109375" style="54" customWidth="1"/>
    <col min="13851" max="13851" width="9.42578125" style="54" bestFit="1" customWidth="1"/>
    <col min="13852" max="13852" width="9.5703125" style="54" customWidth="1"/>
    <col min="13853" max="13853" width="21.28515625" style="54" customWidth="1"/>
    <col min="13854" max="13854" width="6.42578125" style="54" bestFit="1" customWidth="1"/>
    <col min="13855" max="14080" width="9.140625" style="54"/>
    <col min="14081" max="14081" width="3.140625" style="54" bestFit="1" customWidth="1"/>
    <col min="14082" max="14082" width="15.140625" style="54" bestFit="1" customWidth="1"/>
    <col min="14083" max="14083" width="5" style="54" bestFit="1" customWidth="1"/>
    <col min="14084" max="14084" width="4" style="54" bestFit="1" customWidth="1"/>
    <col min="14085" max="14085" width="4.28515625" style="54" customWidth="1"/>
    <col min="14086" max="14086" width="15.28515625" style="54" customWidth="1"/>
    <col min="14087" max="14087" width="5" style="54" bestFit="1" customWidth="1"/>
    <col min="14088" max="14088" width="5" style="54" customWidth="1"/>
    <col min="14089" max="14089" width="5.5703125" style="54" bestFit="1" customWidth="1"/>
    <col min="14090" max="14090" width="8.140625" style="54" bestFit="1" customWidth="1"/>
    <col min="14091" max="14091" width="6.28515625" style="54" bestFit="1" customWidth="1"/>
    <col min="14092" max="14092" width="10.5703125" style="54" bestFit="1" customWidth="1"/>
    <col min="14093" max="14094" width="0" style="54" hidden="1" customWidth="1"/>
    <col min="14095" max="14095" width="9.28515625" style="54" bestFit="1" customWidth="1"/>
    <col min="14096" max="14096" width="6.5703125" style="54" customWidth="1"/>
    <col min="14097" max="14097" width="8.140625" style="54" customWidth="1"/>
    <col min="14098" max="14098" width="8" style="54" customWidth="1"/>
    <col min="14099" max="14100" width="6.5703125" style="54" customWidth="1"/>
    <col min="14101" max="14101" width="8.140625" style="54" customWidth="1"/>
    <col min="14102" max="14102" width="4.7109375" style="54" customWidth="1"/>
    <col min="14103" max="14103" width="6.5703125" style="54" customWidth="1"/>
    <col min="14104" max="14106" width="4.7109375" style="54" customWidth="1"/>
    <col min="14107" max="14107" width="9.42578125" style="54" bestFit="1" customWidth="1"/>
    <col min="14108" max="14108" width="9.5703125" style="54" customWidth="1"/>
    <col min="14109" max="14109" width="21.28515625" style="54" customWidth="1"/>
    <col min="14110" max="14110" width="6.42578125" style="54" bestFit="1" customWidth="1"/>
    <col min="14111" max="14336" width="9.140625" style="54"/>
    <col min="14337" max="14337" width="3.140625" style="54" bestFit="1" customWidth="1"/>
    <col min="14338" max="14338" width="15.140625" style="54" bestFit="1" customWidth="1"/>
    <col min="14339" max="14339" width="5" style="54" bestFit="1" customWidth="1"/>
    <col min="14340" max="14340" width="4" style="54" bestFit="1" customWidth="1"/>
    <col min="14341" max="14341" width="4.28515625" style="54" customWidth="1"/>
    <col min="14342" max="14342" width="15.28515625" style="54" customWidth="1"/>
    <col min="14343" max="14343" width="5" style="54" bestFit="1" customWidth="1"/>
    <col min="14344" max="14344" width="5" style="54" customWidth="1"/>
    <col min="14345" max="14345" width="5.5703125" style="54" bestFit="1" customWidth="1"/>
    <col min="14346" max="14346" width="8.140625" style="54" bestFit="1" customWidth="1"/>
    <col min="14347" max="14347" width="6.28515625" style="54" bestFit="1" customWidth="1"/>
    <col min="14348" max="14348" width="10.5703125" style="54" bestFit="1" customWidth="1"/>
    <col min="14349" max="14350" width="0" style="54" hidden="1" customWidth="1"/>
    <col min="14351" max="14351" width="9.28515625" style="54" bestFit="1" customWidth="1"/>
    <col min="14352" max="14352" width="6.5703125" style="54" customWidth="1"/>
    <col min="14353" max="14353" width="8.140625" style="54" customWidth="1"/>
    <col min="14354" max="14354" width="8" style="54" customWidth="1"/>
    <col min="14355" max="14356" width="6.5703125" style="54" customWidth="1"/>
    <col min="14357" max="14357" width="8.140625" style="54" customWidth="1"/>
    <col min="14358" max="14358" width="4.7109375" style="54" customWidth="1"/>
    <col min="14359" max="14359" width="6.5703125" style="54" customWidth="1"/>
    <col min="14360" max="14362" width="4.7109375" style="54" customWidth="1"/>
    <col min="14363" max="14363" width="9.42578125" style="54" bestFit="1" customWidth="1"/>
    <col min="14364" max="14364" width="9.5703125" style="54" customWidth="1"/>
    <col min="14365" max="14365" width="21.28515625" style="54" customWidth="1"/>
    <col min="14366" max="14366" width="6.42578125" style="54" bestFit="1" customWidth="1"/>
    <col min="14367" max="14592" width="9.140625" style="54"/>
    <col min="14593" max="14593" width="3.140625" style="54" bestFit="1" customWidth="1"/>
    <col min="14594" max="14594" width="15.140625" style="54" bestFit="1" customWidth="1"/>
    <col min="14595" max="14595" width="5" style="54" bestFit="1" customWidth="1"/>
    <col min="14596" max="14596" width="4" style="54" bestFit="1" customWidth="1"/>
    <col min="14597" max="14597" width="4.28515625" style="54" customWidth="1"/>
    <col min="14598" max="14598" width="15.28515625" style="54" customWidth="1"/>
    <col min="14599" max="14599" width="5" style="54" bestFit="1" customWidth="1"/>
    <col min="14600" max="14600" width="5" style="54" customWidth="1"/>
    <col min="14601" max="14601" width="5.5703125" style="54" bestFit="1" customWidth="1"/>
    <col min="14602" max="14602" width="8.140625" style="54" bestFit="1" customWidth="1"/>
    <col min="14603" max="14603" width="6.28515625" style="54" bestFit="1" customWidth="1"/>
    <col min="14604" max="14604" width="10.5703125" style="54" bestFit="1" customWidth="1"/>
    <col min="14605" max="14606" width="0" style="54" hidden="1" customWidth="1"/>
    <col min="14607" max="14607" width="9.28515625" style="54" bestFit="1" customWidth="1"/>
    <col min="14608" max="14608" width="6.5703125" style="54" customWidth="1"/>
    <col min="14609" max="14609" width="8.140625" style="54" customWidth="1"/>
    <col min="14610" max="14610" width="8" style="54" customWidth="1"/>
    <col min="14611" max="14612" width="6.5703125" style="54" customWidth="1"/>
    <col min="14613" max="14613" width="8.140625" style="54" customWidth="1"/>
    <col min="14614" max="14614" width="4.7109375" style="54" customWidth="1"/>
    <col min="14615" max="14615" width="6.5703125" style="54" customWidth="1"/>
    <col min="14616" max="14618" width="4.7109375" style="54" customWidth="1"/>
    <col min="14619" max="14619" width="9.42578125" style="54" bestFit="1" customWidth="1"/>
    <col min="14620" max="14620" width="9.5703125" style="54" customWidth="1"/>
    <col min="14621" max="14621" width="21.28515625" style="54" customWidth="1"/>
    <col min="14622" max="14622" width="6.42578125" style="54" bestFit="1" customWidth="1"/>
    <col min="14623" max="14848" width="9.140625" style="54"/>
    <col min="14849" max="14849" width="3.140625" style="54" bestFit="1" customWidth="1"/>
    <col min="14850" max="14850" width="15.140625" style="54" bestFit="1" customWidth="1"/>
    <col min="14851" max="14851" width="5" style="54" bestFit="1" customWidth="1"/>
    <col min="14852" max="14852" width="4" style="54" bestFit="1" customWidth="1"/>
    <col min="14853" max="14853" width="4.28515625" style="54" customWidth="1"/>
    <col min="14854" max="14854" width="15.28515625" style="54" customWidth="1"/>
    <col min="14855" max="14855" width="5" style="54" bestFit="1" customWidth="1"/>
    <col min="14856" max="14856" width="5" style="54" customWidth="1"/>
    <col min="14857" max="14857" width="5.5703125" style="54" bestFit="1" customWidth="1"/>
    <col min="14858" max="14858" width="8.140625" style="54" bestFit="1" customWidth="1"/>
    <col min="14859" max="14859" width="6.28515625" style="54" bestFit="1" customWidth="1"/>
    <col min="14860" max="14860" width="10.5703125" style="54" bestFit="1" customWidth="1"/>
    <col min="14861" max="14862" width="0" style="54" hidden="1" customWidth="1"/>
    <col min="14863" max="14863" width="9.28515625" style="54" bestFit="1" customWidth="1"/>
    <col min="14864" max="14864" width="6.5703125" style="54" customWidth="1"/>
    <col min="14865" max="14865" width="8.140625" style="54" customWidth="1"/>
    <col min="14866" max="14866" width="8" style="54" customWidth="1"/>
    <col min="14867" max="14868" width="6.5703125" style="54" customWidth="1"/>
    <col min="14869" max="14869" width="8.140625" style="54" customWidth="1"/>
    <col min="14870" max="14870" width="4.7109375" style="54" customWidth="1"/>
    <col min="14871" max="14871" width="6.5703125" style="54" customWidth="1"/>
    <col min="14872" max="14874" width="4.7109375" style="54" customWidth="1"/>
    <col min="14875" max="14875" width="9.42578125" style="54" bestFit="1" customWidth="1"/>
    <col min="14876" max="14876" width="9.5703125" style="54" customWidth="1"/>
    <col min="14877" max="14877" width="21.28515625" style="54" customWidth="1"/>
    <col min="14878" max="14878" width="6.42578125" style="54" bestFit="1" customWidth="1"/>
    <col min="14879" max="15104" width="9.140625" style="54"/>
    <col min="15105" max="15105" width="3.140625" style="54" bestFit="1" customWidth="1"/>
    <col min="15106" max="15106" width="15.140625" style="54" bestFit="1" customWidth="1"/>
    <col min="15107" max="15107" width="5" style="54" bestFit="1" customWidth="1"/>
    <col min="15108" max="15108" width="4" style="54" bestFit="1" customWidth="1"/>
    <col min="15109" max="15109" width="4.28515625" style="54" customWidth="1"/>
    <col min="15110" max="15110" width="15.28515625" style="54" customWidth="1"/>
    <col min="15111" max="15111" width="5" style="54" bestFit="1" customWidth="1"/>
    <col min="15112" max="15112" width="5" style="54" customWidth="1"/>
    <col min="15113" max="15113" width="5.5703125" style="54" bestFit="1" customWidth="1"/>
    <col min="15114" max="15114" width="8.140625" style="54" bestFit="1" customWidth="1"/>
    <col min="15115" max="15115" width="6.28515625" style="54" bestFit="1" customWidth="1"/>
    <col min="15116" max="15116" width="10.5703125" style="54" bestFit="1" customWidth="1"/>
    <col min="15117" max="15118" width="0" style="54" hidden="1" customWidth="1"/>
    <col min="15119" max="15119" width="9.28515625" style="54" bestFit="1" customWidth="1"/>
    <col min="15120" max="15120" width="6.5703125" style="54" customWidth="1"/>
    <col min="15121" max="15121" width="8.140625" style="54" customWidth="1"/>
    <col min="15122" max="15122" width="8" style="54" customWidth="1"/>
    <col min="15123" max="15124" width="6.5703125" style="54" customWidth="1"/>
    <col min="15125" max="15125" width="8.140625" style="54" customWidth="1"/>
    <col min="15126" max="15126" width="4.7109375" style="54" customWidth="1"/>
    <col min="15127" max="15127" width="6.5703125" style="54" customWidth="1"/>
    <col min="15128" max="15130" width="4.7109375" style="54" customWidth="1"/>
    <col min="15131" max="15131" width="9.42578125" style="54" bestFit="1" customWidth="1"/>
    <col min="15132" max="15132" width="9.5703125" style="54" customWidth="1"/>
    <col min="15133" max="15133" width="21.28515625" style="54" customWidth="1"/>
    <col min="15134" max="15134" width="6.42578125" style="54" bestFit="1" customWidth="1"/>
    <col min="15135" max="15360" width="9.140625" style="54"/>
    <col min="15361" max="15361" width="3.140625" style="54" bestFit="1" customWidth="1"/>
    <col min="15362" max="15362" width="15.140625" style="54" bestFit="1" customWidth="1"/>
    <col min="15363" max="15363" width="5" style="54" bestFit="1" customWidth="1"/>
    <col min="15364" max="15364" width="4" style="54" bestFit="1" customWidth="1"/>
    <col min="15365" max="15365" width="4.28515625" style="54" customWidth="1"/>
    <col min="15366" max="15366" width="15.28515625" style="54" customWidth="1"/>
    <col min="15367" max="15367" width="5" style="54" bestFit="1" customWidth="1"/>
    <col min="15368" max="15368" width="5" style="54" customWidth="1"/>
    <col min="15369" max="15369" width="5.5703125" style="54" bestFit="1" customWidth="1"/>
    <col min="15370" max="15370" width="8.140625" style="54" bestFit="1" customWidth="1"/>
    <col min="15371" max="15371" width="6.28515625" style="54" bestFit="1" customWidth="1"/>
    <col min="15372" max="15372" width="10.5703125" style="54" bestFit="1" customWidth="1"/>
    <col min="15373" max="15374" width="0" style="54" hidden="1" customWidth="1"/>
    <col min="15375" max="15375" width="9.28515625" style="54" bestFit="1" customWidth="1"/>
    <col min="15376" max="15376" width="6.5703125" style="54" customWidth="1"/>
    <col min="15377" max="15377" width="8.140625" style="54" customWidth="1"/>
    <col min="15378" max="15378" width="8" style="54" customWidth="1"/>
    <col min="15379" max="15380" width="6.5703125" style="54" customWidth="1"/>
    <col min="15381" max="15381" width="8.140625" style="54" customWidth="1"/>
    <col min="15382" max="15382" width="4.7109375" style="54" customWidth="1"/>
    <col min="15383" max="15383" width="6.5703125" style="54" customWidth="1"/>
    <col min="15384" max="15386" width="4.7109375" style="54" customWidth="1"/>
    <col min="15387" max="15387" width="9.42578125" style="54" bestFit="1" customWidth="1"/>
    <col min="15388" max="15388" width="9.5703125" style="54" customWidth="1"/>
    <col min="15389" max="15389" width="21.28515625" style="54" customWidth="1"/>
    <col min="15390" max="15390" width="6.42578125" style="54" bestFit="1" customWidth="1"/>
    <col min="15391" max="15616" width="9.140625" style="54"/>
    <col min="15617" max="15617" width="3.140625" style="54" bestFit="1" customWidth="1"/>
    <col min="15618" max="15618" width="15.140625" style="54" bestFit="1" customWidth="1"/>
    <col min="15619" max="15619" width="5" style="54" bestFit="1" customWidth="1"/>
    <col min="15620" max="15620" width="4" style="54" bestFit="1" customWidth="1"/>
    <col min="15621" max="15621" width="4.28515625" style="54" customWidth="1"/>
    <col min="15622" max="15622" width="15.28515625" style="54" customWidth="1"/>
    <col min="15623" max="15623" width="5" style="54" bestFit="1" customWidth="1"/>
    <col min="15624" max="15624" width="5" style="54" customWidth="1"/>
    <col min="15625" max="15625" width="5.5703125" style="54" bestFit="1" customWidth="1"/>
    <col min="15626" max="15626" width="8.140625" style="54" bestFit="1" customWidth="1"/>
    <col min="15627" max="15627" width="6.28515625" style="54" bestFit="1" customWidth="1"/>
    <col min="15628" max="15628" width="10.5703125" style="54" bestFit="1" customWidth="1"/>
    <col min="15629" max="15630" width="0" style="54" hidden="1" customWidth="1"/>
    <col min="15631" max="15631" width="9.28515625" style="54" bestFit="1" customWidth="1"/>
    <col min="15632" max="15632" width="6.5703125" style="54" customWidth="1"/>
    <col min="15633" max="15633" width="8.140625" style="54" customWidth="1"/>
    <col min="15634" max="15634" width="8" style="54" customWidth="1"/>
    <col min="15635" max="15636" width="6.5703125" style="54" customWidth="1"/>
    <col min="15637" max="15637" width="8.140625" style="54" customWidth="1"/>
    <col min="15638" max="15638" width="4.7109375" style="54" customWidth="1"/>
    <col min="15639" max="15639" width="6.5703125" style="54" customWidth="1"/>
    <col min="15640" max="15642" width="4.7109375" style="54" customWidth="1"/>
    <col min="15643" max="15643" width="9.42578125" style="54" bestFit="1" customWidth="1"/>
    <col min="15644" max="15644" width="9.5703125" style="54" customWidth="1"/>
    <col min="15645" max="15645" width="21.28515625" style="54" customWidth="1"/>
    <col min="15646" max="15646" width="6.42578125" style="54" bestFit="1" customWidth="1"/>
    <col min="15647" max="15872" width="9.140625" style="54"/>
    <col min="15873" max="15873" width="3.140625" style="54" bestFit="1" customWidth="1"/>
    <col min="15874" max="15874" width="15.140625" style="54" bestFit="1" customWidth="1"/>
    <col min="15875" max="15875" width="5" style="54" bestFit="1" customWidth="1"/>
    <col min="15876" max="15876" width="4" style="54" bestFit="1" customWidth="1"/>
    <col min="15877" max="15877" width="4.28515625" style="54" customWidth="1"/>
    <col min="15878" max="15878" width="15.28515625" style="54" customWidth="1"/>
    <col min="15879" max="15879" width="5" style="54" bestFit="1" customWidth="1"/>
    <col min="15880" max="15880" width="5" style="54" customWidth="1"/>
    <col min="15881" max="15881" width="5.5703125" style="54" bestFit="1" customWidth="1"/>
    <col min="15882" max="15882" width="8.140625" style="54" bestFit="1" customWidth="1"/>
    <col min="15883" max="15883" width="6.28515625" style="54" bestFit="1" customWidth="1"/>
    <col min="15884" max="15884" width="10.5703125" style="54" bestFit="1" customWidth="1"/>
    <col min="15885" max="15886" width="0" style="54" hidden="1" customWidth="1"/>
    <col min="15887" max="15887" width="9.28515625" style="54" bestFit="1" customWidth="1"/>
    <col min="15888" max="15888" width="6.5703125" style="54" customWidth="1"/>
    <col min="15889" max="15889" width="8.140625" style="54" customWidth="1"/>
    <col min="15890" max="15890" width="8" style="54" customWidth="1"/>
    <col min="15891" max="15892" width="6.5703125" style="54" customWidth="1"/>
    <col min="15893" max="15893" width="8.140625" style="54" customWidth="1"/>
    <col min="15894" max="15894" width="4.7109375" style="54" customWidth="1"/>
    <col min="15895" max="15895" width="6.5703125" style="54" customWidth="1"/>
    <col min="15896" max="15898" width="4.7109375" style="54" customWidth="1"/>
    <col min="15899" max="15899" width="9.42578125" style="54" bestFit="1" customWidth="1"/>
    <col min="15900" max="15900" width="9.5703125" style="54" customWidth="1"/>
    <col min="15901" max="15901" width="21.28515625" style="54" customWidth="1"/>
    <col min="15902" max="15902" width="6.42578125" style="54" bestFit="1" customWidth="1"/>
    <col min="15903" max="16128" width="9.140625" style="54"/>
    <col min="16129" max="16129" width="3.140625" style="54" bestFit="1" customWidth="1"/>
    <col min="16130" max="16130" width="15.140625" style="54" bestFit="1" customWidth="1"/>
    <col min="16131" max="16131" width="5" style="54" bestFit="1" customWidth="1"/>
    <col min="16132" max="16132" width="4" style="54" bestFit="1" customWidth="1"/>
    <col min="16133" max="16133" width="4.28515625" style="54" customWidth="1"/>
    <col min="16134" max="16134" width="15.28515625" style="54" customWidth="1"/>
    <col min="16135" max="16135" width="5" style="54" bestFit="1" customWidth="1"/>
    <col min="16136" max="16136" width="5" style="54" customWidth="1"/>
    <col min="16137" max="16137" width="5.5703125" style="54" bestFit="1" customWidth="1"/>
    <col min="16138" max="16138" width="8.140625" style="54" bestFit="1" customWidth="1"/>
    <col min="16139" max="16139" width="6.28515625" style="54" bestFit="1" customWidth="1"/>
    <col min="16140" max="16140" width="10.5703125" style="54" bestFit="1" customWidth="1"/>
    <col min="16141" max="16142" width="0" style="54" hidden="1" customWidth="1"/>
    <col min="16143" max="16143" width="9.28515625" style="54" bestFit="1" customWidth="1"/>
    <col min="16144" max="16144" width="6.5703125" style="54" customWidth="1"/>
    <col min="16145" max="16145" width="8.140625" style="54" customWidth="1"/>
    <col min="16146" max="16146" width="8" style="54" customWidth="1"/>
    <col min="16147" max="16148" width="6.5703125" style="54" customWidth="1"/>
    <col min="16149" max="16149" width="8.140625" style="54" customWidth="1"/>
    <col min="16150" max="16150" width="4.7109375" style="54" customWidth="1"/>
    <col min="16151" max="16151" width="6.5703125" style="54" customWidth="1"/>
    <col min="16152" max="16154" width="4.7109375" style="54" customWidth="1"/>
    <col min="16155" max="16155" width="9.42578125" style="54" bestFit="1" customWidth="1"/>
    <col min="16156" max="16156" width="9.5703125" style="54" customWidth="1"/>
    <col min="16157" max="16157" width="21.28515625" style="54" customWidth="1"/>
    <col min="16158" max="16158" width="6.42578125" style="54" bestFit="1" customWidth="1"/>
    <col min="16159" max="16384" width="9.140625" style="54"/>
  </cols>
  <sheetData>
    <row r="1" spans="1:31" ht="30" customHeight="1" x14ac:dyDescent="0.25">
      <c r="A1" s="309" t="s">
        <v>102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276"/>
      <c r="R1" s="276"/>
      <c r="S1" s="276"/>
      <c r="T1" s="276"/>
      <c r="U1" s="276"/>
      <c r="V1" s="276"/>
      <c r="W1" s="276"/>
      <c r="X1" s="276"/>
      <c r="Y1" s="276"/>
      <c r="Z1" s="276"/>
      <c r="AA1" s="276"/>
      <c r="AB1" s="276"/>
      <c r="AD1" s="251" t="s">
        <v>0</v>
      </c>
      <c r="AE1" s="55">
        <v>11700</v>
      </c>
    </row>
    <row r="2" spans="1:31" ht="21.75" customHeight="1" thickBot="1" x14ac:dyDescent="0.3">
      <c r="A2" s="312" t="s">
        <v>101</v>
      </c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277"/>
      <c r="R2" s="277"/>
      <c r="S2" s="277"/>
      <c r="T2" s="277"/>
      <c r="U2" s="277"/>
      <c r="V2" s="277"/>
      <c r="W2" s="277"/>
      <c r="X2" s="277"/>
      <c r="Y2" s="277"/>
      <c r="Z2" s="277"/>
      <c r="AA2" s="277"/>
      <c r="AB2" s="277"/>
      <c r="AD2" s="251" t="s">
        <v>1</v>
      </c>
      <c r="AE2" s="56">
        <v>30</v>
      </c>
    </row>
    <row r="3" spans="1:31" ht="27" thickTop="1" x14ac:dyDescent="0.25">
      <c r="A3" s="210" t="s">
        <v>2</v>
      </c>
      <c r="B3" s="211" t="s">
        <v>100</v>
      </c>
      <c r="C3" s="212" t="s">
        <v>3</v>
      </c>
      <c r="D3" s="213"/>
      <c r="E3" s="214"/>
      <c r="F3" s="215" t="s">
        <v>4</v>
      </c>
      <c r="G3" s="216"/>
      <c r="H3" s="217"/>
      <c r="I3" s="218" t="s">
        <v>5</v>
      </c>
      <c r="J3" s="252" t="s">
        <v>108</v>
      </c>
      <c r="K3" s="218" t="s">
        <v>6</v>
      </c>
      <c r="L3" s="219" t="s">
        <v>107</v>
      </c>
      <c r="M3" s="219" t="s">
        <v>7</v>
      </c>
      <c r="N3" s="219" t="s">
        <v>8</v>
      </c>
      <c r="O3" s="252" t="s">
        <v>106</v>
      </c>
      <c r="P3" s="221" t="s">
        <v>10</v>
      </c>
      <c r="Q3" s="253" t="s">
        <v>9</v>
      </c>
      <c r="R3" s="220"/>
      <c r="S3" s="220"/>
      <c r="T3" s="220"/>
      <c r="U3" s="220"/>
      <c r="V3" s="220"/>
      <c r="W3" s="220"/>
      <c r="X3" s="220"/>
      <c r="Y3" s="220"/>
      <c r="Z3" s="220"/>
      <c r="AA3" s="254"/>
    </row>
    <row r="4" spans="1:31" x14ac:dyDescent="0.25">
      <c r="A4" s="222" t="s">
        <v>11</v>
      </c>
      <c r="B4" s="57" t="s">
        <v>12</v>
      </c>
      <c r="C4" s="57" t="s">
        <v>13</v>
      </c>
      <c r="D4" s="58"/>
      <c r="E4" s="59"/>
      <c r="F4" s="60" t="s">
        <v>14</v>
      </c>
      <c r="G4" s="61"/>
      <c r="H4" s="62"/>
      <c r="I4" s="63" t="s">
        <v>15</v>
      </c>
      <c r="J4" s="63" t="s">
        <v>103</v>
      </c>
      <c r="K4" s="63" t="s">
        <v>104</v>
      </c>
      <c r="L4" s="64" t="s">
        <v>15</v>
      </c>
      <c r="M4" s="63" t="s">
        <v>105</v>
      </c>
      <c r="N4" s="64" t="s">
        <v>15</v>
      </c>
      <c r="O4" s="63" t="s">
        <v>16</v>
      </c>
      <c r="P4" s="223" t="s">
        <v>17</v>
      </c>
      <c r="Q4" s="255">
        <v>6</v>
      </c>
      <c r="R4" s="65">
        <v>8</v>
      </c>
      <c r="S4" s="65">
        <v>10</v>
      </c>
      <c r="T4" s="65">
        <v>12</v>
      </c>
      <c r="U4" s="65">
        <v>14</v>
      </c>
      <c r="V4" s="65">
        <v>16</v>
      </c>
      <c r="W4" s="65">
        <v>18</v>
      </c>
      <c r="X4" s="65">
        <v>20</v>
      </c>
      <c r="Y4" s="65">
        <v>25</v>
      </c>
      <c r="Z4" s="65">
        <v>28</v>
      </c>
      <c r="AA4" s="256">
        <v>32</v>
      </c>
    </row>
    <row r="5" spans="1:31" s="69" customFormat="1" ht="15" customHeight="1" collapsed="1" x14ac:dyDescent="0.25">
      <c r="A5" s="224">
        <v>1</v>
      </c>
      <c r="B5" s="66">
        <v>2</v>
      </c>
      <c r="C5" s="67">
        <v>3</v>
      </c>
      <c r="D5" s="310">
        <v>4</v>
      </c>
      <c r="E5" s="311"/>
      <c r="F5" s="311"/>
      <c r="G5" s="311"/>
      <c r="H5" s="66"/>
      <c r="I5" s="67">
        <v>5</v>
      </c>
      <c r="J5" s="67">
        <v>7</v>
      </c>
      <c r="K5" s="67">
        <v>8</v>
      </c>
      <c r="L5" s="67">
        <v>6</v>
      </c>
      <c r="M5" s="67">
        <v>9</v>
      </c>
      <c r="N5" s="67">
        <v>10</v>
      </c>
      <c r="O5" s="68">
        <v>11</v>
      </c>
      <c r="P5" s="225">
        <v>23</v>
      </c>
      <c r="Q5" s="224">
        <v>12</v>
      </c>
      <c r="R5" s="67">
        <v>13</v>
      </c>
      <c r="S5" s="67">
        <v>14</v>
      </c>
      <c r="T5" s="67">
        <v>15</v>
      </c>
      <c r="U5" s="67">
        <v>16</v>
      </c>
      <c r="V5" s="67">
        <v>17</v>
      </c>
      <c r="W5" s="67">
        <v>18</v>
      </c>
      <c r="X5" s="67">
        <v>19</v>
      </c>
      <c r="Y5" s="67">
        <v>20</v>
      </c>
      <c r="Z5" s="67">
        <v>21</v>
      </c>
      <c r="AA5" s="257">
        <v>22</v>
      </c>
    </row>
    <row r="6" spans="1:31" ht="21.75" hidden="1" customHeight="1" outlineLevel="1" x14ac:dyDescent="0.25">
      <c r="A6" s="226"/>
      <c r="B6" s="71"/>
      <c r="C6" s="70"/>
      <c r="D6" s="303" t="s">
        <v>18</v>
      </c>
      <c r="E6" s="304"/>
      <c r="F6" s="304"/>
      <c r="G6" s="304"/>
      <c r="H6" s="305"/>
      <c r="I6" s="72"/>
      <c r="J6" s="73"/>
      <c r="K6" s="70"/>
      <c r="L6" s="74">
        <f>IF(($B6)="đai vuông",SUM($D6:$H6)*2,IF(($B6)="đai tròn",$D6*PI()+$H6*2,IF(SUM($D6:$H6)&gt;11700,ROUND(SUM(D6:H6)/11700,0)*I6*40+SUM($D6:$H6),SUM($D6:$H6))))</f>
        <v>0</v>
      </c>
      <c r="M6" s="74"/>
      <c r="N6" s="74"/>
      <c r="O6" s="75"/>
      <c r="P6" s="227"/>
      <c r="Q6" s="258">
        <f t="shared" ref="Q6:AA6" si="0">ROUND(Q7*1.05/PRODUCT((Q$4/2)^2,PI(),7850,Lcay,10^-9),0)</f>
        <v>724</v>
      </c>
      <c r="R6" s="76">
        <f t="shared" si="0"/>
        <v>691</v>
      </c>
      <c r="S6" s="76">
        <f>ROUND(S87*1.05/PRODUCT((S$4/2)^2,PI(),7850,Lcay,10^-9),0)</f>
        <v>202</v>
      </c>
      <c r="T6" s="76">
        <f t="shared" si="0"/>
        <v>11</v>
      </c>
      <c r="U6" s="76">
        <f t="shared" si="0"/>
        <v>77</v>
      </c>
      <c r="V6" s="76">
        <f t="shared" si="0"/>
        <v>344</v>
      </c>
      <c r="W6" s="76">
        <f t="shared" si="0"/>
        <v>0</v>
      </c>
      <c r="X6" s="76">
        <f t="shared" si="0"/>
        <v>20</v>
      </c>
      <c r="Y6" s="76">
        <f t="shared" si="0"/>
        <v>0</v>
      </c>
      <c r="Z6" s="76">
        <f t="shared" si="0"/>
        <v>0</v>
      </c>
      <c r="AA6" s="227">
        <f t="shared" si="0"/>
        <v>0</v>
      </c>
    </row>
    <row r="7" spans="1:31" ht="21.75" hidden="1" customHeight="1" outlineLevel="1" x14ac:dyDescent="0.25">
      <c r="A7" s="228"/>
      <c r="B7" s="78"/>
      <c r="C7" s="77"/>
      <c r="D7" s="306" t="s">
        <v>19</v>
      </c>
      <c r="E7" s="307"/>
      <c r="F7" s="307"/>
      <c r="G7" s="307"/>
      <c r="H7" s="308"/>
      <c r="I7" s="79"/>
      <c r="J7" s="80"/>
      <c r="K7" s="81"/>
      <c r="L7" s="82"/>
      <c r="M7" s="82"/>
      <c r="N7" s="82"/>
      <c r="O7" s="83"/>
      <c r="P7" s="229">
        <f>SUM(Q7:AA7)</f>
        <v>14001.999999999998</v>
      </c>
      <c r="Q7" s="259">
        <f t="shared" ref="Q7:AA7" si="1">SUM(Q8:Q103)/2</f>
        <v>1789.4999999999998</v>
      </c>
      <c r="R7" s="84">
        <f t="shared" si="1"/>
        <v>3038.7000000000003</v>
      </c>
      <c r="S7" s="84">
        <f t="shared" si="1"/>
        <v>1439.4999999999998</v>
      </c>
      <c r="T7" s="84">
        <f t="shared" si="1"/>
        <v>109.4</v>
      </c>
      <c r="U7" s="84">
        <f t="shared" si="1"/>
        <v>1039.1999999999998</v>
      </c>
      <c r="V7" s="84">
        <f t="shared" si="1"/>
        <v>6048.6999999999989</v>
      </c>
      <c r="W7" s="84">
        <f t="shared" si="1"/>
        <v>0</v>
      </c>
      <c r="X7" s="84">
        <f t="shared" si="1"/>
        <v>537</v>
      </c>
      <c r="Y7" s="84">
        <f t="shared" si="1"/>
        <v>0</v>
      </c>
      <c r="Z7" s="84">
        <f t="shared" si="1"/>
        <v>0</v>
      </c>
      <c r="AA7" s="229">
        <f t="shared" si="1"/>
        <v>0</v>
      </c>
    </row>
    <row r="8" spans="1:31" ht="26.25" x14ac:dyDescent="0.25">
      <c r="A8" s="230">
        <v>1</v>
      </c>
      <c r="B8" s="85" t="s">
        <v>25</v>
      </c>
      <c r="C8" s="86"/>
      <c r="D8" s="87"/>
      <c r="E8" s="88"/>
      <c r="F8" s="89"/>
      <c r="G8" s="88"/>
      <c r="H8" s="90"/>
      <c r="I8" s="91"/>
      <c r="J8" s="92"/>
      <c r="K8" s="93"/>
      <c r="L8" s="92"/>
      <c r="M8" s="92" t="str">
        <f t="shared" ref="M8:M24" si="2">IF(L8&lt;=Lcay,"-",IF(L8&lt;(2*Lcay-I8*Nc),1,INT(L8/(Lcay-I8*Nc))))</f>
        <v>-</v>
      </c>
      <c r="N8" s="92" t="str">
        <f t="shared" ref="N8:N35" si="3">IF(($M8)="-","-",$I8*Nc)</f>
        <v>-</v>
      </c>
      <c r="O8" s="94" t="str">
        <f>IF(ISBLANK($I8),"",ROUND(PRODUCT($J8:$L8,10^-3)+PRODUCT(IF($L8&lt;Lcay,0,$L8),$J8:$K8,$M8:$N8,10^-3),1))</f>
        <v/>
      </c>
      <c r="P8" s="231">
        <f>SUBTOTAL(9,P9:P19)</f>
        <v>2489.5</v>
      </c>
      <c r="Q8" s="260">
        <f t="shared" ref="Q8:AA8" si="4">SUBTOTAL(9,Q9:Q19)</f>
        <v>290.49999999999994</v>
      </c>
      <c r="R8" s="95">
        <f t="shared" si="4"/>
        <v>0</v>
      </c>
      <c r="S8" s="95">
        <f t="shared" si="4"/>
        <v>0</v>
      </c>
      <c r="T8" s="95">
        <f t="shared" si="4"/>
        <v>109.4</v>
      </c>
      <c r="U8" s="95">
        <f t="shared" si="4"/>
        <v>257.2</v>
      </c>
      <c r="V8" s="95">
        <f t="shared" si="4"/>
        <v>1832.4</v>
      </c>
      <c r="W8" s="95">
        <f t="shared" si="4"/>
        <v>0</v>
      </c>
      <c r="X8" s="95">
        <f t="shared" si="4"/>
        <v>0</v>
      </c>
      <c r="Y8" s="95">
        <f t="shared" si="4"/>
        <v>0</v>
      </c>
      <c r="Z8" s="95">
        <f t="shared" si="4"/>
        <v>0</v>
      </c>
      <c r="AA8" s="231">
        <f t="shared" si="4"/>
        <v>0</v>
      </c>
      <c r="AD8" s="330" t="s">
        <v>118</v>
      </c>
    </row>
    <row r="9" spans="1:31" ht="26.25" outlineLevel="1" x14ac:dyDescent="0.25">
      <c r="A9" s="232"/>
      <c r="B9" s="96" t="s">
        <v>26</v>
      </c>
      <c r="C9" s="97">
        <v>1</v>
      </c>
      <c r="D9" s="98"/>
      <c r="E9" s="99">
        <v>150</v>
      </c>
      <c r="F9" s="100">
        <v>600</v>
      </c>
      <c r="G9" s="101"/>
      <c r="H9" s="102"/>
      <c r="I9" s="103">
        <v>16</v>
      </c>
      <c r="J9" s="104">
        <v>4</v>
      </c>
      <c r="K9" s="105">
        <v>51</v>
      </c>
      <c r="L9" s="106">
        <f t="shared" ref="L9:L101" si="5">IF(($B9)="đai vuông",SUM($D9:$H9)*2,IF(($B9)="đai tròn",$F9*PI()+$H9*2,SUM($D9:$H9)))</f>
        <v>750</v>
      </c>
      <c r="M9" s="106" t="str">
        <f t="shared" si="2"/>
        <v>-</v>
      </c>
      <c r="N9" s="106" t="str">
        <f t="shared" si="3"/>
        <v>-</v>
      </c>
      <c r="O9" s="107">
        <f t="shared" ref="O9:O18" si="6">IF(ISBLANK($I9),"",ROUND(PRODUCT($J9:$L9,10^-3)+PRODUCT(IF($L9&lt;Lcay,0,1),$J9:$K9,$M9:$N9,10^-3),1))</f>
        <v>153</v>
      </c>
      <c r="P9" s="233">
        <f>IF(ISBLANK($I9),"",ROUND(PRODUCT(($I9/2)^2,PI(),10^-6,7850,$O9),1))</f>
        <v>241.5</v>
      </c>
      <c r="Q9" s="261" t="str">
        <f>IF($I9=Q$4,$P9,"-")</f>
        <v>-</v>
      </c>
      <c r="R9" s="108" t="str">
        <f t="shared" ref="R9:AA18" si="7">IF($I9=R$4,$P9,"-")</f>
        <v>-</v>
      </c>
      <c r="S9" s="108" t="str">
        <f t="shared" si="7"/>
        <v>-</v>
      </c>
      <c r="T9" s="108" t="str">
        <f t="shared" si="7"/>
        <v>-</v>
      </c>
      <c r="U9" s="108" t="str">
        <f t="shared" si="7"/>
        <v>-</v>
      </c>
      <c r="V9" s="108">
        <f t="shared" si="7"/>
        <v>241.5</v>
      </c>
      <c r="W9" s="108" t="str">
        <f t="shared" si="7"/>
        <v>-</v>
      </c>
      <c r="X9" s="108" t="str">
        <f t="shared" si="7"/>
        <v>-</v>
      </c>
      <c r="Y9" s="108" t="str">
        <f t="shared" si="7"/>
        <v>-</v>
      </c>
      <c r="Z9" s="108" t="str">
        <f t="shared" si="7"/>
        <v>-</v>
      </c>
      <c r="AA9" s="262" t="str">
        <f t="shared" si="7"/>
        <v>-</v>
      </c>
      <c r="AC9" s="109"/>
      <c r="AD9" s="330" t="s">
        <v>118</v>
      </c>
    </row>
    <row r="10" spans="1:31" ht="26.25" outlineLevel="1" x14ac:dyDescent="0.25">
      <c r="A10" s="234"/>
      <c r="B10" s="110"/>
      <c r="C10" s="97">
        <v>2</v>
      </c>
      <c r="D10" s="111">
        <v>200</v>
      </c>
      <c r="E10" s="112"/>
      <c r="F10" s="113">
        <f>1000+1950+650</f>
        <v>3600</v>
      </c>
      <c r="G10" s="114"/>
      <c r="H10" s="115"/>
      <c r="I10" s="116">
        <v>16</v>
      </c>
      <c r="J10" s="117">
        <v>4</v>
      </c>
      <c r="K10" s="110">
        <v>51</v>
      </c>
      <c r="L10" s="118">
        <f t="shared" si="5"/>
        <v>3800</v>
      </c>
      <c r="M10" s="118" t="str">
        <f t="shared" si="2"/>
        <v>-</v>
      </c>
      <c r="N10" s="118" t="str">
        <f t="shared" si="3"/>
        <v>-</v>
      </c>
      <c r="O10" s="119">
        <f t="shared" si="6"/>
        <v>775.2</v>
      </c>
      <c r="P10" s="235">
        <f t="shared" ref="P10:P18" si="8">IF(ISBLANK($I10),"",ROUND(PRODUCT(($I10/2)^2,PI(),10^-6,7850,$O10),1))</f>
        <v>1223.5</v>
      </c>
      <c r="Q10" s="263" t="str">
        <f t="shared" ref="Q10:Q18" si="9">IF($I10=Q$4,$P10,"-")</f>
        <v>-</v>
      </c>
      <c r="R10" s="120" t="str">
        <f t="shared" si="7"/>
        <v>-</v>
      </c>
      <c r="S10" s="120" t="str">
        <f t="shared" si="7"/>
        <v>-</v>
      </c>
      <c r="T10" s="120" t="str">
        <f t="shared" si="7"/>
        <v>-</v>
      </c>
      <c r="U10" s="120" t="str">
        <f t="shared" si="7"/>
        <v>-</v>
      </c>
      <c r="V10" s="120">
        <f t="shared" si="7"/>
        <v>1223.5</v>
      </c>
      <c r="W10" s="120" t="str">
        <f t="shared" si="7"/>
        <v>-</v>
      </c>
      <c r="X10" s="120" t="str">
        <f t="shared" si="7"/>
        <v>-</v>
      </c>
      <c r="Y10" s="120" t="str">
        <f t="shared" si="7"/>
        <v>-</v>
      </c>
      <c r="Z10" s="120" t="str">
        <f t="shared" si="7"/>
        <v>-</v>
      </c>
      <c r="AA10" s="264" t="str">
        <f t="shared" si="7"/>
        <v>-</v>
      </c>
      <c r="AD10" s="330" t="s">
        <v>118</v>
      </c>
    </row>
    <row r="11" spans="1:31" ht="26.25" outlineLevel="1" x14ac:dyDescent="0.25">
      <c r="A11" s="234"/>
      <c r="B11" s="110" t="s">
        <v>20</v>
      </c>
      <c r="C11" s="121" t="s">
        <v>21</v>
      </c>
      <c r="D11" s="122"/>
      <c r="E11" s="114">
        <v>150</v>
      </c>
      <c r="F11" s="113">
        <v>150</v>
      </c>
      <c r="G11" s="114">
        <v>50</v>
      </c>
      <c r="H11" s="123"/>
      <c r="I11" s="116">
        <v>6</v>
      </c>
      <c r="J11" s="117">
        <f>F10/150</f>
        <v>24</v>
      </c>
      <c r="K11" s="110">
        <v>51</v>
      </c>
      <c r="L11" s="118">
        <f t="shared" si="5"/>
        <v>700</v>
      </c>
      <c r="M11" s="118" t="str">
        <f t="shared" si="2"/>
        <v>-</v>
      </c>
      <c r="N11" s="118" t="str">
        <f t="shared" si="3"/>
        <v>-</v>
      </c>
      <c r="O11" s="119">
        <f t="shared" si="6"/>
        <v>856.8</v>
      </c>
      <c r="P11" s="235">
        <f t="shared" si="8"/>
        <v>190.2</v>
      </c>
      <c r="Q11" s="263">
        <f t="shared" si="9"/>
        <v>190.2</v>
      </c>
      <c r="R11" s="120" t="str">
        <f t="shared" si="7"/>
        <v>-</v>
      </c>
      <c r="S11" s="120" t="str">
        <f t="shared" si="7"/>
        <v>-</v>
      </c>
      <c r="T11" s="120" t="str">
        <f t="shared" si="7"/>
        <v>-</v>
      </c>
      <c r="U11" s="120" t="str">
        <f t="shared" si="7"/>
        <v>-</v>
      </c>
      <c r="V11" s="120" t="str">
        <f t="shared" si="7"/>
        <v>-</v>
      </c>
      <c r="W11" s="120" t="str">
        <f t="shared" si="7"/>
        <v>-</v>
      </c>
      <c r="X11" s="120" t="str">
        <f t="shared" si="7"/>
        <v>-</v>
      </c>
      <c r="Y11" s="120" t="str">
        <f t="shared" si="7"/>
        <v>-</v>
      </c>
      <c r="Z11" s="120" t="str">
        <f t="shared" si="7"/>
        <v>-</v>
      </c>
      <c r="AA11" s="264" t="str">
        <f t="shared" si="7"/>
        <v>-</v>
      </c>
      <c r="AD11" s="330" t="s">
        <v>118</v>
      </c>
    </row>
    <row r="12" spans="1:31" ht="26.25" outlineLevel="1" x14ac:dyDescent="0.25">
      <c r="A12" s="232"/>
      <c r="B12" s="96" t="s">
        <v>99</v>
      </c>
      <c r="C12" s="97">
        <v>1</v>
      </c>
      <c r="D12" s="98"/>
      <c r="E12" s="99">
        <v>150</v>
      </c>
      <c r="F12" s="100">
        <v>600</v>
      </c>
      <c r="G12" s="101"/>
      <c r="H12" s="102"/>
      <c r="I12" s="103">
        <v>16</v>
      </c>
      <c r="J12" s="104">
        <v>8</v>
      </c>
      <c r="K12" s="105">
        <v>6</v>
      </c>
      <c r="L12" s="106">
        <f t="shared" si="5"/>
        <v>750</v>
      </c>
      <c r="M12" s="106" t="str">
        <f t="shared" ref="M12:M14" si="10">IF(L12&lt;=Lcay,"-",IF(L12&lt;(2*Lcay-I12*Nc),1,INT(L12/(Lcay-I12*Nc))))</f>
        <v>-</v>
      </c>
      <c r="N12" s="106" t="str">
        <f t="shared" si="3"/>
        <v>-</v>
      </c>
      <c r="O12" s="107">
        <f t="shared" si="6"/>
        <v>36</v>
      </c>
      <c r="P12" s="233">
        <f t="shared" si="8"/>
        <v>56.8</v>
      </c>
      <c r="Q12" s="261" t="str">
        <f t="shared" si="9"/>
        <v>-</v>
      </c>
      <c r="R12" s="108" t="str">
        <f t="shared" si="7"/>
        <v>-</v>
      </c>
      <c r="S12" s="108" t="str">
        <f t="shared" si="7"/>
        <v>-</v>
      </c>
      <c r="T12" s="108" t="str">
        <f t="shared" si="7"/>
        <v>-</v>
      </c>
      <c r="U12" s="108" t="str">
        <f t="shared" si="7"/>
        <v>-</v>
      </c>
      <c r="V12" s="108">
        <f t="shared" si="7"/>
        <v>56.8</v>
      </c>
      <c r="W12" s="108" t="str">
        <f t="shared" si="7"/>
        <v>-</v>
      </c>
      <c r="X12" s="108" t="str">
        <f t="shared" si="7"/>
        <v>-</v>
      </c>
      <c r="Y12" s="108" t="str">
        <f t="shared" si="7"/>
        <v>-</v>
      </c>
      <c r="Z12" s="108" t="str">
        <f t="shared" si="7"/>
        <v>-</v>
      </c>
      <c r="AA12" s="262" t="str">
        <f t="shared" si="7"/>
        <v>-</v>
      </c>
      <c r="AC12" s="109"/>
      <c r="AD12" s="330" t="s">
        <v>118</v>
      </c>
    </row>
    <row r="13" spans="1:31" ht="26.25" outlineLevel="1" x14ac:dyDescent="0.25">
      <c r="A13" s="234"/>
      <c r="B13" s="110"/>
      <c r="C13" s="97">
        <v>2</v>
      </c>
      <c r="D13" s="111">
        <v>200</v>
      </c>
      <c r="E13" s="112"/>
      <c r="F13" s="113">
        <v>3900</v>
      </c>
      <c r="G13" s="114"/>
      <c r="H13" s="115"/>
      <c r="I13" s="116">
        <v>16</v>
      </c>
      <c r="J13" s="117">
        <v>8</v>
      </c>
      <c r="K13" s="110">
        <v>6</v>
      </c>
      <c r="L13" s="118">
        <f t="shared" si="5"/>
        <v>4100</v>
      </c>
      <c r="M13" s="118" t="str">
        <f t="shared" si="10"/>
        <v>-</v>
      </c>
      <c r="N13" s="118" t="str">
        <f t="shared" si="3"/>
        <v>-</v>
      </c>
      <c r="O13" s="119">
        <f t="shared" si="6"/>
        <v>196.8</v>
      </c>
      <c r="P13" s="235">
        <f t="shared" si="8"/>
        <v>310.60000000000002</v>
      </c>
      <c r="Q13" s="263" t="str">
        <f t="shared" si="9"/>
        <v>-</v>
      </c>
      <c r="R13" s="120" t="str">
        <f t="shared" si="7"/>
        <v>-</v>
      </c>
      <c r="S13" s="120" t="str">
        <f t="shared" si="7"/>
        <v>-</v>
      </c>
      <c r="T13" s="120" t="str">
        <f t="shared" si="7"/>
        <v>-</v>
      </c>
      <c r="U13" s="120" t="str">
        <f t="shared" si="7"/>
        <v>-</v>
      </c>
      <c r="V13" s="120">
        <f t="shared" si="7"/>
        <v>310.60000000000002</v>
      </c>
      <c r="W13" s="120" t="str">
        <f t="shared" si="7"/>
        <v>-</v>
      </c>
      <c r="X13" s="120" t="str">
        <f t="shared" si="7"/>
        <v>-</v>
      </c>
      <c r="Y13" s="120" t="str">
        <f t="shared" si="7"/>
        <v>-</v>
      </c>
      <c r="Z13" s="120" t="str">
        <f t="shared" si="7"/>
        <v>-</v>
      </c>
      <c r="AA13" s="264" t="str">
        <f t="shared" si="7"/>
        <v>-</v>
      </c>
      <c r="AD13" s="330" t="s">
        <v>118</v>
      </c>
    </row>
    <row r="14" spans="1:31" ht="26.25" outlineLevel="1" x14ac:dyDescent="0.25">
      <c r="A14" s="234"/>
      <c r="B14" s="110" t="s">
        <v>20</v>
      </c>
      <c r="C14" s="121" t="s">
        <v>21</v>
      </c>
      <c r="D14" s="122"/>
      <c r="E14" s="114">
        <v>150</v>
      </c>
      <c r="F14" s="113">
        <v>150</v>
      </c>
      <c r="G14" s="114">
        <v>50</v>
      </c>
      <c r="H14" s="123"/>
      <c r="I14" s="116">
        <v>6</v>
      </c>
      <c r="J14" s="117">
        <f>F13/150</f>
        <v>26</v>
      </c>
      <c r="K14" s="110">
        <v>6</v>
      </c>
      <c r="L14" s="118">
        <f t="shared" si="5"/>
        <v>700</v>
      </c>
      <c r="M14" s="118" t="str">
        <f t="shared" si="10"/>
        <v>-</v>
      </c>
      <c r="N14" s="118" t="str">
        <f t="shared" si="3"/>
        <v>-</v>
      </c>
      <c r="O14" s="119">
        <f t="shared" si="6"/>
        <v>109.2</v>
      </c>
      <c r="P14" s="235">
        <f t="shared" si="8"/>
        <v>24.2</v>
      </c>
      <c r="Q14" s="263">
        <f t="shared" si="9"/>
        <v>24.2</v>
      </c>
      <c r="R14" s="120" t="str">
        <f t="shared" si="7"/>
        <v>-</v>
      </c>
      <c r="S14" s="120" t="str">
        <f t="shared" si="7"/>
        <v>-</v>
      </c>
      <c r="T14" s="120" t="str">
        <f t="shared" si="7"/>
        <v>-</v>
      </c>
      <c r="U14" s="120" t="str">
        <f t="shared" si="7"/>
        <v>-</v>
      </c>
      <c r="V14" s="120" t="str">
        <f t="shared" si="7"/>
        <v>-</v>
      </c>
      <c r="W14" s="120" t="str">
        <f t="shared" si="7"/>
        <v>-</v>
      </c>
      <c r="X14" s="120" t="str">
        <f t="shared" si="7"/>
        <v>-</v>
      </c>
      <c r="Y14" s="120" t="str">
        <f t="shared" si="7"/>
        <v>-</v>
      </c>
      <c r="Z14" s="120" t="str">
        <f t="shared" si="7"/>
        <v>-</v>
      </c>
      <c r="AA14" s="264" t="str">
        <f t="shared" si="7"/>
        <v>-</v>
      </c>
      <c r="AD14" s="330" t="s">
        <v>118</v>
      </c>
    </row>
    <row r="15" spans="1:31" ht="26.25" outlineLevel="1" x14ac:dyDescent="0.25">
      <c r="A15" s="236"/>
      <c r="B15" s="124" t="s">
        <v>27</v>
      </c>
      <c r="C15" s="125">
        <v>1</v>
      </c>
      <c r="D15" s="98">
        <v>200</v>
      </c>
      <c r="E15" s="126"/>
      <c r="F15" s="127">
        <v>3600</v>
      </c>
      <c r="G15" s="99"/>
      <c r="H15" s="128"/>
      <c r="I15" s="247">
        <v>14</v>
      </c>
      <c r="J15" s="249">
        <v>2</v>
      </c>
      <c r="K15" s="131">
        <v>28</v>
      </c>
      <c r="L15" s="132">
        <f t="shared" si="5"/>
        <v>3800</v>
      </c>
      <c r="M15" s="132" t="str">
        <f t="shared" si="2"/>
        <v>-</v>
      </c>
      <c r="N15" s="132" t="str">
        <f t="shared" si="3"/>
        <v>-</v>
      </c>
      <c r="O15" s="133">
        <f t="shared" si="6"/>
        <v>212.8</v>
      </c>
      <c r="P15" s="237">
        <f t="shared" si="8"/>
        <v>257.2</v>
      </c>
      <c r="Q15" s="265" t="str">
        <f t="shared" si="9"/>
        <v>-</v>
      </c>
      <c r="R15" s="134" t="str">
        <f t="shared" si="7"/>
        <v>-</v>
      </c>
      <c r="S15" s="134" t="str">
        <f t="shared" si="7"/>
        <v>-</v>
      </c>
      <c r="T15" s="134" t="str">
        <f t="shared" si="7"/>
        <v>-</v>
      </c>
      <c r="U15" s="134">
        <f t="shared" si="7"/>
        <v>257.2</v>
      </c>
      <c r="V15" s="134" t="str">
        <f t="shared" si="7"/>
        <v>-</v>
      </c>
      <c r="W15" s="134" t="str">
        <f t="shared" si="7"/>
        <v>-</v>
      </c>
      <c r="X15" s="134" t="str">
        <f t="shared" si="7"/>
        <v>-</v>
      </c>
      <c r="Y15" s="134" t="str">
        <f t="shared" si="7"/>
        <v>-</v>
      </c>
      <c r="Z15" s="134" t="str">
        <f t="shared" si="7"/>
        <v>-</v>
      </c>
      <c r="AA15" s="266" t="str">
        <f t="shared" si="7"/>
        <v>-</v>
      </c>
      <c r="AD15" s="330" t="s">
        <v>118</v>
      </c>
    </row>
    <row r="16" spans="1:31" ht="26.25" outlineLevel="1" x14ac:dyDescent="0.25">
      <c r="A16" s="238"/>
      <c r="B16" s="135" t="s">
        <v>20</v>
      </c>
      <c r="C16" s="136" t="s">
        <v>21</v>
      </c>
      <c r="D16" s="137"/>
      <c r="E16" s="138">
        <v>150</v>
      </c>
      <c r="F16" s="139">
        <v>150</v>
      </c>
      <c r="G16" s="140">
        <v>50</v>
      </c>
      <c r="H16" s="141"/>
      <c r="I16" s="142">
        <v>6</v>
      </c>
      <c r="J16" s="250">
        <v>12</v>
      </c>
      <c r="K16" s="135">
        <v>28</v>
      </c>
      <c r="L16" s="144">
        <f t="shared" si="5"/>
        <v>700</v>
      </c>
      <c r="M16" s="144" t="str">
        <f t="shared" si="2"/>
        <v>-</v>
      </c>
      <c r="N16" s="144" t="str">
        <f t="shared" si="3"/>
        <v>-</v>
      </c>
      <c r="O16" s="145">
        <f t="shared" si="6"/>
        <v>235.2</v>
      </c>
      <c r="P16" s="239">
        <f t="shared" si="8"/>
        <v>52.2</v>
      </c>
      <c r="Q16" s="267">
        <f t="shared" si="9"/>
        <v>52.2</v>
      </c>
      <c r="R16" s="146" t="str">
        <f t="shared" si="7"/>
        <v>-</v>
      </c>
      <c r="S16" s="146" t="str">
        <f t="shared" si="7"/>
        <v>-</v>
      </c>
      <c r="T16" s="146" t="str">
        <f t="shared" si="7"/>
        <v>-</v>
      </c>
      <c r="U16" s="146" t="str">
        <f t="shared" si="7"/>
        <v>-</v>
      </c>
      <c r="V16" s="146" t="str">
        <f t="shared" si="7"/>
        <v>-</v>
      </c>
      <c r="W16" s="146" t="str">
        <f t="shared" si="7"/>
        <v>-</v>
      </c>
      <c r="X16" s="146" t="str">
        <f t="shared" si="7"/>
        <v>-</v>
      </c>
      <c r="Y16" s="146" t="str">
        <f t="shared" si="7"/>
        <v>-</v>
      </c>
      <c r="Z16" s="146" t="str">
        <f t="shared" si="7"/>
        <v>-</v>
      </c>
      <c r="AA16" s="268" t="str">
        <f t="shared" si="7"/>
        <v>-</v>
      </c>
      <c r="AD16" s="330" t="s">
        <v>118</v>
      </c>
    </row>
    <row r="17" spans="1:30" ht="26.25" outlineLevel="1" x14ac:dyDescent="0.25">
      <c r="A17" s="236"/>
      <c r="B17" s="124" t="s">
        <v>98</v>
      </c>
      <c r="C17" s="125">
        <v>1</v>
      </c>
      <c r="D17" s="98">
        <v>200</v>
      </c>
      <c r="E17" s="126"/>
      <c r="F17" s="127">
        <v>1200</v>
      </c>
      <c r="G17" s="99"/>
      <c r="H17" s="128"/>
      <c r="I17" s="129">
        <v>12</v>
      </c>
      <c r="J17" s="130">
        <v>4</v>
      </c>
      <c r="K17" s="131">
        <v>22</v>
      </c>
      <c r="L17" s="132">
        <f t="shared" si="5"/>
        <v>1400</v>
      </c>
      <c r="M17" s="132" t="str">
        <f t="shared" ref="M17:M18" si="11">IF(L17&lt;=Lcay,"-",IF(L17&lt;(2*Lcay-I17*Nc),1,INT(L17/(Lcay-I17*Nc))))</f>
        <v>-</v>
      </c>
      <c r="N17" s="132" t="str">
        <f t="shared" si="3"/>
        <v>-</v>
      </c>
      <c r="O17" s="133">
        <f t="shared" si="6"/>
        <v>123.2</v>
      </c>
      <c r="P17" s="237">
        <f t="shared" si="8"/>
        <v>109.4</v>
      </c>
      <c r="Q17" s="265" t="str">
        <f t="shared" si="9"/>
        <v>-</v>
      </c>
      <c r="R17" s="134" t="str">
        <f t="shared" si="7"/>
        <v>-</v>
      </c>
      <c r="S17" s="134" t="str">
        <f t="shared" si="7"/>
        <v>-</v>
      </c>
      <c r="T17" s="134">
        <f t="shared" si="7"/>
        <v>109.4</v>
      </c>
      <c r="U17" s="134" t="str">
        <f t="shared" si="7"/>
        <v>-</v>
      </c>
      <c r="V17" s="134" t="str">
        <f t="shared" si="7"/>
        <v>-</v>
      </c>
      <c r="W17" s="134" t="str">
        <f t="shared" si="7"/>
        <v>-</v>
      </c>
      <c r="X17" s="134" t="str">
        <f t="shared" si="7"/>
        <v>-</v>
      </c>
      <c r="Y17" s="134" t="str">
        <f t="shared" si="7"/>
        <v>-</v>
      </c>
      <c r="Z17" s="134" t="str">
        <f t="shared" si="7"/>
        <v>-</v>
      </c>
      <c r="AA17" s="266" t="str">
        <f t="shared" si="7"/>
        <v>-</v>
      </c>
      <c r="AD17" s="330" t="s">
        <v>118</v>
      </c>
    </row>
    <row r="18" spans="1:30" ht="26.25" outlineLevel="1" x14ac:dyDescent="0.25">
      <c r="A18" s="238"/>
      <c r="B18" s="135" t="s">
        <v>20</v>
      </c>
      <c r="C18" s="136" t="s">
        <v>21</v>
      </c>
      <c r="D18" s="137"/>
      <c r="E18" s="138">
        <v>150</v>
      </c>
      <c r="F18" s="139">
        <v>150</v>
      </c>
      <c r="G18" s="140">
        <v>50</v>
      </c>
      <c r="H18" s="141"/>
      <c r="I18" s="142">
        <v>6</v>
      </c>
      <c r="J18" s="143">
        <v>7</v>
      </c>
      <c r="K18" s="135">
        <v>22</v>
      </c>
      <c r="L18" s="144">
        <f t="shared" si="5"/>
        <v>700</v>
      </c>
      <c r="M18" s="144" t="str">
        <f t="shared" si="11"/>
        <v>-</v>
      </c>
      <c r="N18" s="144" t="str">
        <f t="shared" si="3"/>
        <v>-</v>
      </c>
      <c r="O18" s="145">
        <f t="shared" si="6"/>
        <v>107.8</v>
      </c>
      <c r="P18" s="239">
        <f t="shared" si="8"/>
        <v>23.9</v>
      </c>
      <c r="Q18" s="267">
        <f t="shared" si="9"/>
        <v>23.9</v>
      </c>
      <c r="R18" s="146" t="str">
        <f t="shared" si="7"/>
        <v>-</v>
      </c>
      <c r="S18" s="146" t="str">
        <f t="shared" si="7"/>
        <v>-</v>
      </c>
      <c r="T18" s="146" t="str">
        <f t="shared" si="7"/>
        <v>-</v>
      </c>
      <c r="U18" s="146" t="str">
        <f t="shared" si="7"/>
        <v>-</v>
      </c>
      <c r="V18" s="146" t="str">
        <f t="shared" si="7"/>
        <v>-</v>
      </c>
      <c r="W18" s="146" t="str">
        <f t="shared" si="7"/>
        <v>-</v>
      </c>
      <c r="X18" s="146" t="str">
        <f t="shared" si="7"/>
        <v>-</v>
      </c>
      <c r="Y18" s="146" t="str">
        <f t="shared" si="7"/>
        <v>-</v>
      </c>
      <c r="Z18" s="146" t="str">
        <f t="shared" si="7"/>
        <v>-</v>
      </c>
      <c r="AA18" s="268" t="str">
        <f t="shared" si="7"/>
        <v>-</v>
      </c>
      <c r="AD18" s="330" t="s">
        <v>118</v>
      </c>
    </row>
    <row r="19" spans="1:30" s="159" customFormat="1" ht="25.5" outlineLevel="1" x14ac:dyDescent="0.2">
      <c r="A19" s="240"/>
      <c r="B19" s="147"/>
      <c r="C19" s="148"/>
      <c r="D19" s="149"/>
      <c r="E19" s="150"/>
      <c r="F19" s="151"/>
      <c r="G19" s="152"/>
      <c r="H19" s="153"/>
      <c r="I19" s="154"/>
      <c r="J19" s="155"/>
      <c r="K19" s="147"/>
      <c r="L19" s="156">
        <f t="shared" si="5"/>
        <v>0</v>
      </c>
      <c r="M19" s="156" t="str">
        <f t="shared" si="2"/>
        <v>-</v>
      </c>
      <c r="N19" s="156" t="str">
        <f t="shared" si="3"/>
        <v>-</v>
      </c>
      <c r="O19" s="157" t="str">
        <f>IF(ISBLANK($I19),"",ROUND(PRODUCT($J19:$L19,10^-3)+PRODUCT(IF($L19&lt;Lcay,0,$L19),$J19:$K19,$M19:$N19,10^-3),1))</f>
        <v/>
      </c>
      <c r="P19" s="241" t="str">
        <f>IF(ISBLANK($I19),"",ROUND(PRODUCT((I19/2)^2,PI(),10^-6,7850,$O19),1))</f>
        <v/>
      </c>
      <c r="Q19" s="269" t="str">
        <f t="shared" ref="Q19:AA19" si="12">IF($I19=Q$4,ROUND(PRODUCT(($I19/2)^2,PI(),10^-6,7850,$O19),1),"-")</f>
        <v>-</v>
      </c>
      <c r="R19" s="158" t="str">
        <f t="shared" si="12"/>
        <v>-</v>
      </c>
      <c r="S19" s="158" t="str">
        <f t="shared" si="12"/>
        <v>-</v>
      </c>
      <c r="T19" s="158" t="str">
        <f t="shared" si="12"/>
        <v>-</v>
      </c>
      <c r="U19" s="158" t="str">
        <f t="shared" si="12"/>
        <v>-</v>
      </c>
      <c r="V19" s="158" t="str">
        <f t="shared" si="12"/>
        <v>-</v>
      </c>
      <c r="W19" s="158" t="str">
        <f t="shared" si="12"/>
        <v>-</v>
      </c>
      <c r="X19" s="158" t="str">
        <f t="shared" si="12"/>
        <v>-</v>
      </c>
      <c r="Y19" s="158" t="str">
        <f t="shared" si="12"/>
        <v>-</v>
      </c>
      <c r="Z19" s="158" t="str">
        <f t="shared" si="12"/>
        <v>-</v>
      </c>
      <c r="AA19" s="270" t="str">
        <f t="shared" si="12"/>
        <v>-</v>
      </c>
      <c r="AD19" s="330" t="s">
        <v>118</v>
      </c>
    </row>
    <row r="20" spans="1:30" ht="26.25" x14ac:dyDescent="0.25">
      <c r="A20" s="230">
        <v>2</v>
      </c>
      <c r="B20" s="85" t="s">
        <v>28</v>
      </c>
      <c r="C20" s="86"/>
      <c r="D20" s="87"/>
      <c r="E20" s="88"/>
      <c r="F20" s="89"/>
      <c r="G20" s="88"/>
      <c r="H20" s="90"/>
      <c r="I20" s="91"/>
      <c r="J20" s="92"/>
      <c r="K20" s="93"/>
      <c r="L20" s="92"/>
      <c r="M20" s="92" t="str">
        <f t="shared" si="2"/>
        <v>-</v>
      </c>
      <c r="N20" s="92" t="str">
        <f t="shared" si="3"/>
        <v>-</v>
      </c>
      <c r="O20" s="94" t="str">
        <f>IF(ISBLANK($I20),"",ROUND(PRODUCT($J20:$L20,10^-3)+PRODUCT(IF($L20&lt;Lcay,0,$L20),$J20:$K20,$M20:$N20,10^-3),1))</f>
        <v/>
      </c>
      <c r="P20" s="231">
        <f>SUBTOTAL(9,P21:P36)</f>
        <v>1036.2</v>
      </c>
      <c r="Q20" s="260">
        <f>SUBTOTAL(9,Q21:Q36)</f>
        <v>165.59999999999997</v>
      </c>
      <c r="R20" s="95">
        <f t="shared" ref="R20:AA20" si="13">SUBTOTAL(9,R21:R36)</f>
        <v>0</v>
      </c>
      <c r="S20" s="95">
        <f t="shared" si="13"/>
        <v>49.3</v>
      </c>
      <c r="T20" s="95">
        <f t="shared" si="13"/>
        <v>0</v>
      </c>
      <c r="U20" s="95">
        <f t="shared" si="13"/>
        <v>266.2</v>
      </c>
      <c r="V20" s="95">
        <f t="shared" si="13"/>
        <v>555.09999999999991</v>
      </c>
      <c r="W20" s="95">
        <f t="shared" si="13"/>
        <v>0</v>
      </c>
      <c r="X20" s="95">
        <f t="shared" si="13"/>
        <v>0</v>
      </c>
      <c r="Y20" s="95">
        <f t="shared" si="13"/>
        <v>0</v>
      </c>
      <c r="Z20" s="95">
        <f t="shared" si="13"/>
        <v>0</v>
      </c>
      <c r="AA20" s="231">
        <f t="shared" si="13"/>
        <v>0</v>
      </c>
      <c r="AD20" s="330" t="s">
        <v>118</v>
      </c>
    </row>
    <row r="21" spans="1:30" ht="26.25" outlineLevel="1" x14ac:dyDescent="0.25">
      <c r="A21" s="236"/>
      <c r="B21" s="124" t="s">
        <v>38</v>
      </c>
      <c r="C21" s="125">
        <v>1</v>
      </c>
      <c r="D21" s="98">
        <v>250</v>
      </c>
      <c r="E21" s="99"/>
      <c r="F21" s="127">
        <f>4000*8+2000 -1900</f>
        <v>32100</v>
      </c>
      <c r="G21" s="99"/>
      <c r="H21" s="128">
        <v>250</v>
      </c>
      <c r="I21" s="129">
        <v>16</v>
      </c>
      <c r="J21" s="130">
        <v>2</v>
      </c>
      <c r="K21" s="131">
        <v>2</v>
      </c>
      <c r="L21" s="160">
        <f t="shared" si="5"/>
        <v>32600</v>
      </c>
      <c r="M21" s="132">
        <f t="shared" si="2"/>
        <v>2</v>
      </c>
      <c r="N21" s="132">
        <f t="shared" si="3"/>
        <v>480</v>
      </c>
      <c r="O21" s="133">
        <f t="shared" ref="O21:O35" si="14">IF(ISBLANK($I21),"",ROUND(PRODUCT($J21:$L21,10^-3)+PRODUCT(IF($L21&lt;Lcay,0,1),$J21:$K21,$M21:$N21,10^-3),1))</f>
        <v>134.19999999999999</v>
      </c>
      <c r="P21" s="237">
        <f t="shared" ref="P21:P35" si="15">IF(ISBLANK($I21),"",ROUND(PRODUCT(($I21/2)^2,PI(),10^-6,7850,$O21),1))</f>
        <v>211.8</v>
      </c>
      <c r="Q21" s="265" t="str">
        <f t="shared" ref="Q21:AA35" si="16">IF($I21=Q$4,$P21,"-")</f>
        <v>-</v>
      </c>
      <c r="R21" s="134" t="str">
        <f t="shared" si="16"/>
        <v>-</v>
      </c>
      <c r="S21" s="134" t="str">
        <f t="shared" si="16"/>
        <v>-</v>
      </c>
      <c r="T21" s="134" t="str">
        <f t="shared" si="16"/>
        <v>-</v>
      </c>
      <c r="U21" s="134" t="str">
        <f t="shared" si="16"/>
        <v>-</v>
      </c>
      <c r="V21" s="134">
        <f t="shared" si="16"/>
        <v>211.8</v>
      </c>
      <c r="W21" s="134" t="str">
        <f t="shared" si="16"/>
        <v>-</v>
      </c>
      <c r="X21" s="134" t="str">
        <f t="shared" si="16"/>
        <v>-</v>
      </c>
      <c r="Y21" s="134" t="str">
        <f t="shared" si="16"/>
        <v>-</v>
      </c>
      <c r="Z21" s="134" t="str">
        <f t="shared" si="16"/>
        <v>-</v>
      </c>
      <c r="AA21" s="266" t="str">
        <f t="shared" si="16"/>
        <v>-</v>
      </c>
      <c r="AC21" s="109"/>
      <c r="AD21" s="330" t="s">
        <v>118</v>
      </c>
    </row>
    <row r="22" spans="1:30" ht="26.25" outlineLevel="1" x14ac:dyDescent="0.25">
      <c r="A22" s="234"/>
      <c r="B22" s="110"/>
      <c r="C22" s="121">
        <v>2</v>
      </c>
      <c r="D22" s="111">
        <v>200</v>
      </c>
      <c r="E22" s="161"/>
      <c r="F22" s="113">
        <f>F21</f>
        <v>32100</v>
      </c>
      <c r="G22" s="162"/>
      <c r="H22" s="115">
        <v>200</v>
      </c>
      <c r="I22" s="116">
        <v>16</v>
      </c>
      <c r="J22" s="117">
        <v>2</v>
      </c>
      <c r="K22" s="110">
        <v>2</v>
      </c>
      <c r="L22" s="118">
        <f t="shared" si="5"/>
        <v>32500</v>
      </c>
      <c r="M22" s="118">
        <f t="shared" si="2"/>
        <v>2</v>
      </c>
      <c r="N22" s="118">
        <f t="shared" si="3"/>
        <v>480</v>
      </c>
      <c r="O22" s="119">
        <f t="shared" si="14"/>
        <v>133.80000000000001</v>
      </c>
      <c r="P22" s="235">
        <f t="shared" si="15"/>
        <v>211.2</v>
      </c>
      <c r="Q22" s="263" t="str">
        <f t="shared" si="16"/>
        <v>-</v>
      </c>
      <c r="R22" s="120" t="str">
        <f t="shared" si="16"/>
        <v>-</v>
      </c>
      <c r="S22" s="120" t="str">
        <f t="shared" si="16"/>
        <v>-</v>
      </c>
      <c r="T22" s="120" t="str">
        <f t="shared" si="16"/>
        <v>-</v>
      </c>
      <c r="U22" s="120" t="str">
        <f t="shared" si="16"/>
        <v>-</v>
      </c>
      <c r="V22" s="120">
        <f t="shared" si="16"/>
        <v>211.2</v>
      </c>
      <c r="W22" s="120" t="str">
        <f t="shared" si="16"/>
        <v>-</v>
      </c>
      <c r="X22" s="120" t="str">
        <f t="shared" si="16"/>
        <v>-</v>
      </c>
      <c r="Y22" s="120" t="str">
        <f t="shared" si="16"/>
        <v>-</v>
      </c>
      <c r="Z22" s="120" t="str">
        <f t="shared" si="16"/>
        <v>-</v>
      </c>
      <c r="AA22" s="264" t="str">
        <f t="shared" si="16"/>
        <v>-</v>
      </c>
      <c r="AD22" s="330" t="s">
        <v>118</v>
      </c>
    </row>
    <row r="23" spans="1:30" ht="26.25" outlineLevel="1" x14ac:dyDescent="0.25">
      <c r="A23" s="234"/>
      <c r="B23" s="110" t="s">
        <v>29</v>
      </c>
      <c r="C23" s="121">
        <v>3</v>
      </c>
      <c r="D23" s="111"/>
      <c r="E23" s="161">
        <v>100</v>
      </c>
      <c r="F23" s="113">
        <v>200</v>
      </c>
      <c r="G23" s="162"/>
      <c r="H23" s="115"/>
      <c r="I23" s="116">
        <v>10</v>
      </c>
      <c r="J23" s="117">
        <f>F21/1000*2</f>
        <v>64.2</v>
      </c>
      <c r="K23" s="110">
        <v>2</v>
      </c>
      <c r="L23" s="118">
        <f t="shared" si="5"/>
        <v>300</v>
      </c>
      <c r="M23" s="118" t="str">
        <f>IF(L23&lt;=Lcay,"-",IF(L23&lt;(2*Lcay-I23*Nc),1,INT(L23/(Lcay-I23*Nc))))</f>
        <v>-</v>
      </c>
      <c r="N23" s="118" t="str">
        <f t="shared" si="3"/>
        <v>-</v>
      </c>
      <c r="O23" s="119">
        <f t="shared" si="14"/>
        <v>38.5</v>
      </c>
      <c r="P23" s="235">
        <f t="shared" si="15"/>
        <v>23.7</v>
      </c>
      <c r="Q23" s="263" t="str">
        <f t="shared" si="16"/>
        <v>-</v>
      </c>
      <c r="R23" s="120" t="str">
        <f t="shared" si="16"/>
        <v>-</v>
      </c>
      <c r="S23" s="120">
        <f t="shared" si="16"/>
        <v>23.7</v>
      </c>
      <c r="T23" s="120" t="str">
        <f t="shared" si="16"/>
        <v>-</v>
      </c>
      <c r="U23" s="120" t="str">
        <f t="shared" si="16"/>
        <v>-</v>
      </c>
      <c r="V23" s="120" t="str">
        <f t="shared" si="16"/>
        <v>-</v>
      </c>
      <c r="W23" s="120" t="str">
        <f t="shared" si="16"/>
        <v>-</v>
      </c>
      <c r="X23" s="120" t="str">
        <f t="shared" si="16"/>
        <v>-</v>
      </c>
      <c r="Y23" s="120" t="str">
        <f t="shared" si="16"/>
        <v>-</v>
      </c>
      <c r="Z23" s="120" t="str">
        <f t="shared" si="16"/>
        <v>-</v>
      </c>
      <c r="AA23" s="264" t="str">
        <f t="shared" si="16"/>
        <v>-</v>
      </c>
      <c r="AD23" s="330" t="s">
        <v>118</v>
      </c>
    </row>
    <row r="24" spans="1:30" ht="26.25" outlineLevel="1" x14ac:dyDescent="0.25">
      <c r="A24" s="238"/>
      <c r="B24" s="135" t="s">
        <v>20</v>
      </c>
      <c r="C24" s="136" t="s">
        <v>21</v>
      </c>
      <c r="D24" s="137"/>
      <c r="E24" s="138">
        <v>150</v>
      </c>
      <c r="F24" s="163">
        <v>250</v>
      </c>
      <c r="G24" s="140">
        <v>50</v>
      </c>
      <c r="H24" s="141"/>
      <c r="I24" s="142">
        <v>6</v>
      </c>
      <c r="J24" s="143">
        <f>F21/150</f>
        <v>214</v>
      </c>
      <c r="K24" s="135">
        <v>2</v>
      </c>
      <c r="L24" s="144">
        <f t="shared" si="5"/>
        <v>900</v>
      </c>
      <c r="M24" s="144" t="str">
        <f t="shared" si="2"/>
        <v>-</v>
      </c>
      <c r="N24" s="144" t="str">
        <f t="shared" si="3"/>
        <v>-</v>
      </c>
      <c r="O24" s="145">
        <f t="shared" si="14"/>
        <v>385.2</v>
      </c>
      <c r="P24" s="239">
        <f t="shared" si="15"/>
        <v>85.5</v>
      </c>
      <c r="Q24" s="267">
        <f t="shared" si="16"/>
        <v>85.5</v>
      </c>
      <c r="R24" s="146" t="str">
        <f t="shared" si="16"/>
        <v>-</v>
      </c>
      <c r="S24" s="146" t="str">
        <f t="shared" si="16"/>
        <v>-</v>
      </c>
      <c r="T24" s="146" t="str">
        <f t="shared" si="16"/>
        <v>-</v>
      </c>
      <c r="U24" s="146" t="str">
        <f t="shared" si="16"/>
        <v>-</v>
      </c>
      <c r="V24" s="146" t="str">
        <f t="shared" si="16"/>
        <v>-</v>
      </c>
      <c r="W24" s="146" t="str">
        <f t="shared" si="16"/>
        <v>-</v>
      </c>
      <c r="X24" s="146" t="str">
        <f t="shared" si="16"/>
        <v>-</v>
      </c>
      <c r="Y24" s="146" t="str">
        <f t="shared" si="16"/>
        <v>-</v>
      </c>
      <c r="Z24" s="146" t="str">
        <f t="shared" si="16"/>
        <v>-</v>
      </c>
      <c r="AA24" s="268" t="str">
        <f t="shared" si="16"/>
        <v>-</v>
      </c>
      <c r="AD24" s="330" t="s">
        <v>118</v>
      </c>
    </row>
    <row r="25" spans="1:30" ht="26.25" outlineLevel="1" x14ac:dyDescent="0.25">
      <c r="A25" s="236"/>
      <c r="B25" s="124" t="s">
        <v>39</v>
      </c>
      <c r="C25" s="125">
        <v>1</v>
      </c>
      <c r="D25" s="98">
        <v>250</v>
      </c>
      <c r="E25" s="99"/>
      <c r="F25" s="127">
        <f>2100+4000*3+2100</f>
        <v>16200</v>
      </c>
      <c r="G25" s="99"/>
      <c r="H25" s="128">
        <v>250</v>
      </c>
      <c r="I25" s="247">
        <v>16</v>
      </c>
      <c r="J25" s="130">
        <v>2</v>
      </c>
      <c r="K25" s="131">
        <v>1</v>
      </c>
      <c r="L25" s="160">
        <f t="shared" si="5"/>
        <v>16700</v>
      </c>
      <c r="M25" s="132">
        <f t="shared" ref="M25:M32" si="17">IF(L25&lt;=Lcay,"-",IF(L25&lt;(2*Lcay-I25*Nc),1,INT(L25/(Lcay-I25*Nc))))</f>
        <v>1</v>
      </c>
      <c r="N25" s="132">
        <f t="shared" si="3"/>
        <v>480</v>
      </c>
      <c r="O25" s="133">
        <f t="shared" si="14"/>
        <v>34.4</v>
      </c>
      <c r="P25" s="237">
        <f t="shared" si="15"/>
        <v>54.3</v>
      </c>
      <c r="Q25" s="265" t="str">
        <f t="shared" si="16"/>
        <v>-</v>
      </c>
      <c r="R25" s="134" t="str">
        <f t="shared" si="16"/>
        <v>-</v>
      </c>
      <c r="S25" s="134" t="str">
        <f t="shared" si="16"/>
        <v>-</v>
      </c>
      <c r="T25" s="134" t="str">
        <f t="shared" si="16"/>
        <v>-</v>
      </c>
      <c r="U25" s="134" t="str">
        <f t="shared" si="16"/>
        <v>-</v>
      </c>
      <c r="V25" s="134">
        <f t="shared" si="16"/>
        <v>54.3</v>
      </c>
      <c r="W25" s="134" t="str">
        <f t="shared" si="16"/>
        <v>-</v>
      </c>
      <c r="X25" s="134" t="str">
        <f t="shared" si="16"/>
        <v>-</v>
      </c>
      <c r="Y25" s="134" t="str">
        <f t="shared" si="16"/>
        <v>-</v>
      </c>
      <c r="Z25" s="134" t="str">
        <f t="shared" si="16"/>
        <v>-</v>
      </c>
      <c r="AA25" s="266" t="str">
        <f t="shared" si="16"/>
        <v>-</v>
      </c>
      <c r="AD25" s="330" t="s">
        <v>118</v>
      </c>
    </row>
    <row r="26" spans="1:30" ht="26.25" outlineLevel="1" x14ac:dyDescent="0.25">
      <c r="A26" s="234"/>
      <c r="B26" s="110"/>
      <c r="C26" s="121">
        <v>2</v>
      </c>
      <c r="D26" s="111">
        <v>200</v>
      </c>
      <c r="E26" s="161"/>
      <c r="F26" s="113">
        <f>F25</f>
        <v>16200</v>
      </c>
      <c r="G26" s="162"/>
      <c r="H26" s="115">
        <v>200</v>
      </c>
      <c r="I26" s="248">
        <v>16</v>
      </c>
      <c r="J26" s="117">
        <v>2</v>
      </c>
      <c r="K26" s="110">
        <v>1</v>
      </c>
      <c r="L26" s="118">
        <f t="shared" si="5"/>
        <v>16600</v>
      </c>
      <c r="M26" s="118">
        <f t="shared" si="17"/>
        <v>1</v>
      </c>
      <c r="N26" s="118">
        <f t="shared" si="3"/>
        <v>480</v>
      </c>
      <c r="O26" s="119">
        <f t="shared" si="14"/>
        <v>34.200000000000003</v>
      </c>
      <c r="P26" s="235">
        <f t="shared" si="15"/>
        <v>54</v>
      </c>
      <c r="Q26" s="263" t="str">
        <f t="shared" si="16"/>
        <v>-</v>
      </c>
      <c r="R26" s="120" t="str">
        <f t="shared" si="16"/>
        <v>-</v>
      </c>
      <c r="S26" s="120" t="str">
        <f t="shared" si="16"/>
        <v>-</v>
      </c>
      <c r="T26" s="120" t="str">
        <f t="shared" si="16"/>
        <v>-</v>
      </c>
      <c r="U26" s="120" t="str">
        <f t="shared" si="16"/>
        <v>-</v>
      </c>
      <c r="V26" s="120">
        <f t="shared" si="16"/>
        <v>54</v>
      </c>
      <c r="W26" s="120" t="str">
        <f t="shared" si="16"/>
        <v>-</v>
      </c>
      <c r="X26" s="120" t="str">
        <f t="shared" si="16"/>
        <v>-</v>
      </c>
      <c r="Y26" s="120" t="str">
        <f t="shared" si="16"/>
        <v>-</v>
      </c>
      <c r="Z26" s="120" t="str">
        <f t="shared" si="16"/>
        <v>-</v>
      </c>
      <c r="AA26" s="264" t="str">
        <f t="shared" si="16"/>
        <v>-</v>
      </c>
      <c r="AD26" s="330" t="s">
        <v>118</v>
      </c>
    </row>
    <row r="27" spans="1:30" ht="26.25" outlineLevel="1" x14ac:dyDescent="0.25">
      <c r="A27" s="234"/>
      <c r="B27" s="110" t="s">
        <v>29</v>
      </c>
      <c r="C27" s="121">
        <v>3</v>
      </c>
      <c r="D27" s="111"/>
      <c r="E27" s="161">
        <v>100</v>
      </c>
      <c r="F27" s="113">
        <v>200</v>
      </c>
      <c r="G27" s="162"/>
      <c r="H27" s="115"/>
      <c r="I27" s="116">
        <v>10</v>
      </c>
      <c r="J27" s="117">
        <f>F25/1000*2</f>
        <v>32.4</v>
      </c>
      <c r="K27" s="110">
        <v>1</v>
      </c>
      <c r="L27" s="118">
        <f t="shared" si="5"/>
        <v>300</v>
      </c>
      <c r="M27" s="118" t="str">
        <f>IF(L27&lt;=Lcay,"-",IF(L27&lt;(2*Lcay-I27*Nc),1,INT(L27/(Lcay-I27*Nc))))</f>
        <v>-</v>
      </c>
      <c r="N27" s="118" t="str">
        <f t="shared" si="3"/>
        <v>-</v>
      </c>
      <c r="O27" s="119">
        <f t="shared" si="14"/>
        <v>9.6999999999999993</v>
      </c>
      <c r="P27" s="235">
        <f t="shared" si="15"/>
        <v>6</v>
      </c>
      <c r="Q27" s="263" t="str">
        <f t="shared" si="16"/>
        <v>-</v>
      </c>
      <c r="R27" s="120" t="str">
        <f t="shared" si="16"/>
        <v>-</v>
      </c>
      <c r="S27" s="120">
        <f t="shared" si="16"/>
        <v>6</v>
      </c>
      <c r="T27" s="120" t="str">
        <f t="shared" si="16"/>
        <v>-</v>
      </c>
      <c r="U27" s="120" t="str">
        <f t="shared" si="16"/>
        <v>-</v>
      </c>
      <c r="V27" s="120" t="str">
        <f t="shared" si="16"/>
        <v>-</v>
      </c>
      <c r="W27" s="120" t="str">
        <f t="shared" si="16"/>
        <v>-</v>
      </c>
      <c r="X27" s="120" t="str">
        <f t="shared" si="16"/>
        <v>-</v>
      </c>
      <c r="Y27" s="120" t="str">
        <f t="shared" si="16"/>
        <v>-</v>
      </c>
      <c r="Z27" s="120" t="str">
        <f t="shared" si="16"/>
        <v>-</v>
      </c>
      <c r="AA27" s="264" t="str">
        <f t="shared" si="16"/>
        <v>-</v>
      </c>
      <c r="AD27" s="330" t="s">
        <v>118</v>
      </c>
    </row>
    <row r="28" spans="1:30" ht="26.25" outlineLevel="1" x14ac:dyDescent="0.25">
      <c r="A28" s="238"/>
      <c r="B28" s="135" t="s">
        <v>20</v>
      </c>
      <c r="C28" s="136" t="s">
        <v>21</v>
      </c>
      <c r="D28" s="137"/>
      <c r="E28" s="138">
        <v>150</v>
      </c>
      <c r="F28" s="139">
        <v>250</v>
      </c>
      <c r="G28" s="140">
        <v>50</v>
      </c>
      <c r="H28" s="141"/>
      <c r="I28" s="142">
        <v>6</v>
      </c>
      <c r="J28" s="143">
        <f>F25/150</f>
        <v>108</v>
      </c>
      <c r="K28" s="135">
        <v>1</v>
      </c>
      <c r="L28" s="144">
        <f t="shared" si="5"/>
        <v>900</v>
      </c>
      <c r="M28" s="144" t="str">
        <f t="shared" si="17"/>
        <v>-</v>
      </c>
      <c r="N28" s="144" t="str">
        <f t="shared" si="3"/>
        <v>-</v>
      </c>
      <c r="O28" s="145">
        <f t="shared" si="14"/>
        <v>97.2</v>
      </c>
      <c r="P28" s="239">
        <f t="shared" si="15"/>
        <v>21.6</v>
      </c>
      <c r="Q28" s="267">
        <f t="shared" si="16"/>
        <v>21.6</v>
      </c>
      <c r="R28" s="146" t="str">
        <f t="shared" si="16"/>
        <v>-</v>
      </c>
      <c r="S28" s="146" t="str">
        <f t="shared" si="16"/>
        <v>-</v>
      </c>
      <c r="T28" s="146" t="str">
        <f t="shared" si="16"/>
        <v>-</v>
      </c>
      <c r="U28" s="146" t="str">
        <f t="shared" si="16"/>
        <v>-</v>
      </c>
      <c r="V28" s="146" t="str">
        <f t="shared" si="16"/>
        <v>-</v>
      </c>
      <c r="W28" s="146" t="str">
        <f t="shared" si="16"/>
        <v>-</v>
      </c>
      <c r="X28" s="146" t="str">
        <f t="shared" si="16"/>
        <v>-</v>
      </c>
      <c r="Y28" s="146" t="str">
        <f t="shared" si="16"/>
        <v>-</v>
      </c>
      <c r="Z28" s="146" t="str">
        <f t="shared" si="16"/>
        <v>-</v>
      </c>
      <c r="AA28" s="268" t="str">
        <f t="shared" si="16"/>
        <v>-</v>
      </c>
      <c r="AD28" s="330" t="s">
        <v>118</v>
      </c>
    </row>
    <row r="29" spans="1:30" ht="26.25" outlineLevel="1" x14ac:dyDescent="0.25">
      <c r="A29" s="236"/>
      <c r="B29" s="124" t="s">
        <v>40</v>
      </c>
      <c r="C29" s="125">
        <v>1</v>
      </c>
      <c r="D29" s="98">
        <v>250</v>
      </c>
      <c r="E29" s="99"/>
      <c r="F29" s="127">
        <f>(4000*8+3500+1500+3500+4000*3+3500)*2-1900-2100-2100</f>
        <v>105900</v>
      </c>
      <c r="G29" s="99"/>
      <c r="H29" s="128">
        <v>250</v>
      </c>
      <c r="I29" s="129">
        <v>14</v>
      </c>
      <c r="J29" s="130">
        <v>1</v>
      </c>
      <c r="K29" s="131">
        <v>1</v>
      </c>
      <c r="L29" s="160">
        <f t="shared" si="5"/>
        <v>106400</v>
      </c>
      <c r="M29" s="132">
        <f t="shared" si="17"/>
        <v>9</v>
      </c>
      <c r="N29" s="132">
        <f t="shared" si="3"/>
        <v>420</v>
      </c>
      <c r="O29" s="133">
        <f t="shared" si="14"/>
        <v>110.2</v>
      </c>
      <c r="P29" s="237">
        <f t="shared" si="15"/>
        <v>133.19999999999999</v>
      </c>
      <c r="Q29" s="265" t="str">
        <f t="shared" si="16"/>
        <v>-</v>
      </c>
      <c r="R29" s="134" t="str">
        <f t="shared" si="16"/>
        <v>-</v>
      </c>
      <c r="S29" s="134" t="str">
        <f t="shared" si="16"/>
        <v>-</v>
      </c>
      <c r="T29" s="134" t="str">
        <f t="shared" si="16"/>
        <v>-</v>
      </c>
      <c r="U29" s="134">
        <f t="shared" si="16"/>
        <v>133.19999999999999</v>
      </c>
      <c r="V29" s="134" t="str">
        <f t="shared" si="16"/>
        <v>-</v>
      </c>
      <c r="W29" s="134" t="str">
        <f t="shared" si="16"/>
        <v>-</v>
      </c>
      <c r="X29" s="134" t="str">
        <f t="shared" si="16"/>
        <v>-</v>
      </c>
      <c r="Y29" s="134" t="str">
        <f t="shared" si="16"/>
        <v>-</v>
      </c>
      <c r="Z29" s="134" t="str">
        <f t="shared" si="16"/>
        <v>-</v>
      </c>
      <c r="AA29" s="266" t="str">
        <f t="shared" si="16"/>
        <v>-</v>
      </c>
      <c r="AD29" s="330" t="s">
        <v>118</v>
      </c>
    </row>
    <row r="30" spans="1:30" ht="26.25" outlineLevel="1" x14ac:dyDescent="0.25">
      <c r="A30" s="234"/>
      <c r="B30" s="110"/>
      <c r="C30" s="121">
        <v>2</v>
      </c>
      <c r="D30" s="111">
        <v>200</v>
      </c>
      <c r="E30" s="161"/>
      <c r="F30" s="113">
        <f>F29</f>
        <v>105900</v>
      </c>
      <c r="G30" s="162"/>
      <c r="H30" s="115">
        <v>200</v>
      </c>
      <c r="I30" s="116">
        <v>14</v>
      </c>
      <c r="J30" s="117">
        <v>1</v>
      </c>
      <c r="K30" s="110">
        <v>1</v>
      </c>
      <c r="L30" s="118">
        <f t="shared" si="5"/>
        <v>106300</v>
      </c>
      <c r="M30" s="118">
        <f t="shared" si="17"/>
        <v>9</v>
      </c>
      <c r="N30" s="118">
        <f t="shared" si="3"/>
        <v>420</v>
      </c>
      <c r="O30" s="119">
        <f t="shared" si="14"/>
        <v>110.1</v>
      </c>
      <c r="P30" s="235">
        <f t="shared" si="15"/>
        <v>133</v>
      </c>
      <c r="Q30" s="263" t="str">
        <f t="shared" si="16"/>
        <v>-</v>
      </c>
      <c r="R30" s="120" t="str">
        <f t="shared" si="16"/>
        <v>-</v>
      </c>
      <c r="S30" s="120" t="str">
        <f t="shared" si="16"/>
        <v>-</v>
      </c>
      <c r="T30" s="120" t="str">
        <f t="shared" si="16"/>
        <v>-</v>
      </c>
      <c r="U30" s="120">
        <f t="shared" si="16"/>
        <v>133</v>
      </c>
      <c r="V30" s="120" t="str">
        <f t="shared" si="16"/>
        <v>-</v>
      </c>
      <c r="W30" s="120" t="str">
        <f t="shared" si="16"/>
        <v>-</v>
      </c>
      <c r="X30" s="120" t="str">
        <f t="shared" si="16"/>
        <v>-</v>
      </c>
      <c r="Y30" s="120" t="str">
        <f t="shared" si="16"/>
        <v>-</v>
      </c>
      <c r="Z30" s="120" t="str">
        <f t="shared" si="16"/>
        <v>-</v>
      </c>
      <c r="AA30" s="264" t="str">
        <f t="shared" si="16"/>
        <v>-</v>
      </c>
      <c r="AD30" s="330" t="s">
        <v>118</v>
      </c>
    </row>
    <row r="31" spans="1:30" ht="26.25" outlineLevel="1" x14ac:dyDescent="0.25">
      <c r="A31" s="234"/>
      <c r="B31" s="110" t="s">
        <v>29</v>
      </c>
      <c r="C31" s="121">
        <v>3</v>
      </c>
      <c r="D31" s="111"/>
      <c r="E31" s="161">
        <v>100</v>
      </c>
      <c r="F31" s="113">
        <v>200</v>
      </c>
      <c r="G31" s="162"/>
      <c r="H31" s="115"/>
      <c r="I31" s="116">
        <v>10</v>
      </c>
      <c r="J31" s="117">
        <f>F29/1000</f>
        <v>105.9</v>
      </c>
      <c r="K31" s="110">
        <v>1</v>
      </c>
      <c r="L31" s="118">
        <f t="shared" si="5"/>
        <v>300</v>
      </c>
      <c r="M31" s="118" t="str">
        <f>IF(L31&lt;=Lcay,"-",IF(L31&lt;(2*Lcay-I31*Nc),1,INT(L31/(Lcay-I31*Nc))))</f>
        <v>-</v>
      </c>
      <c r="N31" s="118" t="str">
        <f t="shared" si="3"/>
        <v>-</v>
      </c>
      <c r="O31" s="119">
        <f t="shared" si="14"/>
        <v>31.8</v>
      </c>
      <c r="P31" s="235">
        <f t="shared" si="15"/>
        <v>19.600000000000001</v>
      </c>
      <c r="Q31" s="263" t="str">
        <f t="shared" si="16"/>
        <v>-</v>
      </c>
      <c r="R31" s="120" t="str">
        <f t="shared" si="16"/>
        <v>-</v>
      </c>
      <c r="S31" s="120">
        <f t="shared" si="16"/>
        <v>19.600000000000001</v>
      </c>
      <c r="T31" s="120" t="str">
        <f t="shared" si="16"/>
        <v>-</v>
      </c>
      <c r="U31" s="120" t="str">
        <f t="shared" si="16"/>
        <v>-</v>
      </c>
      <c r="V31" s="120" t="str">
        <f t="shared" si="16"/>
        <v>-</v>
      </c>
      <c r="W31" s="120" t="str">
        <f t="shared" si="16"/>
        <v>-</v>
      </c>
      <c r="X31" s="120" t="str">
        <f t="shared" si="16"/>
        <v>-</v>
      </c>
      <c r="Y31" s="120" t="str">
        <f t="shared" si="16"/>
        <v>-</v>
      </c>
      <c r="Z31" s="120" t="str">
        <f t="shared" si="16"/>
        <v>-</v>
      </c>
      <c r="AA31" s="264" t="str">
        <f t="shared" si="16"/>
        <v>-</v>
      </c>
      <c r="AD31" s="330" t="s">
        <v>118</v>
      </c>
    </row>
    <row r="32" spans="1:30" ht="26.25" outlineLevel="1" x14ac:dyDescent="0.25">
      <c r="A32" s="238"/>
      <c r="B32" s="135" t="s">
        <v>30</v>
      </c>
      <c r="C32" s="136" t="s">
        <v>42</v>
      </c>
      <c r="D32" s="137"/>
      <c r="E32" s="138">
        <v>50</v>
      </c>
      <c r="F32" s="163">
        <v>250</v>
      </c>
      <c r="G32" s="140">
        <v>50</v>
      </c>
      <c r="H32" s="141"/>
      <c r="I32" s="142">
        <v>6</v>
      </c>
      <c r="J32" s="143">
        <f>F29/150</f>
        <v>706</v>
      </c>
      <c r="K32" s="135">
        <v>1</v>
      </c>
      <c r="L32" s="144">
        <f t="shared" si="5"/>
        <v>350</v>
      </c>
      <c r="M32" s="144" t="str">
        <f t="shared" si="17"/>
        <v>-</v>
      </c>
      <c r="N32" s="144" t="str">
        <f t="shared" si="3"/>
        <v>-</v>
      </c>
      <c r="O32" s="145">
        <f t="shared" si="14"/>
        <v>247.1</v>
      </c>
      <c r="P32" s="239">
        <f t="shared" si="15"/>
        <v>54.8</v>
      </c>
      <c r="Q32" s="267">
        <f t="shared" si="16"/>
        <v>54.8</v>
      </c>
      <c r="R32" s="146" t="str">
        <f t="shared" si="16"/>
        <v>-</v>
      </c>
      <c r="S32" s="146" t="str">
        <f t="shared" si="16"/>
        <v>-</v>
      </c>
      <c r="T32" s="146" t="str">
        <f t="shared" si="16"/>
        <v>-</v>
      </c>
      <c r="U32" s="146" t="str">
        <f t="shared" si="16"/>
        <v>-</v>
      </c>
      <c r="V32" s="146" t="str">
        <f t="shared" si="16"/>
        <v>-</v>
      </c>
      <c r="W32" s="146" t="str">
        <f t="shared" si="16"/>
        <v>-</v>
      </c>
      <c r="X32" s="146" t="str">
        <f t="shared" si="16"/>
        <v>-</v>
      </c>
      <c r="Y32" s="146" t="str">
        <f t="shared" si="16"/>
        <v>-</v>
      </c>
      <c r="Z32" s="146" t="str">
        <f t="shared" si="16"/>
        <v>-</v>
      </c>
      <c r="AA32" s="268" t="str">
        <f t="shared" si="16"/>
        <v>-</v>
      </c>
      <c r="AD32" s="330" t="s">
        <v>118</v>
      </c>
    </row>
    <row r="33" spans="1:30" ht="26.25" outlineLevel="1" x14ac:dyDescent="0.25">
      <c r="A33" s="236"/>
      <c r="B33" s="124" t="s">
        <v>41</v>
      </c>
      <c r="C33" s="125">
        <v>1</v>
      </c>
      <c r="D33" s="98">
        <v>250</v>
      </c>
      <c r="E33" s="99"/>
      <c r="F33" s="127">
        <f>4000+1300+1800</f>
        <v>7100</v>
      </c>
      <c r="G33" s="99"/>
      <c r="H33" s="128">
        <v>250</v>
      </c>
      <c r="I33" s="129">
        <v>16</v>
      </c>
      <c r="J33" s="130">
        <v>1</v>
      </c>
      <c r="K33" s="131">
        <v>1</v>
      </c>
      <c r="L33" s="160">
        <f t="shared" si="5"/>
        <v>7600</v>
      </c>
      <c r="M33" s="132" t="str">
        <f t="shared" ref="M33:M35" si="18">IF(L33&lt;=Lcay,"-",IF(L33&lt;(2*Lcay-I33*Nc),1,INT(L33/(Lcay-I33*Nc))))</f>
        <v>-</v>
      </c>
      <c r="N33" s="132" t="str">
        <f t="shared" si="3"/>
        <v>-</v>
      </c>
      <c r="O33" s="133">
        <f t="shared" si="14"/>
        <v>7.6</v>
      </c>
      <c r="P33" s="237">
        <f t="shared" si="15"/>
        <v>12</v>
      </c>
      <c r="Q33" s="265" t="str">
        <f t="shared" si="16"/>
        <v>-</v>
      </c>
      <c r="R33" s="134" t="str">
        <f t="shared" si="16"/>
        <v>-</v>
      </c>
      <c r="S33" s="134" t="str">
        <f t="shared" si="16"/>
        <v>-</v>
      </c>
      <c r="T33" s="134" t="str">
        <f t="shared" si="16"/>
        <v>-</v>
      </c>
      <c r="U33" s="134" t="str">
        <f t="shared" si="16"/>
        <v>-</v>
      </c>
      <c r="V33" s="134">
        <f t="shared" si="16"/>
        <v>12</v>
      </c>
      <c r="W33" s="134" t="str">
        <f t="shared" si="16"/>
        <v>-</v>
      </c>
      <c r="X33" s="134" t="str">
        <f t="shared" si="16"/>
        <v>-</v>
      </c>
      <c r="Y33" s="134" t="str">
        <f t="shared" si="16"/>
        <v>-</v>
      </c>
      <c r="Z33" s="134" t="str">
        <f t="shared" si="16"/>
        <v>-</v>
      </c>
      <c r="AA33" s="266" t="str">
        <f t="shared" si="16"/>
        <v>-</v>
      </c>
      <c r="AD33" s="330" t="s">
        <v>118</v>
      </c>
    </row>
    <row r="34" spans="1:30" ht="26.25" outlineLevel="1" x14ac:dyDescent="0.25">
      <c r="A34" s="234"/>
      <c r="B34" s="110"/>
      <c r="C34" s="121">
        <v>2</v>
      </c>
      <c r="D34" s="111">
        <v>200</v>
      </c>
      <c r="E34" s="161"/>
      <c r="F34" s="113">
        <f>F33</f>
        <v>7100</v>
      </c>
      <c r="G34" s="162"/>
      <c r="H34" s="115">
        <v>200</v>
      </c>
      <c r="I34" s="116">
        <v>16</v>
      </c>
      <c r="J34" s="117">
        <v>1</v>
      </c>
      <c r="K34" s="110">
        <v>1</v>
      </c>
      <c r="L34" s="118">
        <f t="shared" si="5"/>
        <v>7500</v>
      </c>
      <c r="M34" s="118" t="str">
        <f t="shared" si="18"/>
        <v>-</v>
      </c>
      <c r="N34" s="118" t="str">
        <f t="shared" si="3"/>
        <v>-</v>
      </c>
      <c r="O34" s="119">
        <f t="shared" si="14"/>
        <v>7.5</v>
      </c>
      <c r="P34" s="235">
        <f t="shared" si="15"/>
        <v>11.8</v>
      </c>
      <c r="Q34" s="263" t="str">
        <f t="shared" si="16"/>
        <v>-</v>
      </c>
      <c r="R34" s="120" t="str">
        <f t="shared" si="16"/>
        <v>-</v>
      </c>
      <c r="S34" s="120" t="str">
        <f t="shared" si="16"/>
        <v>-</v>
      </c>
      <c r="T34" s="120" t="str">
        <f t="shared" si="16"/>
        <v>-</v>
      </c>
      <c r="U34" s="120" t="str">
        <f t="shared" si="16"/>
        <v>-</v>
      </c>
      <c r="V34" s="120">
        <f t="shared" si="16"/>
        <v>11.8</v>
      </c>
      <c r="W34" s="120" t="str">
        <f t="shared" si="16"/>
        <v>-</v>
      </c>
      <c r="X34" s="120" t="str">
        <f t="shared" si="16"/>
        <v>-</v>
      </c>
      <c r="Y34" s="120" t="str">
        <f t="shared" si="16"/>
        <v>-</v>
      </c>
      <c r="Z34" s="120" t="str">
        <f t="shared" si="16"/>
        <v>-</v>
      </c>
      <c r="AA34" s="264" t="str">
        <f t="shared" si="16"/>
        <v>-</v>
      </c>
      <c r="AD34" s="330" t="s">
        <v>118</v>
      </c>
    </row>
    <row r="35" spans="1:30" ht="26.25" outlineLevel="1" x14ac:dyDescent="0.25">
      <c r="A35" s="238"/>
      <c r="B35" s="135" t="s">
        <v>30</v>
      </c>
      <c r="C35" s="136" t="s">
        <v>42</v>
      </c>
      <c r="D35" s="137"/>
      <c r="E35" s="138">
        <v>50</v>
      </c>
      <c r="F35" s="163">
        <v>250</v>
      </c>
      <c r="G35" s="140">
        <v>50</v>
      </c>
      <c r="H35" s="141"/>
      <c r="I35" s="142">
        <v>6</v>
      </c>
      <c r="J35" s="143">
        <f>F33/150</f>
        <v>47.333333333333336</v>
      </c>
      <c r="K35" s="135">
        <v>1</v>
      </c>
      <c r="L35" s="144">
        <f t="shared" si="5"/>
        <v>350</v>
      </c>
      <c r="M35" s="144" t="str">
        <f t="shared" si="18"/>
        <v>-</v>
      </c>
      <c r="N35" s="144" t="str">
        <f t="shared" si="3"/>
        <v>-</v>
      </c>
      <c r="O35" s="145">
        <f t="shared" si="14"/>
        <v>16.600000000000001</v>
      </c>
      <c r="P35" s="239">
        <f t="shared" si="15"/>
        <v>3.7</v>
      </c>
      <c r="Q35" s="267">
        <f t="shared" si="16"/>
        <v>3.7</v>
      </c>
      <c r="R35" s="146" t="str">
        <f t="shared" si="16"/>
        <v>-</v>
      </c>
      <c r="S35" s="146" t="str">
        <f t="shared" si="16"/>
        <v>-</v>
      </c>
      <c r="T35" s="146" t="str">
        <f t="shared" si="16"/>
        <v>-</v>
      </c>
      <c r="U35" s="146" t="str">
        <f t="shared" si="16"/>
        <v>-</v>
      </c>
      <c r="V35" s="146" t="str">
        <f t="shared" si="16"/>
        <v>-</v>
      </c>
      <c r="W35" s="146" t="str">
        <f t="shared" si="16"/>
        <v>-</v>
      </c>
      <c r="X35" s="146" t="str">
        <f t="shared" si="16"/>
        <v>-</v>
      </c>
      <c r="Y35" s="146" t="str">
        <f t="shared" si="16"/>
        <v>-</v>
      </c>
      <c r="Z35" s="146" t="str">
        <f t="shared" si="16"/>
        <v>-</v>
      </c>
      <c r="AA35" s="268" t="str">
        <f t="shared" si="16"/>
        <v>-</v>
      </c>
      <c r="AD35" s="330" t="s">
        <v>118</v>
      </c>
    </row>
    <row r="36" spans="1:30" s="159" customFormat="1" ht="25.5" outlineLevel="1" x14ac:dyDescent="0.2">
      <c r="A36" s="242"/>
      <c r="B36" s="164"/>
      <c r="C36" s="165"/>
      <c r="D36" s="166"/>
      <c r="E36" s="167"/>
      <c r="F36" s="168"/>
      <c r="G36" s="169"/>
      <c r="H36" s="170"/>
      <c r="I36" s="171"/>
      <c r="J36" s="172"/>
      <c r="K36" s="164"/>
      <c r="L36" s="173">
        <f t="shared" si="5"/>
        <v>0</v>
      </c>
      <c r="M36" s="173" t="str">
        <f t="shared" ref="M36:M45" si="19">IF(L36&lt;=Lcay,"-",IF(L36&lt;(2*Lcay-I36*Nc),1,INT(L36/(Lcay-I36*Nc))))</f>
        <v>-</v>
      </c>
      <c r="N36" s="173" t="str">
        <f t="shared" ref="N36:N101" si="20">IF(($M36)="-","-",$I36*Nc)</f>
        <v>-</v>
      </c>
      <c r="O36" s="174" t="str">
        <f>IF(ISBLANK($I36),"",ROUND(PRODUCT($J36:$L36,10^-3)+PRODUCT(IF($L36&lt;Lcay,0,$L36),$J36:$K36,$M36:$N36,10^-3),1))</f>
        <v/>
      </c>
      <c r="P36" s="243" t="str">
        <f>IF(ISBLANK($I36),"",ROUND(PRODUCT((I36/2)^2,PI(),10^-6,7850,$O36),1))</f>
        <v/>
      </c>
      <c r="Q36" s="271" t="str">
        <f t="shared" ref="Q36:AA36" si="21">IF($I36=Q$4,ROUND(PRODUCT(($I36/2)^2,PI(),10^-6,7850,$O36),1),"-")</f>
        <v>-</v>
      </c>
      <c r="R36" s="175" t="str">
        <f t="shared" si="21"/>
        <v>-</v>
      </c>
      <c r="S36" s="175" t="str">
        <f t="shared" si="21"/>
        <v>-</v>
      </c>
      <c r="T36" s="175" t="str">
        <f t="shared" si="21"/>
        <v>-</v>
      </c>
      <c r="U36" s="175" t="str">
        <f t="shared" si="21"/>
        <v>-</v>
      </c>
      <c r="V36" s="175" t="str">
        <f t="shared" si="21"/>
        <v>-</v>
      </c>
      <c r="W36" s="175" t="str">
        <f t="shared" si="21"/>
        <v>-</v>
      </c>
      <c r="X36" s="175" t="str">
        <f t="shared" si="21"/>
        <v>-</v>
      </c>
      <c r="Y36" s="175" t="str">
        <f t="shared" si="21"/>
        <v>-</v>
      </c>
      <c r="Z36" s="175" t="str">
        <f t="shared" si="21"/>
        <v>-</v>
      </c>
      <c r="AA36" s="272" t="str">
        <f t="shared" si="21"/>
        <v>-</v>
      </c>
      <c r="AD36" s="330" t="s">
        <v>118</v>
      </c>
    </row>
    <row r="37" spans="1:30" ht="26.25" x14ac:dyDescent="0.25">
      <c r="A37" s="230">
        <v>3</v>
      </c>
      <c r="B37" s="85" t="s">
        <v>31</v>
      </c>
      <c r="C37" s="86"/>
      <c r="D37" s="176"/>
      <c r="E37" s="177"/>
      <c r="F37" s="178"/>
      <c r="G37" s="179"/>
      <c r="H37" s="180"/>
      <c r="I37" s="91"/>
      <c r="J37" s="92"/>
      <c r="K37" s="93"/>
      <c r="L37" s="92"/>
      <c r="M37" s="92" t="str">
        <f t="shared" si="19"/>
        <v>-</v>
      </c>
      <c r="N37" s="92" t="str">
        <f t="shared" si="20"/>
        <v>-</v>
      </c>
      <c r="O37" s="94" t="str">
        <f>IF(ISBLANK($I37),"",ROUND(PRODUCT($J37:$L37,10^-3)+PRODUCT(IF($L37&lt;Lcay,0,$L37),$J37:$K37,$M37:$N37,10^-3),1))</f>
        <v/>
      </c>
      <c r="P37" s="231">
        <f>SUBTOTAL(9,P38:P86)</f>
        <v>5539.5000000000027</v>
      </c>
      <c r="Q37" s="260">
        <f t="shared" ref="Q37:AA37" si="22">SUBTOTAL(9,Q38:Q86)</f>
        <v>825.5</v>
      </c>
      <c r="R37" s="95">
        <f t="shared" si="22"/>
        <v>0</v>
      </c>
      <c r="S37" s="95">
        <f t="shared" si="22"/>
        <v>0</v>
      </c>
      <c r="T37" s="95">
        <f t="shared" si="22"/>
        <v>0</v>
      </c>
      <c r="U37" s="95">
        <f t="shared" si="22"/>
        <v>515.79999999999995</v>
      </c>
      <c r="V37" s="95">
        <f t="shared" si="22"/>
        <v>3661.2000000000003</v>
      </c>
      <c r="W37" s="95">
        <f t="shared" si="22"/>
        <v>0</v>
      </c>
      <c r="X37" s="95">
        <f t="shared" si="22"/>
        <v>537</v>
      </c>
      <c r="Y37" s="95">
        <f t="shared" si="22"/>
        <v>0</v>
      </c>
      <c r="Z37" s="95">
        <f t="shared" si="22"/>
        <v>0</v>
      </c>
      <c r="AA37" s="231">
        <f t="shared" si="22"/>
        <v>0</v>
      </c>
      <c r="AD37" s="330" t="s">
        <v>118</v>
      </c>
    </row>
    <row r="38" spans="1:30" ht="26.25" outlineLevel="1" x14ac:dyDescent="0.25">
      <c r="A38" s="236"/>
      <c r="B38" s="124" t="s">
        <v>32</v>
      </c>
      <c r="C38" s="125">
        <v>1</v>
      </c>
      <c r="D38" s="98">
        <v>250</v>
      </c>
      <c r="E38" s="99"/>
      <c r="F38" s="127">
        <f>2100+4000*9</f>
        <v>38100</v>
      </c>
      <c r="G38" s="99"/>
      <c r="H38" s="128">
        <v>250</v>
      </c>
      <c r="I38" s="129">
        <v>16</v>
      </c>
      <c r="J38" s="130">
        <v>2</v>
      </c>
      <c r="K38" s="131">
        <v>1</v>
      </c>
      <c r="L38" s="160">
        <f t="shared" si="5"/>
        <v>38600</v>
      </c>
      <c r="M38" s="132">
        <f t="shared" si="19"/>
        <v>3</v>
      </c>
      <c r="N38" s="132">
        <f t="shared" si="20"/>
        <v>480</v>
      </c>
      <c r="O38" s="133">
        <f t="shared" ref="O38:O85" si="23">IF(ISBLANK($I38),"",ROUND(PRODUCT($J38:$L38,10^-3)+PRODUCT(IF($L38&lt;Lcay,0,1),$J38:$K38,$M38:$N38,10^-3),1))</f>
        <v>80.099999999999994</v>
      </c>
      <c r="P38" s="237">
        <f t="shared" ref="P38:P85" si="24">IF(ISBLANK($I38),"",ROUND(PRODUCT(($I38/2)^2,PI(),10^-6,7850,$O38),1))</f>
        <v>126.4</v>
      </c>
      <c r="Q38" s="265" t="str">
        <f t="shared" ref="Q38:AA53" si="25">IF($I38=Q$4,$P38,"-")</f>
        <v>-</v>
      </c>
      <c r="R38" s="134" t="str">
        <f t="shared" si="25"/>
        <v>-</v>
      </c>
      <c r="S38" s="134" t="str">
        <f t="shared" si="25"/>
        <v>-</v>
      </c>
      <c r="T38" s="134" t="str">
        <f t="shared" si="25"/>
        <v>-</v>
      </c>
      <c r="U38" s="134" t="str">
        <f t="shared" si="25"/>
        <v>-</v>
      </c>
      <c r="V38" s="134">
        <f t="shared" si="25"/>
        <v>126.4</v>
      </c>
      <c r="W38" s="134" t="str">
        <f t="shared" si="25"/>
        <v>-</v>
      </c>
      <c r="X38" s="134" t="str">
        <f t="shared" si="25"/>
        <v>-</v>
      </c>
      <c r="Y38" s="134" t="str">
        <f t="shared" si="25"/>
        <v>-</v>
      </c>
      <c r="Z38" s="134" t="str">
        <f t="shared" si="25"/>
        <v>-</v>
      </c>
      <c r="AA38" s="266" t="str">
        <f t="shared" si="25"/>
        <v>-</v>
      </c>
      <c r="AC38" s="109"/>
      <c r="AD38" s="330" t="s">
        <v>118</v>
      </c>
    </row>
    <row r="39" spans="1:30" ht="26.25" outlineLevel="1" x14ac:dyDescent="0.25">
      <c r="A39" s="234"/>
      <c r="B39" s="110"/>
      <c r="C39" s="121">
        <v>2</v>
      </c>
      <c r="D39" s="111">
        <v>200</v>
      </c>
      <c r="E39" s="161"/>
      <c r="F39" s="113">
        <f>F38</f>
        <v>38100</v>
      </c>
      <c r="G39" s="162"/>
      <c r="H39" s="115">
        <v>250</v>
      </c>
      <c r="I39" s="116">
        <v>16</v>
      </c>
      <c r="J39" s="117">
        <v>2</v>
      </c>
      <c r="K39" s="110">
        <v>1</v>
      </c>
      <c r="L39" s="118">
        <f t="shared" si="5"/>
        <v>38550</v>
      </c>
      <c r="M39" s="118">
        <f t="shared" si="19"/>
        <v>3</v>
      </c>
      <c r="N39" s="118">
        <f t="shared" si="20"/>
        <v>480</v>
      </c>
      <c r="O39" s="119">
        <f t="shared" si="23"/>
        <v>80</v>
      </c>
      <c r="P39" s="235">
        <f t="shared" si="24"/>
        <v>126.3</v>
      </c>
      <c r="Q39" s="263" t="str">
        <f t="shared" si="25"/>
        <v>-</v>
      </c>
      <c r="R39" s="120" t="str">
        <f t="shared" si="25"/>
        <v>-</v>
      </c>
      <c r="S39" s="120" t="str">
        <f t="shared" si="25"/>
        <v>-</v>
      </c>
      <c r="T39" s="120" t="str">
        <f t="shared" si="25"/>
        <v>-</v>
      </c>
      <c r="U39" s="120" t="str">
        <f t="shared" si="25"/>
        <v>-</v>
      </c>
      <c r="V39" s="120">
        <f t="shared" si="25"/>
        <v>126.3</v>
      </c>
      <c r="W39" s="120" t="str">
        <f t="shared" si="25"/>
        <v>-</v>
      </c>
      <c r="X39" s="120" t="str">
        <f t="shared" si="25"/>
        <v>-</v>
      </c>
      <c r="Y39" s="120" t="str">
        <f t="shared" si="25"/>
        <v>-</v>
      </c>
      <c r="Z39" s="120" t="str">
        <f t="shared" si="25"/>
        <v>-</v>
      </c>
      <c r="AA39" s="264" t="str">
        <f t="shared" si="25"/>
        <v>-</v>
      </c>
      <c r="AD39" s="330" t="s">
        <v>118</v>
      </c>
    </row>
    <row r="40" spans="1:30" ht="26.25" outlineLevel="1" x14ac:dyDescent="0.25">
      <c r="A40" s="234"/>
      <c r="B40" s="110"/>
      <c r="C40" s="121" t="s">
        <v>22</v>
      </c>
      <c r="D40" s="111">
        <v>250</v>
      </c>
      <c r="E40" s="161"/>
      <c r="F40" s="113">
        <f>2000+200+1000</f>
        <v>3200</v>
      </c>
      <c r="G40" s="162"/>
      <c r="H40" s="115"/>
      <c r="I40" s="116">
        <v>16</v>
      </c>
      <c r="J40" s="117">
        <v>1</v>
      </c>
      <c r="K40" s="110">
        <v>1</v>
      </c>
      <c r="L40" s="118">
        <f t="shared" si="5"/>
        <v>3450</v>
      </c>
      <c r="M40" s="118" t="str">
        <f t="shared" si="19"/>
        <v>-</v>
      </c>
      <c r="N40" s="118" t="str">
        <f t="shared" si="20"/>
        <v>-</v>
      </c>
      <c r="O40" s="119">
        <f t="shared" si="23"/>
        <v>3.5</v>
      </c>
      <c r="P40" s="235">
        <f t="shared" si="24"/>
        <v>5.5</v>
      </c>
      <c r="Q40" s="263" t="str">
        <f t="shared" si="25"/>
        <v>-</v>
      </c>
      <c r="R40" s="120" t="str">
        <f t="shared" si="25"/>
        <v>-</v>
      </c>
      <c r="S40" s="120" t="str">
        <f t="shared" si="25"/>
        <v>-</v>
      </c>
      <c r="T40" s="120" t="str">
        <f t="shared" si="25"/>
        <v>-</v>
      </c>
      <c r="U40" s="120" t="str">
        <f t="shared" si="25"/>
        <v>-</v>
      </c>
      <c r="V40" s="120">
        <f t="shared" si="25"/>
        <v>5.5</v>
      </c>
      <c r="W40" s="120" t="str">
        <f t="shared" si="25"/>
        <v>-</v>
      </c>
      <c r="X40" s="120" t="str">
        <f t="shared" si="25"/>
        <v>-</v>
      </c>
      <c r="Y40" s="120" t="str">
        <f t="shared" si="25"/>
        <v>-</v>
      </c>
      <c r="Z40" s="120" t="str">
        <f t="shared" si="25"/>
        <v>-</v>
      </c>
      <c r="AA40" s="264" t="str">
        <f t="shared" si="25"/>
        <v>-</v>
      </c>
      <c r="AD40" s="330" t="s">
        <v>118</v>
      </c>
    </row>
    <row r="41" spans="1:30" ht="26.25" outlineLevel="1" x14ac:dyDescent="0.25">
      <c r="A41" s="234"/>
      <c r="B41" s="110"/>
      <c r="C41" s="121" t="s">
        <v>23</v>
      </c>
      <c r="D41" s="111">
        <v>250</v>
      </c>
      <c r="E41" s="161"/>
      <c r="F41" s="113">
        <v>1200</v>
      </c>
      <c r="G41" s="162"/>
      <c r="H41" s="115"/>
      <c r="I41" s="116">
        <v>16</v>
      </c>
      <c r="J41" s="117">
        <v>1</v>
      </c>
      <c r="K41" s="110">
        <v>1</v>
      </c>
      <c r="L41" s="118">
        <f t="shared" si="5"/>
        <v>1450</v>
      </c>
      <c r="M41" s="118" t="str">
        <f t="shared" ref="M41" si="26">IF(L41&lt;=Lcay,"-",IF(L41&lt;(2*Lcay-I41*Nc),1,INT(L41/(Lcay-I41*Nc))))</f>
        <v>-</v>
      </c>
      <c r="N41" s="118" t="str">
        <f t="shared" si="20"/>
        <v>-</v>
      </c>
      <c r="O41" s="119">
        <f t="shared" si="23"/>
        <v>1.5</v>
      </c>
      <c r="P41" s="235">
        <f t="shared" si="24"/>
        <v>2.4</v>
      </c>
      <c r="Q41" s="263" t="str">
        <f t="shared" si="25"/>
        <v>-</v>
      </c>
      <c r="R41" s="120" t="str">
        <f t="shared" si="25"/>
        <v>-</v>
      </c>
      <c r="S41" s="120" t="str">
        <f t="shared" si="25"/>
        <v>-</v>
      </c>
      <c r="T41" s="120" t="str">
        <f t="shared" si="25"/>
        <v>-</v>
      </c>
      <c r="U41" s="120" t="str">
        <f t="shared" si="25"/>
        <v>-</v>
      </c>
      <c r="V41" s="120">
        <f t="shared" si="25"/>
        <v>2.4</v>
      </c>
      <c r="W41" s="120" t="str">
        <f t="shared" si="25"/>
        <v>-</v>
      </c>
      <c r="X41" s="120" t="str">
        <f t="shared" si="25"/>
        <v>-</v>
      </c>
      <c r="Y41" s="120" t="str">
        <f t="shared" si="25"/>
        <v>-</v>
      </c>
      <c r="Z41" s="120" t="str">
        <f t="shared" si="25"/>
        <v>-</v>
      </c>
      <c r="AA41" s="264" t="str">
        <f t="shared" si="25"/>
        <v>-</v>
      </c>
      <c r="AD41" s="330" t="s">
        <v>118</v>
      </c>
    </row>
    <row r="42" spans="1:30" ht="26.25" outlineLevel="1" x14ac:dyDescent="0.25">
      <c r="A42" s="234"/>
      <c r="B42" s="110"/>
      <c r="C42" s="121">
        <v>3</v>
      </c>
      <c r="D42" s="111"/>
      <c r="E42" s="161"/>
      <c r="F42" s="113">
        <v>2200</v>
      </c>
      <c r="G42" s="162"/>
      <c r="H42" s="115"/>
      <c r="I42" s="116">
        <v>16</v>
      </c>
      <c r="J42" s="117">
        <v>8</v>
      </c>
      <c r="K42" s="110">
        <v>1</v>
      </c>
      <c r="L42" s="118">
        <f t="shared" si="5"/>
        <v>2200</v>
      </c>
      <c r="M42" s="118" t="str">
        <f t="shared" si="19"/>
        <v>-</v>
      </c>
      <c r="N42" s="118" t="str">
        <f t="shared" si="20"/>
        <v>-</v>
      </c>
      <c r="O42" s="119">
        <f t="shared" si="23"/>
        <v>17.600000000000001</v>
      </c>
      <c r="P42" s="235">
        <f t="shared" si="24"/>
        <v>27.8</v>
      </c>
      <c r="Q42" s="263" t="str">
        <f t="shared" si="25"/>
        <v>-</v>
      </c>
      <c r="R42" s="120" t="str">
        <f t="shared" si="25"/>
        <v>-</v>
      </c>
      <c r="S42" s="120" t="str">
        <f t="shared" si="25"/>
        <v>-</v>
      </c>
      <c r="T42" s="120" t="str">
        <f t="shared" si="25"/>
        <v>-</v>
      </c>
      <c r="U42" s="120" t="str">
        <f t="shared" si="25"/>
        <v>-</v>
      </c>
      <c r="V42" s="120">
        <f t="shared" si="25"/>
        <v>27.8</v>
      </c>
      <c r="W42" s="120" t="str">
        <f t="shared" si="25"/>
        <v>-</v>
      </c>
      <c r="X42" s="120" t="str">
        <f t="shared" si="25"/>
        <v>-</v>
      </c>
      <c r="Y42" s="120" t="str">
        <f t="shared" si="25"/>
        <v>-</v>
      </c>
      <c r="Z42" s="120" t="str">
        <f t="shared" si="25"/>
        <v>-</v>
      </c>
      <c r="AA42" s="264" t="str">
        <f t="shared" si="25"/>
        <v>-</v>
      </c>
      <c r="AD42" s="330" t="s">
        <v>118</v>
      </c>
    </row>
    <row r="43" spans="1:30" ht="26.25" outlineLevel="1" x14ac:dyDescent="0.25">
      <c r="A43" s="234"/>
      <c r="B43" s="110"/>
      <c r="C43" s="121">
        <v>4</v>
      </c>
      <c r="D43" s="111"/>
      <c r="E43" s="161"/>
      <c r="F43" s="113">
        <v>2600</v>
      </c>
      <c r="G43" s="162"/>
      <c r="H43" s="115"/>
      <c r="I43" s="116">
        <v>16</v>
      </c>
      <c r="J43" s="117">
        <v>9</v>
      </c>
      <c r="K43" s="110">
        <v>1</v>
      </c>
      <c r="L43" s="118">
        <f t="shared" si="5"/>
        <v>2600</v>
      </c>
      <c r="M43" s="118" t="str">
        <f t="shared" si="19"/>
        <v>-</v>
      </c>
      <c r="N43" s="118" t="str">
        <f t="shared" si="20"/>
        <v>-</v>
      </c>
      <c r="O43" s="119">
        <f t="shared" si="23"/>
        <v>23.4</v>
      </c>
      <c r="P43" s="235">
        <f t="shared" si="24"/>
        <v>36.9</v>
      </c>
      <c r="Q43" s="263" t="str">
        <f t="shared" si="25"/>
        <v>-</v>
      </c>
      <c r="R43" s="120" t="str">
        <f t="shared" si="25"/>
        <v>-</v>
      </c>
      <c r="S43" s="120" t="str">
        <f t="shared" si="25"/>
        <v>-</v>
      </c>
      <c r="T43" s="120" t="str">
        <f t="shared" si="25"/>
        <v>-</v>
      </c>
      <c r="U43" s="120" t="str">
        <f t="shared" si="25"/>
        <v>-</v>
      </c>
      <c r="V43" s="120">
        <f t="shared" si="25"/>
        <v>36.9</v>
      </c>
      <c r="W43" s="120" t="str">
        <f t="shared" si="25"/>
        <v>-</v>
      </c>
      <c r="X43" s="120" t="str">
        <f t="shared" si="25"/>
        <v>-</v>
      </c>
      <c r="Y43" s="120" t="str">
        <f t="shared" si="25"/>
        <v>-</v>
      </c>
      <c r="Z43" s="120" t="str">
        <f t="shared" si="25"/>
        <v>-</v>
      </c>
      <c r="AA43" s="264" t="str">
        <f t="shared" si="25"/>
        <v>-</v>
      </c>
      <c r="AD43" s="330" t="s">
        <v>118</v>
      </c>
    </row>
    <row r="44" spans="1:30" ht="26.25" outlineLevel="1" x14ac:dyDescent="0.25">
      <c r="A44" s="234"/>
      <c r="B44" s="110"/>
      <c r="C44" s="121">
        <v>5</v>
      </c>
      <c r="D44" s="111">
        <v>250</v>
      </c>
      <c r="E44" s="161"/>
      <c r="F44" s="113">
        <f>2000+16*45</f>
        <v>2720</v>
      </c>
      <c r="G44" s="162"/>
      <c r="H44" s="115"/>
      <c r="I44" s="116">
        <v>16</v>
      </c>
      <c r="J44" s="117">
        <v>2</v>
      </c>
      <c r="K44" s="110">
        <v>1</v>
      </c>
      <c r="L44" s="118">
        <f t="shared" si="5"/>
        <v>2970</v>
      </c>
      <c r="M44" s="118" t="str">
        <f t="shared" si="19"/>
        <v>-</v>
      </c>
      <c r="N44" s="118" t="str">
        <f t="shared" si="20"/>
        <v>-</v>
      </c>
      <c r="O44" s="119">
        <f t="shared" si="23"/>
        <v>5.9</v>
      </c>
      <c r="P44" s="235">
        <f t="shared" si="24"/>
        <v>9.3000000000000007</v>
      </c>
      <c r="Q44" s="263" t="str">
        <f t="shared" si="25"/>
        <v>-</v>
      </c>
      <c r="R44" s="120" t="str">
        <f t="shared" si="25"/>
        <v>-</v>
      </c>
      <c r="S44" s="120" t="str">
        <f t="shared" si="25"/>
        <v>-</v>
      </c>
      <c r="T44" s="120" t="str">
        <f t="shared" si="25"/>
        <v>-</v>
      </c>
      <c r="U44" s="120" t="str">
        <f t="shared" si="25"/>
        <v>-</v>
      </c>
      <c r="V44" s="120">
        <f t="shared" si="25"/>
        <v>9.3000000000000007</v>
      </c>
      <c r="W44" s="120" t="str">
        <f t="shared" si="25"/>
        <v>-</v>
      </c>
      <c r="X44" s="120" t="str">
        <f t="shared" si="25"/>
        <v>-</v>
      </c>
      <c r="Y44" s="120" t="str">
        <f t="shared" si="25"/>
        <v>-</v>
      </c>
      <c r="Z44" s="120" t="str">
        <f t="shared" si="25"/>
        <v>-</v>
      </c>
      <c r="AA44" s="264" t="str">
        <f t="shared" si="25"/>
        <v>-</v>
      </c>
      <c r="AD44" s="330" t="s">
        <v>118</v>
      </c>
    </row>
    <row r="45" spans="1:30" ht="26.25" outlineLevel="1" x14ac:dyDescent="0.25">
      <c r="A45" s="234"/>
      <c r="B45" s="110" t="s">
        <v>20</v>
      </c>
      <c r="C45" s="121" t="s">
        <v>21</v>
      </c>
      <c r="D45" s="111"/>
      <c r="E45" s="161">
        <v>150</v>
      </c>
      <c r="F45" s="113">
        <v>250</v>
      </c>
      <c r="G45" s="162">
        <v>50</v>
      </c>
      <c r="H45" s="115"/>
      <c r="I45" s="116">
        <v>6</v>
      </c>
      <c r="J45" s="117">
        <f>5+9+11*16+10*8+4+10+2+10</f>
        <v>296</v>
      </c>
      <c r="K45" s="110">
        <v>1</v>
      </c>
      <c r="L45" s="118">
        <f t="shared" si="5"/>
        <v>900</v>
      </c>
      <c r="M45" s="118" t="str">
        <f t="shared" si="19"/>
        <v>-</v>
      </c>
      <c r="N45" s="118" t="str">
        <f t="shared" si="20"/>
        <v>-</v>
      </c>
      <c r="O45" s="119">
        <f t="shared" si="23"/>
        <v>266.39999999999998</v>
      </c>
      <c r="P45" s="235">
        <f t="shared" si="24"/>
        <v>59.1</v>
      </c>
      <c r="Q45" s="263">
        <f t="shared" si="25"/>
        <v>59.1</v>
      </c>
      <c r="R45" s="120" t="str">
        <f t="shared" si="25"/>
        <v>-</v>
      </c>
      <c r="S45" s="120" t="str">
        <f t="shared" si="25"/>
        <v>-</v>
      </c>
      <c r="T45" s="120" t="str">
        <f t="shared" si="25"/>
        <v>-</v>
      </c>
      <c r="U45" s="120" t="str">
        <f t="shared" si="25"/>
        <v>-</v>
      </c>
      <c r="V45" s="120" t="str">
        <f t="shared" si="25"/>
        <v>-</v>
      </c>
      <c r="W45" s="120" t="str">
        <f t="shared" si="25"/>
        <v>-</v>
      </c>
      <c r="X45" s="120" t="str">
        <f t="shared" si="25"/>
        <v>-</v>
      </c>
      <c r="Y45" s="120" t="str">
        <f t="shared" si="25"/>
        <v>-</v>
      </c>
      <c r="Z45" s="120" t="str">
        <f t="shared" si="25"/>
        <v>-</v>
      </c>
      <c r="AA45" s="264" t="str">
        <f t="shared" si="25"/>
        <v>-</v>
      </c>
      <c r="AD45" s="330" t="s">
        <v>118</v>
      </c>
    </row>
    <row r="46" spans="1:30" ht="26.25" outlineLevel="1" x14ac:dyDescent="0.25">
      <c r="A46" s="236"/>
      <c r="B46" s="124" t="s">
        <v>95</v>
      </c>
      <c r="C46" s="125">
        <v>1</v>
      </c>
      <c r="D46" s="98">
        <v>250</v>
      </c>
      <c r="E46" s="99"/>
      <c r="F46" s="127">
        <f>2100+4000*9-7000</f>
        <v>31100</v>
      </c>
      <c r="G46" s="99"/>
      <c r="H46" s="128">
        <v>250</v>
      </c>
      <c r="I46" s="129">
        <v>16</v>
      </c>
      <c r="J46" s="130">
        <v>2</v>
      </c>
      <c r="K46" s="131">
        <v>3</v>
      </c>
      <c r="L46" s="160">
        <f t="shared" si="5"/>
        <v>31600</v>
      </c>
      <c r="M46" s="132">
        <f t="shared" ref="M46:M58" si="27">IF(L46&lt;=Lcay,"-",IF(L46&lt;(2*Lcay-I46*Nc),1,INT(L46/(Lcay-I46*Nc))))</f>
        <v>2</v>
      </c>
      <c r="N46" s="132">
        <f t="shared" si="20"/>
        <v>480</v>
      </c>
      <c r="O46" s="133">
        <f t="shared" si="23"/>
        <v>195.4</v>
      </c>
      <c r="P46" s="237">
        <f t="shared" si="24"/>
        <v>308.39999999999998</v>
      </c>
      <c r="Q46" s="265" t="str">
        <f t="shared" si="25"/>
        <v>-</v>
      </c>
      <c r="R46" s="134" t="str">
        <f t="shared" si="25"/>
        <v>-</v>
      </c>
      <c r="S46" s="134" t="str">
        <f t="shared" si="25"/>
        <v>-</v>
      </c>
      <c r="T46" s="134" t="str">
        <f t="shared" si="25"/>
        <v>-</v>
      </c>
      <c r="U46" s="134" t="str">
        <f t="shared" si="25"/>
        <v>-</v>
      </c>
      <c r="V46" s="134">
        <f t="shared" si="25"/>
        <v>308.39999999999998</v>
      </c>
      <c r="W46" s="134" t="str">
        <f t="shared" si="25"/>
        <v>-</v>
      </c>
      <c r="X46" s="134" t="str">
        <f t="shared" si="25"/>
        <v>-</v>
      </c>
      <c r="Y46" s="134" t="str">
        <f t="shared" si="25"/>
        <v>-</v>
      </c>
      <c r="Z46" s="134" t="str">
        <f t="shared" si="25"/>
        <v>-</v>
      </c>
      <c r="AA46" s="266" t="str">
        <f t="shared" si="25"/>
        <v>-</v>
      </c>
      <c r="AC46" s="109"/>
      <c r="AD46" s="330" t="s">
        <v>118</v>
      </c>
    </row>
    <row r="47" spans="1:30" ht="26.25" outlineLevel="1" x14ac:dyDescent="0.25">
      <c r="A47" s="234"/>
      <c r="B47" s="110" t="s">
        <v>96</v>
      </c>
      <c r="C47" s="121">
        <v>2</v>
      </c>
      <c r="D47" s="111">
        <v>200</v>
      </c>
      <c r="E47" s="161"/>
      <c r="F47" s="113">
        <f>2100+4000*9</f>
        <v>38100</v>
      </c>
      <c r="G47" s="162"/>
      <c r="H47" s="115">
        <v>250</v>
      </c>
      <c r="I47" s="116">
        <v>16</v>
      </c>
      <c r="J47" s="117">
        <v>2</v>
      </c>
      <c r="K47" s="110">
        <v>3</v>
      </c>
      <c r="L47" s="118">
        <f t="shared" si="5"/>
        <v>38550</v>
      </c>
      <c r="M47" s="118">
        <f t="shared" si="27"/>
        <v>3</v>
      </c>
      <c r="N47" s="118">
        <f t="shared" si="20"/>
        <v>480</v>
      </c>
      <c r="O47" s="119">
        <f t="shared" si="23"/>
        <v>239.9</v>
      </c>
      <c r="P47" s="235">
        <f t="shared" si="24"/>
        <v>378.6</v>
      </c>
      <c r="Q47" s="263" t="str">
        <f t="shared" si="25"/>
        <v>-</v>
      </c>
      <c r="R47" s="120" t="str">
        <f t="shared" si="25"/>
        <v>-</v>
      </c>
      <c r="S47" s="120" t="str">
        <f t="shared" si="25"/>
        <v>-</v>
      </c>
      <c r="T47" s="120" t="str">
        <f t="shared" si="25"/>
        <v>-</v>
      </c>
      <c r="U47" s="120" t="str">
        <f t="shared" si="25"/>
        <v>-</v>
      </c>
      <c r="V47" s="120">
        <f t="shared" si="25"/>
        <v>378.6</v>
      </c>
      <c r="W47" s="120" t="str">
        <f t="shared" si="25"/>
        <v>-</v>
      </c>
      <c r="X47" s="120" t="str">
        <f t="shared" si="25"/>
        <v>-</v>
      </c>
      <c r="Y47" s="120" t="str">
        <f t="shared" si="25"/>
        <v>-</v>
      </c>
      <c r="Z47" s="120" t="str">
        <f t="shared" si="25"/>
        <v>-</v>
      </c>
      <c r="AA47" s="264" t="str">
        <f t="shared" si="25"/>
        <v>-</v>
      </c>
      <c r="AD47" s="330" t="s">
        <v>118</v>
      </c>
    </row>
    <row r="48" spans="1:30" ht="26.25" outlineLevel="1" x14ac:dyDescent="0.25">
      <c r="A48" s="234"/>
      <c r="B48" s="110"/>
      <c r="C48" s="121" t="s">
        <v>22</v>
      </c>
      <c r="D48" s="111">
        <v>250</v>
      </c>
      <c r="E48" s="161"/>
      <c r="F48" s="113">
        <f>2000+200+1000</f>
        <v>3200</v>
      </c>
      <c r="G48" s="162"/>
      <c r="H48" s="115"/>
      <c r="I48" s="116">
        <v>16</v>
      </c>
      <c r="J48" s="117">
        <v>1</v>
      </c>
      <c r="K48" s="110">
        <v>3</v>
      </c>
      <c r="L48" s="118">
        <f t="shared" si="5"/>
        <v>3450</v>
      </c>
      <c r="M48" s="118" t="str">
        <f t="shared" si="27"/>
        <v>-</v>
      </c>
      <c r="N48" s="118" t="str">
        <f t="shared" si="20"/>
        <v>-</v>
      </c>
      <c r="O48" s="119">
        <f t="shared" si="23"/>
        <v>10.4</v>
      </c>
      <c r="P48" s="235">
        <f t="shared" si="24"/>
        <v>16.399999999999999</v>
      </c>
      <c r="Q48" s="263" t="str">
        <f t="shared" si="25"/>
        <v>-</v>
      </c>
      <c r="R48" s="120" t="str">
        <f t="shared" si="25"/>
        <v>-</v>
      </c>
      <c r="S48" s="120" t="str">
        <f t="shared" si="25"/>
        <v>-</v>
      </c>
      <c r="T48" s="120" t="str">
        <f t="shared" si="25"/>
        <v>-</v>
      </c>
      <c r="U48" s="120" t="str">
        <f t="shared" si="25"/>
        <v>-</v>
      </c>
      <c r="V48" s="120">
        <f t="shared" si="25"/>
        <v>16.399999999999999</v>
      </c>
      <c r="W48" s="120" t="str">
        <f t="shared" si="25"/>
        <v>-</v>
      </c>
      <c r="X48" s="120" t="str">
        <f t="shared" si="25"/>
        <v>-</v>
      </c>
      <c r="Y48" s="120" t="str">
        <f t="shared" si="25"/>
        <v>-</v>
      </c>
      <c r="Z48" s="120" t="str">
        <f t="shared" si="25"/>
        <v>-</v>
      </c>
      <c r="AA48" s="264" t="str">
        <f t="shared" si="25"/>
        <v>-</v>
      </c>
      <c r="AD48" s="330" t="s">
        <v>118</v>
      </c>
    </row>
    <row r="49" spans="1:30" ht="26.25" outlineLevel="1" x14ac:dyDescent="0.25">
      <c r="A49" s="234"/>
      <c r="B49" s="110"/>
      <c r="C49" s="121" t="s">
        <v>23</v>
      </c>
      <c r="D49" s="111">
        <v>250</v>
      </c>
      <c r="E49" s="161"/>
      <c r="F49" s="113">
        <v>1200</v>
      </c>
      <c r="G49" s="162"/>
      <c r="H49" s="115"/>
      <c r="I49" s="116">
        <v>16</v>
      </c>
      <c r="J49" s="117">
        <v>1</v>
      </c>
      <c r="K49" s="110">
        <v>3</v>
      </c>
      <c r="L49" s="118">
        <f t="shared" si="5"/>
        <v>1450</v>
      </c>
      <c r="M49" s="118" t="str">
        <f t="shared" si="27"/>
        <v>-</v>
      </c>
      <c r="N49" s="118" t="str">
        <f t="shared" si="20"/>
        <v>-</v>
      </c>
      <c r="O49" s="119">
        <f t="shared" si="23"/>
        <v>4.4000000000000004</v>
      </c>
      <c r="P49" s="235">
        <f t="shared" si="24"/>
        <v>6.9</v>
      </c>
      <c r="Q49" s="263" t="str">
        <f t="shared" si="25"/>
        <v>-</v>
      </c>
      <c r="R49" s="120" t="str">
        <f t="shared" si="25"/>
        <v>-</v>
      </c>
      <c r="S49" s="120" t="str">
        <f t="shared" si="25"/>
        <v>-</v>
      </c>
      <c r="T49" s="120" t="str">
        <f t="shared" si="25"/>
        <v>-</v>
      </c>
      <c r="U49" s="120" t="str">
        <f t="shared" si="25"/>
        <v>-</v>
      </c>
      <c r="V49" s="120">
        <f t="shared" si="25"/>
        <v>6.9</v>
      </c>
      <c r="W49" s="120" t="str">
        <f t="shared" si="25"/>
        <v>-</v>
      </c>
      <c r="X49" s="120" t="str">
        <f t="shared" si="25"/>
        <v>-</v>
      </c>
      <c r="Y49" s="120" t="str">
        <f t="shared" si="25"/>
        <v>-</v>
      </c>
      <c r="Z49" s="120" t="str">
        <f t="shared" si="25"/>
        <v>-</v>
      </c>
      <c r="AA49" s="264" t="str">
        <f t="shared" si="25"/>
        <v>-</v>
      </c>
      <c r="AD49" s="330" t="s">
        <v>118</v>
      </c>
    </row>
    <row r="50" spans="1:30" ht="26.25" outlineLevel="1" x14ac:dyDescent="0.25">
      <c r="A50" s="234"/>
      <c r="B50" s="110"/>
      <c r="C50" s="121">
        <v>3</v>
      </c>
      <c r="D50" s="111"/>
      <c r="E50" s="161"/>
      <c r="F50" s="113">
        <v>2200</v>
      </c>
      <c r="G50" s="162"/>
      <c r="H50" s="115"/>
      <c r="I50" s="116">
        <v>16</v>
      </c>
      <c r="J50" s="117">
        <v>7</v>
      </c>
      <c r="K50" s="110">
        <v>3</v>
      </c>
      <c r="L50" s="118">
        <f t="shared" si="5"/>
        <v>2200</v>
      </c>
      <c r="M50" s="118" t="str">
        <f t="shared" si="27"/>
        <v>-</v>
      </c>
      <c r="N50" s="118" t="str">
        <f t="shared" si="20"/>
        <v>-</v>
      </c>
      <c r="O50" s="119">
        <f t="shared" si="23"/>
        <v>46.2</v>
      </c>
      <c r="P50" s="235">
        <f t="shared" si="24"/>
        <v>72.900000000000006</v>
      </c>
      <c r="Q50" s="263" t="str">
        <f t="shared" si="25"/>
        <v>-</v>
      </c>
      <c r="R50" s="120" t="str">
        <f t="shared" si="25"/>
        <v>-</v>
      </c>
      <c r="S50" s="120" t="str">
        <f t="shared" si="25"/>
        <v>-</v>
      </c>
      <c r="T50" s="120" t="str">
        <f t="shared" si="25"/>
        <v>-</v>
      </c>
      <c r="U50" s="120" t="str">
        <f t="shared" si="25"/>
        <v>-</v>
      </c>
      <c r="V50" s="120">
        <f t="shared" si="25"/>
        <v>72.900000000000006</v>
      </c>
      <c r="W50" s="120" t="str">
        <f t="shared" si="25"/>
        <v>-</v>
      </c>
      <c r="X50" s="120" t="str">
        <f t="shared" si="25"/>
        <v>-</v>
      </c>
      <c r="Y50" s="120" t="str">
        <f t="shared" si="25"/>
        <v>-</v>
      </c>
      <c r="Z50" s="120" t="str">
        <f t="shared" si="25"/>
        <v>-</v>
      </c>
      <c r="AA50" s="264" t="str">
        <f t="shared" si="25"/>
        <v>-</v>
      </c>
      <c r="AD50" s="330" t="s">
        <v>118</v>
      </c>
    </row>
    <row r="51" spans="1:30" ht="26.25" outlineLevel="1" x14ac:dyDescent="0.25">
      <c r="A51" s="234"/>
      <c r="B51" s="110"/>
      <c r="C51" s="121">
        <v>4</v>
      </c>
      <c r="D51" s="111"/>
      <c r="E51" s="161"/>
      <c r="F51" s="113">
        <v>2600</v>
      </c>
      <c r="G51" s="162"/>
      <c r="H51" s="115"/>
      <c r="I51" s="116">
        <v>16</v>
      </c>
      <c r="J51" s="117">
        <v>7</v>
      </c>
      <c r="K51" s="110">
        <v>3</v>
      </c>
      <c r="L51" s="118">
        <f t="shared" si="5"/>
        <v>2600</v>
      </c>
      <c r="M51" s="118" t="str">
        <f t="shared" si="27"/>
        <v>-</v>
      </c>
      <c r="N51" s="118" t="str">
        <f t="shared" si="20"/>
        <v>-</v>
      </c>
      <c r="O51" s="119">
        <f t="shared" si="23"/>
        <v>54.6</v>
      </c>
      <c r="P51" s="235">
        <f t="shared" si="24"/>
        <v>86.2</v>
      </c>
      <c r="Q51" s="263" t="str">
        <f t="shared" si="25"/>
        <v>-</v>
      </c>
      <c r="R51" s="120" t="str">
        <f t="shared" si="25"/>
        <v>-</v>
      </c>
      <c r="S51" s="120" t="str">
        <f t="shared" si="25"/>
        <v>-</v>
      </c>
      <c r="T51" s="120" t="str">
        <f t="shared" si="25"/>
        <v>-</v>
      </c>
      <c r="U51" s="120" t="str">
        <f t="shared" si="25"/>
        <v>-</v>
      </c>
      <c r="V51" s="120">
        <f t="shared" si="25"/>
        <v>86.2</v>
      </c>
      <c r="W51" s="120" t="str">
        <f t="shared" si="25"/>
        <v>-</v>
      </c>
      <c r="X51" s="120" t="str">
        <f t="shared" si="25"/>
        <v>-</v>
      </c>
      <c r="Y51" s="120" t="str">
        <f t="shared" si="25"/>
        <v>-</v>
      </c>
      <c r="Z51" s="120" t="str">
        <f t="shared" si="25"/>
        <v>-</v>
      </c>
      <c r="AA51" s="264" t="str">
        <f t="shared" si="25"/>
        <v>-</v>
      </c>
      <c r="AD51" s="330" t="s">
        <v>118</v>
      </c>
    </row>
    <row r="52" spans="1:30" ht="26.25" outlineLevel="1" x14ac:dyDescent="0.25">
      <c r="A52" s="234"/>
      <c r="B52" s="110"/>
      <c r="C52" s="121">
        <v>5</v>
      </c>
      <c r="D52" s="111">
        <v>600</v>
      </c>
      <c r="E52" s="161"/>
      <c r="F52" s="113">
        <v>8150</v>
      </c>
      <c r="G52" s="162"/>
      <c r="H52" s="115">
        <v>600</v>
      </c>
      <c r="I52" s="116">
        <v>20</v>
      </c>
      <c r="J52" s="117">
        <v>2</v>
      </c>
      <c r="K52" s="110">
        <v>3</v>
      </c>
      <c r="L52" s="118">
        <f t="shared" si="5"/>
        <v>9350</v>
      </c>
      <c r="M52" s="118" t="str">
        <f t="shared" ref="M52:M54" si="28">IF(L52&lt;=Lcay,"-",IF(L52&lt;(2*Lcay-I52*Nc),1,INT(L52/(Lcay-I52*Nc))))</f>
        <v>-</v>
      </c>
      <c r="N52" s="118" t="str">
        <f t="shared" si="20"/>
        <v>-</v>
      </c>
      <c r="O52" s="119">
        <f t="shared" si="23"/>
        <v>56.1</v>
      </c>
      <c r="P52" s="235">
        <f t="shared" si="24"/>
        <v>138.4</v>
      </c>
      <c r="Q52" s="263" t="str">
        <f t="shared" si="25"/>
        <v>-</v>
      </c>
      <c r="R52" s="120" t="str">
        <f t="shared" si="25"/>
        <v>-</v>
      </c>
      <c r="S52" s="120" t="str">
        <f t="shared" si="25"/>
        <v>-</v>
      </c>
      <c r="T52" s="120" t="str">
        <f t="shared" si="25"/>
        <v>-</v>
      </c>
      <c r="U52" s="120" t="str">
        <f t="shared" si="25"/>
        <v>-</v>
      </c>
      <c r="V52" s="120" t="str">
        <f t="shared" si="25"/>
        <v>-</v>
      </c>
      <c r="W52" s="120" t="str">
        <f t="shared" si="25"/>
        <v>-</v>
      </c>
      <c r="X52" s="120">
        <f t="shared" si="25"/>
        <v>138.4</v>
      </c>
      <c r="Y52" s="120" t="str">
        <f t="shared" si="25"/>
        <v>-</v>
      </c>
      <c r="Z52" s="120" t="str">
        <f t="shared" si="25"/>
        <v>-</v>
      </c>
      <c r="AA52" s="264" t="str">
        <f t="shared" si="25"/>
        <v>-</v>
      </c>
      <c r="AD52" s="330" t="s">
        <v>118</v>
      </c>
    </row>
    <row r="53" spans="1:30" ht="26.25" outlineLevel="1" x14ac:dyDescent="0.25">
      <c r="A53" s="234"/>
      <c r="B53" s="110"/>
      <c r="C53" s="121">
        <v>6</v>
      </c>
      <c r="D53" s="111">
        <v>300</v>
      </c>
      <c r="E53" s="161"/>
      <c r="F53" s="113">
        <v>8150</v>
      </c>
      <c r="G53" s="162"/>
      <c r="H53" s="115">
        <v>300</v>
      </c>
      <c r="I53" s="116">
        <v>20</v>
      </c>
      <c r="J53" s="117">
        <v>3</v>
      </c>
      <c r="K53" s="110">
        <v>3</v>
      </c>
      <c r="L53" s="118">
        <f t="shared" si="5"/>
        <v>8750</v>
      </c>
      <c r="M53" s="118" t="str">
        <f t="shared" si="28"/>
        <v>-</v>
      </c>
      <c r="N53" s="118" t="str">
        <f t="shared" si="20"/>
        <v>-</v>
      </c>
      <c r="O53" s="119">
        <f t="shared" si="23"/>
        <v>78.8</v>
      </c>
      <c r="P53" s="235">
        <f t="shared" si="24"/>
        <v>194.3</v>
      </c>
      <c r="Q53" s="263" t="str">
        <f t="shared" si="25"/>
        <v>-</v>
      </c>
      <c r="R53" s="120" t="str">
        <f t="shared" si="25"/>
        <v>-</v>
      </c>
      <c r="S53" s="120" t="str">
        <f t="shared" si="25"/>
        <v>-</v>
      </c>
      <c r="T53" s="120" t="str">
        <f t="shared" si="25"/>
        <v>-</v>
      </c>
      <c r="U53" s="120" t="str">
        <f t="shared" si="25"/>
        <v>-</v>
      </c>
      <c r="V53" s="120" t="str">
        <f t="shared" si="25"/>
        <v>-</v>
      </c>
      <c r="W53" s="120" t="str">
        <f t="shared" si="25"/>
        <v>-</v>
      </c>
      <c r="X53" s="120">
        <f t="shared" si="25"/>
        <v>194.3</v>
      </c>
      <c r="Y53" s="120" t="str">
        <f t="shared" si="25"/>
        <v>-</v>
      </c>
      <c r="Z53" s="120" t="str">
        <f t="shared" si="25"/>
        <v>-</v>
      </c>
      <c r="AA53" s="264" t="str">
        <f t="shared" si="25"/>
        <v>-</v>
      </c>
      <c r="AD53" s="330" t="s">
        <v>118</v>
      </c>
    </row>
    <row r="54" spans="1:30" ht="26.25" outlineLevel="1" x14ac:dyDescent="0.25">
      <c r="A54" s="234"/>
      <c r="B54" s="110"/>
      <c r="C54" s="121">
        <v>7</v>
      </c>
      <c r="D54" s="111">
        <v>600</v>
      </c>
      <c r="E54" s="161"/>
      <c r="F54" s="113">
        <v>2200</v>
      </c>
      <c r="G54" s="162"/>
      <c r="H54" s="115"/>
      <c r="I54" s="116">
        <v>20</v>
      </c>
      <c r="J54" s="117">
        <v>4</v>
      </c>
      <c r="K54" s="110">
        <v>3</v>
      </c>
      <c r="L54" s="118">
        <f t="shared" si="5"/>
        <v>2800</v>
      </c>
      <c r="M54" s="118" t="str">
        <f t="shared" si="28"/>
        <v>-</v>
      </c>
      <c r="N54" s="118" t="str">
        <f t="shared" si="20"/>
        <v>-</v>
      </c>
      <c r="O54" s="119">
        <f t="shared" si="23"/>
        <v>33.6</v>
      </c>
      <c r="P54" s="235">
        <f t="shared" si="24"/>
        <v>82.9</v>
      </c>
      <c r="Q54" s="263" t="str">
        <f t="shared" ref="Q54:AA69" si="29">IF($I54=Q$4,$P54,"-")</f>
        <v>-</v>
      </c>
      <c r="R54" s="120" t="str">
        <f t="shared" si="29"/>
        <v>-</v>
      </c>
      <c r="S54" s="120" t="str">
        <f t="shared" si="29"/>
        <v>-</v>
      </c>
      <c r="T54" s="120" t="str">
        <f t="shared" si="29"/>
        <v>-</v>
      </c>
      <c r="U54" s="120" t="str">
        <f t="shared" si="29"/>
        <v>-</v>
      </c>
      <c r="V54" s="120" t="str">
        <f t="shared" si="29"/>
        <v>-</v>
      </c>
      <c r="W54" s="120" t="str">
        <f t="shared" si="29"/>
        <v>-</v>
      </c>
      <c r="X54" s="120">
        <f t="shared" si="29"/>
        <v>82.9</v>
      </c>
      <c r="Y54" s="120" t="str">
        <f t="shared" si="29"/>
        <v>-</v>
      </c>
      <c r="Z54" s="120" t="str">
        <f t="shared" si="29"/>
        <v>-</v>
      </c>
      <c r="AA54" s="264" t="str">
        <f t="shared" si="29"/>
        <v>-</v>
      </c>
      <c r="AD54" s="330" t="s">
        <v>118</v>
      </c>
    </row>
    <row r="55" spans="1:30" ht="26.25" outlineLevel="1" x14ac:dyDescent="0.25">
      <c r="A55" s="234"/>
      <c r="B55" s="110"/>
      <c r="C55" s="121">
        <v>8</v>
      </c>
      <c r="D55" s="111"/>
      <c r="E55" s="161"/>
      <c r="F55" s="113">
        <v>2600</v>
      </c>
      <c r="G55" s="162"/>
      <c r="H55" s="115"/>
      <c r="I55" s="116">
        <v>20</v>
      </c>
      <c r="J55" s="117">
        <v>2</v>
      </c>
      <c r="K55" s="110">
        <v>3</v>
      </c>
      <c r="L55" s="118">
        <f t="shared" si="5"/>
        <v>2600</v>
      </c>
      <c r="M55" s="118" t="str">
        <f t="shared" ref="M55:M56" si="30">IF(L55&lt;=Lcay,"-",IF(L55&lt;(2*Lcay-I55*Nc),1,INT(L55/(Lcay-I55*Nc))))</f>
        <v>-</v>
      </c>
      <c r="N55" s="118" t="str">
        <f t="shared" si="20"/>
        <v>-</v>
      </c>
      <c r="O55" s="119">
        <f t="shared" si="23"/>
        <v>15.6</v>
      </c>
      <c r="P55" s="235">
        <f t="shared" si="24"/>
        <v>38.5</v>
      </c>
      <c r="Q55" s="263" t="str">
        <f t="shared" si="29"/>
        <v>-</v>
      </c>
      <c r="R55" s="120" t="str">
        <f t="shared" si="29"/>
        <v>-</v>
      </c>
      <c r="S55" s="120" t="str">
        <f t="shared" si="29"/>
        <v>-</v>
      </c>
      <c r="T55" s="120" t="str">
        <f t="shared" si="29"/>
        <v>-</v>
      </c>
      <c r="U55" s="120" t="str">
        <f t="shared" si="29"/>
        <v>-</v>
      </c>
      <c r="V55" s="120" t="str">
        <f t="shared" si="29"/>
        <v>-</v>
      </c>
      <c r="W55" s="120" t="str">
        <f t="shared" si="29"/>
        <v>-</v>
      </c>
      <c r="X55" s="120">
        <f t="shared" si="29"/>
        <v>38.5</v>
      </c>
      <c r="Y55" s="120" t="str">
        <f t="shared" si="29"/>
        <v>-</v>
      </c>
      <c r="Z55" s="120" t="str">
        <f t="shared" si="29"/>
        <v>-</v>
      </c>
      <c r="AA55" s="264" t="str">
        <f t="shared" si="29"/>
        <v>-</v>
      </c>
      <c r="AD55" s="330" t="s">
        <v>118</v>
      </c>
    </row>
    <row r="56" spans="1:30" ht="26.25" outlineLevel="1" x14ac:dyDescent="0.25">
      <c r="A56" s="234"/>
      <c r="B56" s="110"/>
      <c r="C56" s="121">
        <v>9</v>
      </c>
      <c r="D56" s="111"/>
      <c r="E56" s="161"/>
      <c r="F56" s="113">
        <v>5600</v>
      </c>
      <c r="G56" s="162"/>
      <c r="H56" s="115"/>
      <c r="I56" s="116">
        <v>20</v>
      </c>
      <c r="J56" s="117">
        <v>2</v>
      </c>
      <c r="K56" s="110">
        <v>3</v>
      </c>
      <c r="L56" s="118">
        <f t="shared" si="5"/>
        <v>5600</v>
      </c>
      <c r="M56" s="118" t="str">
        <f t="shared" si="30"/>
        <v>-</v>
      </c>
      <c r="N56" s="118" t="str">
        <f t="shared" si="20"/>
        <v>-</v>
      </c>
      <c r="O56" s="119">
        <f t="shared" si="23"/>
        <v>33.6</v>
      </c>
      <c r="P56" s="235">
        <f t="shared" si="24"/>
        <v>82.9</v>
      </c>
      <c r="Q56" s="263" t="str">
        <f t="shared" si="29"/>
        <v>-</v>
      </c>
      <c r="R56" s="120" t="str">
        <f t="shared" si="29"/>
        <v>-</v>
      </c>
      <c r="S56" s="120" t="str">
        <f t="shared" si="29"/>
        <v>-</v>
      </c>
      <c r="T56" s="120" t="str">
        <f t="shared" si="29"/>
        <v>-</v>
      </c>
      <c r="U56" s="120" t="str">
        <f t="shared" si="29"/>
        <v>-</v>
      </c>
      <c r="V56" s="120" t="str">
        <f t="shared" si="29"/>
        <v>-</v>
      </c>
      <c r="W56" s="120" t="str">
        <f t="shared" si="29"/>
        <v>-</v>
      </c>
      <c r="X56" s="120">
        <f t="shared" si="29"/>
        <v>82.9</v>
      </c>
      <c r="Y56" s="120" t="str">
        <f t="shared" si="29"/>
        <v>-</v>
      </c>
      <c r="Z56" s="120" t="str">
        <f t="shared" si="29"/>
        <v>-</v>
      </c>
      <c r="AA56" s="264" t="str">
        <f t="shared" si="29"/>
        <v>-</v>
      </c>
      <c r="AD56" s="330" t="s">
        <v>118</v>
      </c>
    </row>
    <row r="57" spans="1:30" ht="26.25" outlineLevel="1" x14ac:dyDescent="0.25">
      <c r="A57" s="234"/>
      <c r="B57" s="110" t="s">
        <v>20</v>
      </c>
      <c r="C57" s="121" t="s">
        <v>21</v>
      </c>
      <c r="D57" s="111"/>
      <c r="E57" s="161">
        <v>150</v>
      </c>
      <c r="F57" s="113">
        <v>250</v>
      </c>
      <c r="G57" s="162">
        <v>50</v>
      </c>
      <c r="H57" s="115"/>
      <c r="I57" s="116">
        <v>6</v>
      </c>
      <c r="J57" s="117">
        <f>5+9+11*16+10*8+4+10+2+10-7/0.15</f>
        <v>249.33333333333331</v>
      </c>
      <c r="K57" s="110">
        <v>3</v>
      </c>
      <c r="L57" s="118">
        <f t="shared" si="5"/>
        <v>900</v>
      </c>
      <c r="M57" s="118" t="str">
        <f t="shared" ref="M57" si="31">IF(L57&lt;=Lcay,"-",IF(L57&lt;(2*Lcay-I57*Nc),1,INT(L57/(Lcay-I57*Nc))))</f>
        <v>-</v>
      </c>
      <c r="N57" s="118" t="str">
        <f t="shared" si="20"/>
        <v>-</v>
      </c>
      <c r="O57" s="119">
        <f t="shared" si="23"/>
        <v>673.2</v>
      </c>
      <c r="P57" s="235">
        <f t="shared" si="24"/>
        <v>149.4</v>
      </c>
      <c r="Q57" s="263">
        <f t="shared" si="29"/>
        <v>149.4</v>
      </c>
      <c r="R57" s="120" t="str">
        <f t="shared" si="29"/>
        <v>-</v>
      </c>
      <c r="S57" s="120" t="str">
        <f t="shared" si="29"/>
        <v>-</v>
      </c>
      <c r="T57" s="120" t="str">
        <f t="shared" si="29"/>
        <v>-</v>
      </c>
      <c r="U57" s="120" t="str">
        <f t="shared" si="29"/>
        <v>-</v>
      </c>
      <c r="V57" s="120" t="str">
        <f t="shared" si="29"/>
        <v>-</v>
      </c>
      <c r="W57" s="120" t="str">
        <f t="shared" si="29"/>
        <v>-</v>
      </c>
      <c r="X57" s="120" t="str">
        <f t="shared" si="29"/>
        <v>-</v>
      </c>
      <c r="Y57" s="120" t="str">
        <f t="shared" si="29"/>
        <v>-</v>
      </c>
      <c r="Z57" s="120" t="str">
        <f t="shared" si="29"/>
        <v>-</v>
      </c>
      <c r="AA57" s="264" t="str">
        <f t="shared" si="29"/>
        <v>-</v>
      </c>
      <c r="AD57" s="330" t="s">
        <v>118</v>
      </c>
    </row>
    <row r="58" spans="1:30" ht="26.25" outlineLevel="1" x14ac:dyDescent="0.25">
      <c r="A58" s="234"/>
      <c r="B58" s="110" t="s">
        <v>20</v>
      </c>
      <c r="C58" s="121" t="s">
        <v>97</v>
      </c>
      <c r="D58" s="111"/>
      <c r="E58" s="161">
        <v>150</v>
      </c>
      <c r="F58" s="113">
        <v>500</v>
      </c>
      <c r="G58" s="162">
        <v>50</v>
      </c>
      <c r="H58" s="115"/>
      <c r="I58" s="116">
        <v>6</v>
      </c>
      <c r="J58" s="117">
        <f>8/0.125</f>
        <v>64</v>
      </c>
      <c r="K58" s="110">
        <v>3</v>
      </c>
      <c r="L58" s="118">
        <f t="shared" si="5"/>
        <v>1400</v>
      </c>
      <c r="M58" s="118" t="str">
        <f t="shared" si="27"/>
        <v>-</v>
      </c>
      <c r="N58" s="118" t="str">
        <f t="shared" si="20"/>
        <v>-</v>
      </c>
      <c r="O58" s="119">
        <f t="shared" si="23"/>
        <v>268.8</v>
      </c>
      <c r="P58" s="235">
        <f t="shared" si="24"/>
        <v>59.7</v>
      </c>
      <c r="Q58" s="263">
        <f t="shared" si="29"/>
        <v>59.7</v>
      </c>
      <c r="R58" s="120" t="str">
        <f t="shared" si="29"/>
        <v>-</v>
      </c>
      <c r="S58" s="120" t="str">
        <f t="shared" si="29"/>
        <v>-</v>
      </c>
      <c r="T58" s="120" t="str">
        <f t="shared" si="29"/>
        <v>-</v>
      </c>
      <c r="U58" s="120" t="str">
        <f t="shared" si="29"/>
        <v>-</v>
      </c>
      <c r="V58" s="120" t="str">
        <f t="shared" si="29"/>
        <v>-</v>
      </c>
      <c r="W58" s="120" t="str">
        <f t="shared" si="29"/>
        <v>-</v>
      </c>
      <c r="X58" s="120" t="str">
        <f t="shared" si="29"/>
        <v>-</v>
      </c>
      <c r="Y58" s="120" t="str">
        <f t="shared" si="29"/>
        <v>-</v>
      </c>
      <c r="Z58" s="120" t="str">
        <f t="shared" si="29"/>
        <v>-</v>
      </c>
      <c r="AA58" s="264" t="str">
        <f t="shared" si="29"/>
        <v>-</v>
      </c>
      <c r="AD58" s="330" t="s">
        <v>118</v>
      </c>
    </row>
    <row r="59" spans="1:30" ht="26.25" outlineLevel="1" x14ac:dyDescent="0.25">
      <c r="A59" s="236"/>
      <c r="B59" s="124" t="s">
        <v>94</v>
      </c>
      <c r="C59" s="125">
        <v>1</v>
      </c>
      <c r="D59" s="98">
        <v>250</v>
      </c>
      <c r="E59" s="99"/>
      <c r="F59" s="127">
        <f>2100+4000*8+2300</f>
        <v>36400</v>
      </c>
      <c r="G59" s="99"/>
      <c r="H59" s="128">
        <v>250</v>
      </c>
      <c r="I59" s="129">
        <v>16</v>
      </c>
      <c r="J59" s="130">
        <v>2</v>
      </c>
      <c r="K59" s="131">
        <v>2</v>
      </c>
      <c r="L59" s="160">
        <f t="shared" si="5"/>
        <v>36900</v>
      </c>
      <c r="M59" s="132">
        <f t="shared" ref="M59:M70" si="32">IF(L59&lt;=Lcay,"-",IF(L59&lt;(2*Lcay-I59*Nc),1,INT(L59/(Lcay-I59*Nc))))</f>
        <v>3</v>
      </c>
      <c r="N59" s="132">
        <f t="shared" si="20"/>
        <v>480</v>
      </c>
      <c r="O59" s="133">
        <f t="shared" si="23"/>
        <v>153.4</v>
      </c>
      <c r="P59" s="237">
        <f t="shared" si="24"/>
        <v>242.1</v>
      </c>
      <c r="Q59" s="265" t="str">
        <f t="shared" si="29"/>
        <v>-</v>
      </c>
      <c r="R59" s="134" t="str">
        <f t="shared" si="29"/>
        <v>-</v>
      </c>
      <c r="S59" s="134" t="str">
        <f t="shared" si="29"/>
        <v>-</v>
      </c>
      <c r="T59" s="134" t="str">
        <f t="shared" si="29"/>
        <v>-</v>
      </c>
      <c r="U59" s="134" t="str">
        <f t="shared" si="29"/>
        <v>-</v>
      </c>
      <c r="V59" s="134">
        <f t="shared" si="29"/>
        <v>242.1</v>
      </c>
      <c r="W59" s="134" t="str">
        <f t="shared" si="29"/>
        <v>-</v>
      </c>
      <c r="X59" s="134" t="str">
        <f t="shared" si="29"/>
        <v>-</v>
      </c>
      <c r="Y59" s="134" t="str">
        <f t="shared" si="29"/>
        <v>-</v>
      </c>
      <c r="Z59" s="134" t="str">
        <f t="shared" si="29"/>
        <v>-</v>
      </c>
      <c r="AA59" s="266" t="str">
        <f t="shared" si="29"/>
        <v>-</v>
      </c>
      <c r="AD59" s="330" t="s">
        <v>118</v>
      </c>
    </row>
    <row r="60" spans="1:30" ht="26.25" outlineLevel="1" x14ac:dyDescent="0.25">
      <c r="A60" s="234"/>
      <c r="B60" s="110"/>
      <c r="C60" s="121">
        <v>2</v>
      </c>
      <c r="D60" s="111">
        <v>200</v>
      </c>
      <c r="E60" s="161"/>
      <c r="F60" s="113">
        <f>F59</f>
        <v>36400</v>
      </c>
      <c r="G60" s="162"/>
      <c r="H60" s="115">
        <v>200</v>
      </c>
      <c r="I60" s="116">
        <v>16</v>
      </c>
      <c r="J60" s="117">
        <v>2</v>
      </c>
      <c r="K60" s="110">
        <v>2</v>
      </c>
      <c r="L60" s="118">
        <f t="shared" si="5"/>
        <v>36800</v>
      </c>
      <c r="M60" s="118">
        <f t="shared" si="32"/>
        <v>3</v>
      </c>
      <c r="N60" s="118">
        <f t="shared" si="20"/>
        <v>480</v>
      </c>
      <c r="O60" s="119">
        <f t="shared" si="23"/>
        <v>153</v>
      </c>
      <c r="P60" s="235">
        <f t="shared" si="24"/>
        <v>241.5</v>
      </c>
      <c r="Q60" s="263" t="str">
        <f t="shared" si="29"/>
        <v>-</v>
      </c>
      <c r="R60" s="120" t="str">
        <f t="shared" si="29"/>
        <v>-</v>
      </c>
      <c r="S60" s="120" t="str">
        <f t="shared" si="29"/>
        <v>-</v>
      </c>
      <c r="T60" s="120" t="str">
        <f t="shared" si="29"/>
        <v>-</v>
      </c>
      <c r="U60" s="120" t="str">
        <f t="shared" si="29"/>
        <v>-</v>
      </c>
      <c r="V60" s="120">
        <f t="shared" si="29"/>
        <v>241.5</v>
      </c>
      <c r="W60" s="120" t="str">
        <f t="shared" si="29"/>
        <v>-</v>
      </c>
      <c r="X60" s="120" t="str">
        <f t="shared" si="29"/>
        <v>-</v>
      </c>
      <c r="Y60" s="120" t="str">
        <f t="shared" si="29"/>
        <v>-</v>
      </c>
      <c r="Z60" s="120" t="str">
        <f t="shared" si="29"/>
        <v>-</v>
      </c>
      <c r="AA60" s="264" t="str">
        <f t="shared" si="29"/>
        <v>-</v>
      </c>
      <c r="AD60" s="330" t="s">
        <v>118</v>
      </c>
    </row>
    <row r="61" spans="1:30" ht="26.25" outlineLevel="1" x14ac:dyDescent="0.25">
      <c r="A61" s="234"/>
      <c r="B61" s="110"/>
      <c r="C61" s="121">
        <v>3</v>
      </c>
      <c r="D61" s="111"/>
      <c r="E61" s="161"/>
      <c r="F61" s="113">
        <v>2200</v>
      </c>
      <c r="G61" s="162"/>
      <c r="H61" s="115"/>
      <c r="I61" s="116">
        <v>16</v>
      </c>
      <c r="J61" s="117">
        <v>8</v>
      </c>
      <c r="K61" s="110">
        <v>2</v>
      </c>
      <c r="L61" s="118">
        <f t="shared" si="5"/>
        <v>2200</v>
      </c>
      <c r="M61" s="118" t="str">
        <f t="shared" si="32"/>
        <v>-</v>
      </c>
      <c r="N61" s="118" t="str">
        <f t="shared" si="20"/>
        <v>-</v>
      </c>
      <c r="O61" s="119">
        <f t="shared" si="23"/>
        <v>35.200000000000003</v>
      </c>
      <c r="P61" s="235">
        <f t="shared" si="24"/>
        <v>55.6</v>
      </c>
      <c r="Q61" s="263" t="str">
        <f t="shared" si="29"/>
        <v>-</v>
      </c>
      <c r="R61" s="120" t="str">
        <f t="shared" si="29"/>
        <v>-</v>
      </c>
      <c r="S61" s="120" t="str">
        <f t="shared" si="29"/>
        <v>-</v>
      </c>
      <c r="T61" s="120" t="str">
        <f t="shared" si="29"/>
        <v>-</v>
      </c>
      <c r="U61" s="120" t="str">
        <f t="shared" si="29"/>
        <v>-</v>
      </c>
      <c r="V61" s="120">
        <f t="shared" si="29"/>
        <v>55.6</v>
      </c>
      <c r="W61" s="120" t="str">
        <f t="shared" si="29"/>
        <v>-</v>
      </c>
      <c r="X61" s="120" t="str">
        <f t="shared" si="29"/>
        <v>-</v>
      </c>
      <c r="Y61" s="120" t="str">
        <f t="shared" si="29"/>
        <v>-</v>
      </c>
      <c r="Z61" s="120" t="str">
        <f t="shared" si="29"/>
        <v>-</v>
      </c>
      <c r="AA61" s="264" t="str">
        <f t="shared" si="29"/>
        <v>-</v>
      </c>
      <c r="AD61" s="330" t="s">
        <v>118</v>
      </c>
    </row>
    <row r="62" spans="1:30" ht="26.25" outlineLevel="1" x14ac:dyDescent="0.25">
      <c r="A62" s="234"/>
      <c r="B62" s="110"/>
      <c r="C62" s="121" t="s">
        <v>22</v>
      </c>
      <c r="D62" s="111">
        <v>250</v>
      </c>
      <c r="E62" s="161"/>
      <c r="F62" s="113">
        <f>2000+200+1000</f>
        <v>3200</v>
      </c>
      <c r="G62" s="162"/>
      <c r="H62" s="115"/>
      <c r="I62" s="116">
        <v>16</v>
      </c>
      <c r="J62" s="117">
        <v>1</v>
      </c>
      <c r="K62" s="110">
        <v>2</v>
      </c>
      <c r="L62" s="118">
        <f t="shared" si="5"/>
        <v>3450</v>
      </c>
      <c r="M62" s="118" t="str">
        <f t="shared" si="32"/>
        <v>-</v>
      </c>
      <c r="N62" s="118" t="str">
        <f t="shared" si="20"/>
        <v>-</v>
      </c>
      <c r="O62" s="119">
        <f t="shared" si="23"/>
        <v>6.9</v>
      </c>
      <c r="P62" s="235">
        <f t="shared" si="24"/>
        <v>10.9</v>
      </c>
      <c r="Q62" s="263" t="str">
        <f t="shared" si="29"/>
        <v>-</v>
      </c>
      <c r="R62" s="120" t="str">
        <f t="shared" si="29"/>
        <v>-</v>
      </c>
      <c r="S62" s="120" t="str">
        <f t="shared" si="29"/>
        <v>-</v>
      </c>
      <c r="T62" s="120" t="str">
        <f t="shared" si="29"/>
        <v>-</v>
      </c>
      <c r="U62" s="120" t="str">
        <f t="shared" si="29"/>
        <v>-</v>
      </c>
      <c r="V62" s="120">
        <f t="shared" si="29"/>
        <v>10.9</v>
      </c>
      <c r="W62" s="120" t="str">
        <f t="shared" si="29"/>
        <v>-</v>
      </c>
      <c r="X62" s="120" t="str">
        <f t="shared" si="29"/>
        <v>-</v>
      </c>
      <c r="Y62" s="120" t="str">
        <f t="shared" si="29"/>
        <v>-</v>
      </c>
      <c r="Z62" s="120" t="str">
        <f t="shared" si="29"/>
        <v>-</v>
      </c>
      <c r="AA62" s="264" t="str">
        <f t="shared" si="29"/>
        <v>-</v>
      </c>
      <c r="AD62" s="330" t="s">
        <v>118</v>
      </c>
    </row>
    <row r="63" spans="1:30" ht="26.25" outlineLevel="1" x14ac:dyDescent="0.25">
      <c r="A63" s="234"/>
      <c r="B63" s="110"/>
      <c r="C63" s="121">
        <v>4</v>
      </c>
      <c r="D63" s="111"/>
      <c r="E63" s="161"/>
      <c r="F63" s="113">
        <f>4200-800*2</f>
        <v>2600</v>
      </c>
      <c r="G63" s="162"/>
      <c r="H63" s="115"/>
      <c r="I63" s="116">
        <v>16</v>
      </c>
      <c r="J63" s="117">
        <v>8</v>
      </c>
      <c r="K63" s="110">
        <v>2</v>
      </c>
      <c r="L63" s="118">
        <f t="shared" si="5"/>
        <v>2600</v>
      </c>
      <c r="M63" s="118" t="str">
        <f t="shared" si="32"/>
        <v>-</v>
      </c>
      <c r="N63" s="118" t="str">
        <f t="shared" si="20"/>
        <v>-</v>
      </c>
      <c r="O63" s="119">
        <f t="shared" si="23"/>
        <v>41.6</v>
      </c>
      <c r="P63" s="235">
        <f t="shared" si="24"/>
        <v>65.7</v>
      </c>
      <c r="Q63" s="263" t="str">
        <f t="shared" si="29"/>
        <v>-</v>
      </c>
      <c r="R63" s="120" t="str">
        <f t="shared" si="29"/>
        <v>-</v>
      </c>
      <c r="S63" s="120" t="str">
        <f t="shared" si="29"/>
        <v>-</v>
      </c>
      <c r="T63" s="120" t="str">
        <f t="shared" si="29"/>
        <v>-</v>
      </c>
      <c r="U63" s="120" t="str">
        <f t="shared" si="29"/>
        <v>-</v>
      </c>
      <c r="V63" s="120">
        <f t="shared" si="29"/>
        <v>65.7</v>
      </c>
      <c r="W63" s="120" t="str">
        <f t="shared" si="29"/>
        <v>-</v>
      </c>
      <c r="X63" s="120" t="str">
        <f t="shared" si="29"/>
        <v>-</v>
      </c>
      <c r="Y63" s="120" t="str">
        <f t="shared" si="29"/>
        <v>-</v>
      </c>
      <c r="Z63" s="120" t="str">
        <f t="shared" si="29"/>
        <v>-</v>
      </c>
      <c r="AA63" s="264" t="str">
        <f t="shared" si="29"/>
        <v>-</v>
      </c>
      <c r="AD63" s="330" t="s">
        <v>118</v>
      </c>
    </row>
    <row r="64" spans="1:30" ht="26.25" outlineLevel="1" x14ac:dyDescent="0.25">
      <c r="A64" s="234"/>
      <c r="B64" s="110"/>
      <c r="C64" s="121">
        <v>5</v>
      </c>
      <c r="D64" s="111">
        <v>250</v>
      </c>
      <c r="E64" s="161"/>
      <c r="F64" s="113">
        <f>2000+16*45</f>
        <v>2720</v>
      </c>
      <c r="G64" s="162"/>
      <c r="H64" s="115"/>
      <c r="I64" s="116">
        <v>16</v>
      </c>
      <c r="J64" s="117">
        <v>2</v>
      </c>
      <c r="K64" s="110">
        <v>2</v>
      </c>
      <c r="L64" s="118">
        <f t="shared" si="5"/>
        <v>2970</v>
      </c>
      <c r="M64" s="118" t="str">
        <f t="shared" si="32"/>
        <v>-</v>
      </c>
      <c r="N64" s="118" t="str">
        <f t="shared" si="20"/>
        <v>-</v>
      </c>
      <c r="O64" s="119">
        <f t="shared" si="23"/>
        <v>11.9</v>
      </c>
      <c r="P64" s="235">
        <f t="shared" si="24"/>
        <v>18.8</v>
      </c>
      <c r="Q64" s="263" t="str">
        <f t="shared" si="29"/>
        <v>-</v>
      </c>
      <c r="R64" s="120" t="str">
        <f t="shared" si="29"/>
        <v>-</v>
      </c>
      <c r="S64" s="120" t="str">
        <f t="shared" si="29"/>
        <v>-</v>
      </c>
      <c r="T64" s="120" t="str">
        <f t="shared" si="29"/>
        <v>-</v>
      </c>
      <c r="U64" s="120" t="str">
        <f t="shared" si="29"/>
        <v>-</v>
      </c>
      <c r="V64" s="120">
        <f t="shared" si="29"/>
        <v>18.8</v>
      </c>
      <c r="W64" s="120" t="str">
        <f t="shared" si="29"/>
        <v>-</v>
      </c>
      <c r="X64" s="120" t="str">
        <f t="shared" si="29"/>
        <v>-</v>
      </c>
      <c r="Y64" s="120" t="str">
        <f t="shared" si="29"/>
        <v>-</v>
      </c>
      <c r="Z64" s="120" t="str">
        <f t="shared" si="29"/>
        <v>-</v>
      </c>
      <c r="AA64" s="264" t="str">
        <f t="shared" si="29"/>
        <v>-</v>
      </c>
      <c r="AD64" s="330" t="s">
        <v>118</v>
      </c>
    </row>
    <row r="65" spans="1:30" ht="26.25" outlineLevel="1" x14ac:dyDescent="0.25">
      <c r="A65" s="238"/>
      <c r="B65" s="135" t="s">
        <v>20</v>
      </c>
      <c r="C65" s="136" t="s">
        <v>21</v>
      </c>
      <c r="D65" s="137"/>
      <c r="E65" s="138">
        <v>150</v>
      </c>
      <c r="F65" s="163">
        <v>250</v>
      </c>
      <c r="G65" s="140">
        <v>50</v>
      </c>
      <c r="H65" s="141"/>
      <c r="I65" s="142">
        <v>6</v>
      </c>
      <c r="J65" s="143">
        <f>6+9+11*16+10*8+10+6</f>
        <v>287</v>
      </c>
      <c r="K65" s="135">
        <v>2</v>
      </c>
      <c r="L65" s="144">
        <f t="shared" si="5"/>
        <v>900</v>
      </c>
      <c r="M65" s="144" t="str">
        <f t="shared" si="32"/>
        <v>-</v>
      </c>
      <c r="N65" s="144" t="str">
        <f t="shared" si="20"/>
        <v>-</v>
      </c>
      <c r="O65" s="145">
        <f t="shared" si="23"/>
        <v>516.6</v>
      </c>
      <c r="P65" s="239">
        <f t="shared" si="24"/>
        <v>114.7</v>
      </c>
      <c r="Q65" s="267">
        <f t="shared" si="29"/>
        <v>114.7</v>
      </c>
      <c r="R65" s="146" t="str">
        <f t="shared" si="29"/>
        <v>-</v>
      </c>
      <c r="S65" s="146" t="str">
        <f t="shared" si="29"/>
        <v>-</v>
      </c>
      <c r="T65" s="146" t="str">
        <f t="shared" si="29"/>
        <v>-</v>
      </c>
      <c r="U65" s="146" t="str">
        <f t="shared" si="29"/>
        <v>-</v>
      </c>
      <c r="V65" s="146" t="str">
        <f t="shared" si="29"/>
        <v>-</v>
      </c>
      <c r="W65" s="146" t="str">
        <f t="shared" si="29"/>
        <v>-</v>
      </c>
      <c r="X65" s="146" t="str">
        <f t="shared" si="29"/>
        <v>-</v>
      </c>
      <c r="Y65" s="146" t="str">
        <f t="shared" si="29"/>
        <v>-</v>
      </c>
      <c r="Z65" s="146" t="str">
        <f t="shared" si="29"/>
        <v>-</v>
      </c>
      <c r="AA65" s="268" t="str">
        <f t="shared" si="29"/>
        <v>-</v>
      </c>
      <c r="AD65" s="330" t="s">
        <v>118</v>
      </c>
    </row>
    <row r="66" spans="1:30" ht="26.25" outlineLevel="1" x14ac:dyDescent="0.25">
      <c r="A66" s="236"/>
      <c r="B66" s="124" t="s">
        <v>33</v>
      </c>
      <c r="C66" s="125">
        <v>1</v>
      </c>
      <c r="D66" s="98">
        <v>250</v>
      </c>
      <c r="E66" s="99"/>
      <c r="F66" s="127">
        <f>4000*5+200</f>
        <v>20200</v>
      </c>
      <c r="G66" s="99"/>
      <c r="H66" s="128">
        <v>250</v>
      </c>
      <c r="I66" s="129">
        <v>16</v>
      </c>
      <c r="J66" s="130">
        <v>2</v>
      </c>
      <c r="K66" s="131">
        <v>9</v>
      </c>
      <c r="L66" s="160">
        <f t="shared" si="5"/>
        <v>20700</v>
      </c>
      <c r="M66" s="132">
        <f t="shared" si="32"/>
        <v>1</v>
      </c>
      <c r="N66" s="132">
        <f t="shared" si="20"/>
        <v>480</v>
      </c>
      <c r="O66" s="133">
        <f t="shared" si="23"/>
        <v>381.2</v>
      </c>
      <c r="P66" s="237">
        <f t="shared" si="24"/>
        <v>601.70000000000005</v>
      </c>
      <c r="Q66" s="265" t="str">
        <f t="shared" si="29"/>
        <v>-</v>
      </c>
      <c r="R66" s="134" t="str">
        <f t="shared" si="29"/>
        <v>-</v>
      </c>
      <c r="S66" s="134" t="str">
        <f t="shared" si="29"/>
        <v>-</v>
      </c>
      <c r="T66" s="134" t="str">
        <f t="shared" si="29"/>
        <v>-</v>
      </c>
      <c r="U66" s="134" t="str">
        <f t="shared" si="29"/>
        <v>-</v>
      </c>
      <c r="V66" s="134">
        <f t="shared" si="29"/>
        <v>601.70000000000005</v>
      </c>
      <c r="W66" s="134" t="str">
        <f t="shared" si="29"/>
        <v>-</v>
      </c>
      <c r="X66" s="134" t="str">
        <f t="shared" si="29"/>
        <v>-</v>
      </c>
      <c r="Y66" s="134" t="str">
        <f t="shared" si="29"/>
        <v>-</v>
      </c>
      <c r="Z66" s="134" t="str">
        <f t="shared" si="29"/>
        <v>-</v>
      </c>
      <c r="AA66" s="266" t="str">
        <f t="shared" si="29"/>
        <v>-</v>
      </c>
      <c r="AD66" s="330" t="s">
        <v>118</v>
      </c>
    </row>
    <row r="67" spans="1:30" ht="26.25" outlineLevel="1" x14ac:dyDescent="0.25">
      <c r="A67" s="234"/>
      <c r="B67" s="110"/>
      <c r="C67" s="121">
        <v>2</v>
      </c>
      <c r="D67" s="111">
        <v>200</v>
      </c>
      <c r="E67" s="161"/>
      <c r="F67" s="113">
        <f>F66</f>
        <v>20200</v>
      </c>
      <c r="G67" s="162"/>
      <c r="H67" s="115">
        <v>200</v>
      </c>
      <c r="I67" s="116">
        <v>16</v>
      </c>
      <c r="J67" s="117">
        <v>2</v>
      </c>
      <c r="K67" s="110">
        <v>9</v>
      </c>
      <c r="L67" s="118">
        <f t="shared" si="5"/>
        <v>20600</v>
      </c>
      <c r="M67" s="118">
        <f t="shared" si="32"/>
        <v>1</v>
      </c>
      <c r="N67" s="118">
        <f t="shared" si="20"/>
        <v>480</v>
      </c>
      <c r="O67" s="119">
        <f t="shared" si="23"/>
        <v>379.4</v>
      </c>
      <c r="P67" s="235">
        <f t="shared" si="24"/>
        <v>598.79999999999995</v>
      </c>
      <c r="Q67" s="263" t="str">
        <f t="shared" si="29"/>
        <v>-</v>
      </c>
      <c r="R67" s="120" t="str">
        <f t="shared" si="29"/>
        <v>-</v>
      </c>
      <c r="S67" s="120" t="str">
        <f t="shared" si="29"/>
        <v>-</v>
      </c>
      <c r="T67" s="120" t="str">
        <f t="shared" si="29"/>
        <v>-</v>
      </c>
      <c r="U67" s="120" t="str">
        <f t="shared" si="29"/>
        <v>-</v>
      </c>
      <c r="V67" s="120">
        <f t="shared" si="29"/>
        <v>598.79999999999995</v>
      </c>
      <c r="W67" s="120" t="str">
        <f t="shared" si="29"/>
        <v>-</v>
      </c>
      <c r="X67" s="120" t="str">
        <f t="shared" si="29"/>
        <v>-</v>
      </c>
      <c r="Y67" s="120" t="str">
        <f t="shared" si="29"/>
        <v>-</v>
      </c>
      <c r="Z67" s="120" t="str">
        <f t="shared" si="29"/>
        <v>-</v>
      </c>
      <c r="AA67" s="264" t="str">
        <f t="shared" si="29"/>
        <v>-</v>
      </c>
      <c r="AD67" s="330" t="s">
        <v>118</v>
      </c>
    </row>
    <row r="68" spans="1:30" ht="26.25" outlineLevel="1" x14ac:dyDescent="0.25">
      <c r="A68" s="234"/>
      <c r="B68" s="110"/>
      <c r="C68" s="121" t="s">
        <v>22</v>
      </c>
      <c r="D68" s="111">
        <v>250</v>
      </c>
      <c r="E68" s="161"/>
      <c r="F68" s="113">
        <v>1200</v>
      </c>
      <c r="G68" s="162"/>
      <c r="H68" s="115"/>
      <c r="I68" s="116">
        <v>16</v>
      </c>
      <c r="J68" s="117">
        <v>2</v>
      </c>
      <c r="K68" s="110">
        <v>9</v>
      </c>
      <c r="L68" s="118">
        <f t="shared" si="5"/>
        <v>1450</v>
      </c>
      <c r="M68" s="118" t="str">
        <f t="shared" si="32"/>
        <v>-</v>
      </c>
      <c r="N68" s="118" t="str">
        <f t="shared" si="20"/>
        <v>-</v>
      </c>
      <c r="O68" s="119">
        <f t="shared" si="23"/>
        <v>26.1</v>
      </c>
      <c r="P68" s="235">
        <f t="shared" si="24"/>
        <v>41.2</v>
      </c>
      <c r="Q68" s="263" t="str">
        <f t="shared" si="29"/>
        <v>-</v>
      </c>
      <c r="R68" s="120" t="str">
        <f t="shared" si="29"/>
        <v>-</v>
      </c>
      <c r="S68" s="120" t="str">
        <f t="shared" si="29"/>
        <v>-</v>
      </c>
      <c r="T68" s="120" t="str">
        <f t="shared" si="29"/>
        <v>-</v>
      </c>
      <c r="U68" s="120" t="str">
        <f t="shared" si="29"/>
        <v>-</v>
      </c>
      <c r="V68" s="120">
        <f t="shared" si="29"/>
        <v>41.2</v>
      </c>
      <c r="W68" s="120" t="str">
        <f t="shared" si="29"/>
        <v>-</v>
      </c>
      <c r="X68" s="120" t="str">
        <f t="shared" si="29"/>
        <v>-</v>
      </c>
      <c r="Y68" s="120" t="str">
        <f t="shared" si="29"/>
        <v>-</v>
      </c>
      <c r="Z68" s="120" t="str">
        <f t="shared" si="29"/>
        <v>-</v>
      </c>
      <c r="AA68" s="264" t="str">
        <f t="shared" si="29"/>
        <v>-</v>
      </c>
      <c r="AD68" s="330" t="s">
        <v>118</v>
      </c>
    </row>
    <row r="69" spans="1:30" ht="26.25" outlineLevel="1" x14ac:dyDescent="0.25">
      <c r="A69" s="234"/>
      <c r="B69" s="110"/>
      <c r="C69" s="121">
        <v>3</v>
      </c>
      <c r="D69" s="111"/>
      <c r="E69" s="161"/>
      <c r="F69" s="113">
        <v>2200</v>
      </c>
      <c r="G69" s="162"/>
      <c r="H69" s="115"/>
      <c r="I69" s="116">
        <v>16</v>
      </c>
      <c r="J69" s="117">
        <v>4</v>
      </c>
      <c r="K69" s="110">
        <v>9</v>
      </c>
      <c r="L69" s="118">
        <f t="shared" si="5"/>
        <v>2200</v>
      </c>
      <c r="M69" s="118" t="str">
        <f t="shared" si="32"/>
        <v>-</v>
      </c>
      <c r="N69" s="118" t="str">
        <f t="shared" si="20"/>
        <v>-</v>
      </c>
      <c r="O69" s="119">
        <f t="shared" si="23"/>
        <v>79.2</v>
      </c>
      <c r="P69" s="235">
        <f t="shared" si="24"/>
        <v>125</v>
      </c>
      <c r="Q69" s="263" t="str">
        <f t="shared" si="29"/>
        <v>-</v>
      </c>
      <c r="R69" s="120" t="str">
        <f t="shared" si="29"/>
        <v>-</v>
      </c>
      <c r="S69" s="120" t="str">
        <f t="shared" si="29"/>
        <v>-</v>
      </c>
      <c r="T69" s="120" t="str">
        <f t="shared" si="29"/>
        <v>-</v>
      </c>
      <c r="U69" s="120" t="str">
        <f t="shared" si="29"/>
        <v>-</v>
      </c>
      <c r="V69" s="120">
        <f t="shared" si="29"/>
        <v>125</v>
      </c>
      <c r="W69" s="120" t="str">
        <f t="shared" si="29"/>
        <v>-</v>
      </c>
      <c r="X69" s="120" t="str">
        <f t="shared" si="29"/>
        <v>-</v>
      </c>
      <c r="Y69" s="120" t="str">
        <f t="shared" si="29"/>
        <v>-</v>
      </c>
      <c r="Z69" s="120" t="str">
        <f t="shared" si="29"/>
        <v>-</v>
      </c>
      <c r="AA69" s="264" t="str">
        <f t="shared" si="29"/>
        <v>-</v>
      </c>
      <c r="AD69" s="330" t="s">
        <v>118</v>
      </c>
    </row>
    <row r="70" spans="1:30" ht="26.25" outlineLevel="1" x14ac:dyDescent="0.25">
      <c r="A70" s="234"/>
      <c r="B70" s="110"/>
      <c r="C70" s="121">
        <v>4</v>
      </c>
      <c r="D70" s="111"/>
      <c r="E70" s="161"/>
      <c r="F70" s="113">
        <v>2600</v>
      </c>
      <c r="G70" s="162"/>
      <c r="H70" s="115"/>
      <c r="I70" s="116">
        <v>16</v>
      </c>
      <c r="J70" s="117">
        <v>5</v>
      </c>
      <c r="K70" s="110">
        <v>9</v>
      </c>
      <c r="L70" s="118">
        <f t="shared" si="5"/>
        <v>2600</v>
      </c>
      <c r="M70" s="118" t="str">
        <f t="shared" si="32"/>
        <v>-</v>
      </c>
      <c r="N70" s="118" t="str">
        <f t="shared" si="20"/>
        <v>-</v>
      </c>
      <c r="O70" s="119">
        <f t="shared" si="23"/>
        <v>117</v>
      </c>
      <c r="P70" s="235">
        <f t="shared" si="24"/>
        <v>184.7</v>
      </c>
      <c r="Q70" s="263" t="str">
        <f t="shared" ref="Q70:AA85" si="33">IF($I70=Q$4,$P70,"-")</f>
        <v>-</v>
      </c>
      <c r="R70" s="120" t="str">
        <f t="shared" si="33"/>
        <v>-</v>
      </c>
      <c r="S70" s="120" t="str">
        <f t="shared" si="33"/>
        <v>-</v>
      </c>
      <c r="T70" s="120" t="str">
        <f t="shared" si="33"/>
        <v>-</v>
      </c>
      <c r="U70" s="120" t="str">
        <f t="shared" si="33"/>
        <v>-</v>
      </c>
      <c r="V70" s="120">
        <f t="shared" si="33"/>
        <v>184.7</v>
      </c>
      <c r="W70" s="120" t="str">
        <f t="shared" si="33"/>
        <v>-</v>
      </c>
      <c r="X70" s="120" t="str">
        <f t="shared" si="33"/>
        <v>-</v>
      </c>
      <c r="Y70" s="120" t="str">
        <f t="shared" si="33"/>
        <v>-</v>
      </c>
      <c r="Z70" s="120" t="str">
        <f t="shared" si="33"/>
        <v>-</v>
      </c>
      <c r="AA70" s="264" t="str">
        <f t="shared" si="33"/>
        <v>-</v>
      </c>
      <c r="AD70" s="330" t="s">
        <v>118</v>
      </c>
    </row>
    <row r="71" spans="1:30" ht="26.25" outlineLevel="1" x14ac:dyDescent="0.25">
      <c r="A71" s="234"/>
      <c r="B71" s="110" t="s">
        <v>20</v>
      </c>
      <c r="C71" s="121" t="s">
        <v>21</v>
      </c>
      <c r="D71" s="111"/>
      <c r="E71" s="112">
        <v>150</v>
      </c>
      <c r="F71" s="113">
        <v>250</v>
      </c>
      <c r="G71" s="162">
        <v>50</v>
      </c>
      <c r="H71" s="115"/>
      <c r="I71" s="116">
        <v>6</v>
      </c>
      <c r="J71" s="117">
        <f>(10+2+10+4+10+11+10+11+11+5)*2</f>
        <v>168</v>
      </c>
      <c r="K71" s="110">
        <v>9</v>
      </c>
      <c r="L71" s="118">
        <f t="shared" si="5"/>
        <v>900</v>
      </c>
      <c r="M71" s="118" t="str">
        <f t="shared" ref="M71:M77" si="34">IF(L71&lt;=Lcay,"-",IF(L71&lt;(2*Lcay-I71*Nc),1,INT(L71/(Lcay-I71*Nc))))</f>
        <v>-</v>
      </c>
      <c r="N71" s="118" t="str">
        <f t="shared" si="20"/>
        <v>-</v>
      </c>
      <c r="O71" s="119">
        <f t="shared" si="23"/>
        <v>1360.8</v>
      </c>
      <c r="P71" s="235">
        <f t="shared" si="24"/>
        <v>302</v>
      </c>
      <c r="Q71" s="263">
        <f t="shared" si="33"/>
        <v>302</v>
      </c>
      <c r="R71" s="120" t="str">
        <f t="shared" si="33"/>
        <v>-</v>
      </c>
      <c r="S71" s="120" t="str">
        <f t="shared" si="33"/>
        <v>-</v>
      </c>
      <c r="T71" s="120" t="str">
        <f t="shared" si="33"/>
        <v>-</v>
      </c>
      <c r="U71" s="120" t="str">
        <f t="shared" si="33"/>
        <v>-</v>
      </c>
      <c r="V71" s="120" t="str">
        <f t="shared" si="33"/>
        <v>-</v>
      </c>
      <c r="W71" s="120" t="str">
        <f t="shared" si="33"/>
        <v>-</v>
      </c>
      <c r="X71" s="120" t="str">
        <f t="shared" si="33"/>
        <v>-</v>
      </c>
      <c r="Y71" s="120" t="str">
        <f t="shared" si="33"/>
        <v>-</v>
      </c>
      <c r="Z71" s="120" t="str">
        <f t="shared" si="33"/>
        <v>-</v>
      </c>
      <c r="AA71" s="264" t="str">
        <f t="shared" si="33"/>
        <v>-</v>
      </c>
      <c r="AD71" s="330" t="s">
        <v>118</v>
      </c>
    </row>
    <row r="72" spans="1:30" ht="26.25" outlineLevel="1" x14ac:dyDescent="0.25">
      <c r="A72" s="236"/>
      <c r="B72" s="124" t="s">
        <v>34</v>
      </c>
      <c r="C72" s="125">
        <v>1</v>
      </c>
      <c r="D72" s="98">
        <v>250</v>
      </c>
      <c r="E72" s="99"/>
      <c r="F72" s="127">
        <f>2300+4000*3+2300</f>
        <v>16600</v>
      </c>
      <c r="G72" s="99"/>
      <c r="H72" s="128">
        <v>250</v>
      </c>
      <c r="I72" s="129">
        <v>16</v>
      </c>
      <c r="J72" s="130">
        <v>2</v>
      </c>
      <c r="K72" s="131">
        <v>2</v>
      </c>
      <c r="L72" s="160">
        <f t="shared" si="5"/>
        <v>17100</v>
      </c>
      <c r="M72" s="132">
        <f t="shared" si="34"/>
        <v>1</v>
      </c>
      <c r="N72" s="132">
        <f t="shared" si="20"/>
        <v>480</v>
      </c>
      <c r="O72" s="133">
        <f t="shared" si="23"/>
        <v>70.3</v>
      </c>
      <c r="P72" s="237">
        <f t="shared" si="24"/>
        <v>111</v>
      </c>
      <c r="Q72" s="265" t="str">
        <f t="shared" si="33"/>
        <v>-</v>
      </c>
      <c r="R72" s="134" t="str">
        <f t="shared" si="33"/>
        <v>-</v>
      </c>
      <c r="S72" s="134" t="str">
        <f t="shared" si="33"/>
        <v>-</v>
      </c>
      <c r="T72" s="134" t="str">
        <f t="shared" si="33"/>
        <v>-</v>
      </c>
      <c r="U72" s="134" t="str">
        <f t="shared" si="33"/>
        <v>-</v>
      </c>
      <c r="V72" s="134">
        <f t="shared" si="33"/>
        <v>111</v>
      </c>
      <c r="W72" s="134" t="str">
        <f t="shared" si="33"/>
        <v>-</v>
      </c>
      <c r="X72" s="134" t="str">
        <f t="shared" si="33"/>
        <v>-</v>
      </c>
      <c r="Y72" s="134" t="str">
        <f t="shared" si="33"/>
        <v>-</v>
      </c>
      <c r="Z72" s="134" t="str">
        <f t="shared" si="33"/>
        <v>-</v>
      </c>
      <c r="AA72" s="266" t="str">
        <f t="shared" si="33"/>
        <v>-</v>
      </c>
      <c r="AD72" s="330" t="s">
        <v>118</v>
      </c>
    </row>
    <row r="73" spans="1:30" ht="26.25" outlineLevel="1" x14ac:dyDescent="0.25">
      <c r="A73" s="234"/>
      <c r="B73" s="110"/>
      <c r="C73" s="121">
        <v>2</v>
      </c>
      <c r="D73" s="111">
        <v>200</v>
      </c>
      <c r="E73" s="161"/>
      <c r="F73" s="113">
        <f>F72</f>
        <v>16600</v>
      </c>
      <c r="G73" s="162"/>
      <c r="H73" s="115">
        <v>200</v>
      </c>
      <c r="I73" s="116">
        <v>16</v>
      </c>
      <c r="J73" s="117">
        <v>2</v>
      </c>
      <c r="K73" s="110">
        <v>2</v>
      </c>
      <c r="L73" s="118">
        <f t="shared" si="5"/>
        <v>17000</v>
      </c>
      <c r="M73" s="118">
        <f t="shared" si="34"/>
        <v>1</v>
      </c>
      <c r="N73" s="118">
        <f t="shared" si="20"/>
        <v>480</v>
      </c>
      <c r="O73" s="119">
        <f t="shared" si="23"/>
        <v>69.900000000000006</v>
      </c>
      <c r="P73" s="235">
        <f t="shared" si="24"/>
        <v>110.3</v>
      </c>
      <c r="Q73" s="263" t="str">
        <f t="shared" si="33"/>
        <v>-</v>
      </c>
      <c r="R73" s="120" t="str">
        <f t="shared" si="33"/>
        <v>-</v>
      </c>
      <c r="S73" s="120" t="str">
        <f t="shared" si="33"/>
        <v>-</v>
      </c>
      <c r="T73" s="120" t="str">
        <f t="shared" si="33"/>
        <v>-</v>
      </c>
      <c r="U73" s="120" t="str">
        <f t="shared" si="33"/>
        <v>-</v>
      </c>
      <c r="V73" s="120">
        <f t="shared" si="33"/>
        <v>110.3</v>
      </c>
      <c r="W73" s="120" t="str">
        <f t="shared" si="33"/>
        <v>-</v>
      </c>
      <c r="X73" s="120" t="str">
        <f t="shared" si="33"/>
        <v>-</v>
      </c>
      <c r="Y73" s="120" t="str">
        <f t="shared" si="33"/>
        <v>-</v>
      </c>
      <c r="Z73" s="120" t="str">
        <f t="shared" si="33"/>
        <v>-</v>
      </c>
      <c r="AA73" s="264" t="str">
        <f t="shared" si="33"/>
        <v>-</v>
      </c>
      <c r="AD73" s="330" t="s">
        <v>118</v>
      </c>
    </row>
    <row r="74" spans="1:30" ht="26.25" outlineLevel="1" x14ac:dyDescent="0.25">
      <c r="A74" s="234"/>
      <c r="B74" s="110"/>
      <c r="C74" s="121">
        <v>3</v>
      </c>
      <c r="D74" s="111"/>
      <c r="E74" s="161"/>
      <c r="F74" s="113">
        <v>2000</v>
      </c>
      <c r="G74" s="162"/>
      <c r="H74" s="115"/>
      <c r="I74" s="116">
        <v>16</v>
      </c>
      <c r="J74" s="117">
        <v>4</v>
      </c>
      <c r="K74" s="110">
        <v>2</v>
      </c>
      <c r="L74" s="118">
        <f t="shared" si="5"/>
        <v>2000</v>
      </c>
      <c r="M74" s="118" t="str">
        <f t="shared" si="34"/>
        <v>-</v>
      </c>
      <c r="N74" s="118" t="str">
        <f t="shared" si="20"/>
        <v>-</v>
      </c>
      <c r="O74" s="119">
        <f t="shared" si="23"/>
        <v>16</v>
      </c>
      <c r="P74" s="235">
        <f t="shared" si="24"/>
        <v>25.3</v>
      </c>
      <c r="Q74" s="263" t="str">
        <f t="shared" si="33"/>
        <v>-</v>
      </c>
      <c r="R74" s="120" t="str">
        <f t="shared" si="33"/>
        <v>-</v>
      </c>
      <c r="S74" s="120" t="str">
        <f t="shared" si="33"/>
        <v>-</v>
      </c>
      <c r="T74" s="120" t="str">
        <f t="shared" si="33"/>
        <v>-</v>
      </c>
      <c r="U74" s="120" t="str">
        <f t="shared" si="33"/>
        <v>-</v>
      </c>
      <c r="V74" s="120">
        <f t="shared" si="33"/>
        <v>25.3</v>
      </c>
      <c r="W74" s="120" t="str">
        <f t="shared" si="33"/>
        <v>-</v>
      </c>
      <c r="X74" s="120" t="str">
        <f t="shared" si="33"/>
        <v>-</v>
      </c>
      <c r="Y74" s="120" t="str">
        <f t="shared" si="33"/>
        <v>-</v>
      </c>
      <c r="Z74" s="120" t="str">
        <f t="shared" si="33"/>
        <v>-</v>
      </c>
      <c r="AA74" s="264" t="str">
        <f t="shared" si="33"/>
        <v>-</v>
      </c>
      <c r="AD74" s="330" t="s">
        <v>118</v>
      </c>
    </row>
    <row r="75" spans="1:30" ht="26.25" outlineLevel="1" x14ac:dyDescent="0.25">
      <c r="A75" s="244"/>
      <c r="B75" s="181"/>
      <c r="C75" s="182">
        <v>4</v>
      </c>
      <c r="D75" s="183"/>
      <c r="E75" s="184"/>
      <c r="F75" s="185">
        <v>2600</v>
      </c>
      <c r="G75" s="186"/>
      <c r="H75" s="187"/>
      <c r="I75" s="188">
        <v>16</v>
      </c>
      <c r="J75" s="189">
        <v>3</v>
      </c>
      <c r="K75" s="181">
        <v>2</v>
      </c>
      <c r="L75" s="190">
        <f t="shared" si="5"/>
        <v>2600</v>
      </c>
      <c r="M75" s="118" t="str">
        <f t="shared" ref="M75" si="35">IF(L75&lt;=Lcay,"-",IF(L75&lt;(2*Lcay-I75*Nc),1,INT(L75/(Lcay-I75*Nc))))</f>
        <v>-</v>
      </c>
      <c r="N75" s="118" t="str">
        <f t="shared" si="20"/>
        <v>-</v>
      </c>
      <c r="O75" s="119">
        <f t="shared" si="23"/>
        <v>15.6</v>
      </c>
      <c r="P75" s="235">
        <f t="shared" si="24"/>
        <v>24.6</v>
      </c>
      <c r="Q75" s="263" t="str">
        <f t="shared" si="33"/>
        <v>-</v>
      </c>
      <c r="R75" s="120" t="str">
        <f t="shared" si="33"/>
        <v>-</v>
      </c>
      <c r="S75" s="120" t="str">
        <f t="shared" si="33"/>
        <v>-</v>
      </c>
      <c r="T75" s="120" t="str">
        <f t="shared" si="33"/>
        <v>-</v>
      </c>
      <c r="U75" s="120" t="str">
        <f t="shared" si="33"/>
        <v>-</v>
      </c>
      <c r="V75" s="120">
        <f t="shared" si="33"/>
        <v>24.6</v>
      </c>
      <c r="W75" s="120" t="str">
        <f t="shared" si="33"/>
        <v>-</v>
      </c>
      <c r="X75" s="120" t="str">
        <f t="shared" si="33"/>
        <v>-</v>
      </c>
      <c r="Y75" s="120" t="str">
        <f t="shared" si="33"/>
        <v>-</v>
      </c>
      <c r="Z75" s="120" t="str">
        <f t="shared" si="33"/>
        <v>-</v>
      </c>
      <c r="AA75" s="264" t="str">
        <f t="shared" si="33"/>
        <v>-</v>
      </c>
      <c r="AD75" s="330" t="s">
        <v>118</v>
      </c>
    </row>
    <row r="76" spans="1:30" ht="26.25" outlineLevel="1" x14ac:dyDescent="0.25">
      <c r="A76" s="238"/>
      <c r="B76" s="135" t="s">
        <v>20</v>
      </c>
      <c r="C76" s="136" t="s">
        <v>21</v>
      </c>
      <c r="D76" s="137"/>
      <c r="E76" s="138">
        <v>150</v>
      </c>
      <c r="F76" s="163">
        <v>250</v>
      </c>
      <c r="G76" s="140">
        <v>50</v>
      </c>
      <c r="H76" s="141"/>
      <c r="I76" s="142">
        <v>6</v>
      </c>
      <c r="J76" s="143">
        <f>(6+10+11+10+11+11+5)*2</f>
        <v>128</v>
      </c>
      <c r="K76" s="135">
        <v>2</v>
      </c>
      <c r="L76" s="144">
        <f t="shared" si="5"/>
        <v>900</v>
      </c>
      <c r="M76" s="144" t="str">
        <f t="shared" si="34"/>
        <v>-</v>
      </c>
      <c r="N76" s="144" t="str">
        <f t="shared" si="20"/>
        <v>-</v>
      </c>
      <c r="O76" s="145">
        <f t="shared" si="23"/>
        <v>230.4</v>
      </c>
      <c r="P76" s="239">
        <f t="shared" si="24"/>
        <v>51.1</v>
      </c>
      <c r="Q76" s="267">
        <f t="shared" si="33"/>
        <v>51.1</v>
      </c>
      <c r="R76" s="146" t="str">
        <f t="shared" si="33"/>
        <v>-</v>
      </c>
      <c r="S76" s="146" t="str">
        <f t="shared" si="33"/>
        <v>-</v>
      </c>
      <c r="T76" s="146" t="str">
        <f t="shared" si="33"/>
        <v>-</v>
      </c>
      <c r="U76" s="146" t="str">
        <f t="shared" si="33"/>
        <v>-</v>
      </c>
      <c r="V76" s="146" t="str">
        <f t="shared" si="33"/>
        <v>-</v>
      </c>
      <c r="W76" s="146" t="str">
        <f t="shared" si="33"/>
        <v>-</v>
      </c>
      <c r="X76" s="146" t="str">
        <f t="shared" si="33"/>
        <v>-</v>
      </c>
      <c r="Y76" s="146" t="str">
        <f t="shared" si="33"/>
        <v>-</v>
      </c>
      <c r="Z76" s="146" t="str">
        <f t="shared" si="33"/>
        <v>-</v>
      </c>
      <c r="AA76" s="268" t="str">
        <f t="shared" si="33"/>
        <v>-</v>
      </c>
      <c r="AD76" s="330" t="s">
        <v>118</v>
      </c>
    </row>
    <row r="77" spans="1:30" ht="26.25" outlineLevel="1" x14ac:dyDescent="0.25">
      <c r="A77" s="236"/>
      <c r="B77" s="124" t="s">
        <v>35</v>
      </c>
      <c r="C77" s="125">
        <v>1</v>
      </c>
      <c r="D77" s="98">
        <v>200</v>
      </c>
      <c r="E77" s="99"/>
      <c r="F77" s="127">
        <f>2100+4000*9+100</f>
        <v>38200</v>
      </c>
      <c r="G77" s="99"/>
      <c r="H77" s="128">
        <v>200</v>
      </c>
      <c r="I77" s="129">
        <v>14</v>
      </c>
      <c r="J77" s="130">
        <v>2</v>
      </c>
      <c r="K77" s="131">
        <v>2</v>
      </c>
      <c r="L77" s="160">
        <f t="shared" si="5"/>
        <v>38600</v>
      </c>
      <c r="M77" s="132">
        <f t="shared" si="34"/>
        <v>3</v>
      </c>
      <c r="N77" s="132">
        <f t="shared" si="20"/>
        <v>420</v>
      </c>
      <c r="O77" s="133">
        <f t="shared" si="23"/>
        <v>159.4</v>
      </c>
      <c r="P77" s="237">
        <f t="shared" si="24"/>
        <v>192.6</v>
      </c>
      <c r="Q77" s="265" t="str">
        <f t="shared" si="33"/>
        <v>-</v>
      </c>
      <c r="R77" s="134" t="str">
        <f t="shared" si="33"/>
        <v>-</v>
      </c>
      <c r="S77" s="134" t="str">
        <f t="shared" si="33"/>
        <v>-</v>
      </c>
      <c r="T77" s="134" t="str">
        <f t="shared" si="33"/>
        <v>-</v>
      </c>
      <c r="U77" s="134">
        <f t="shared" si="33"/>
        <v>192.6</v>
      </c>
      <c r="V77" s="134" t="str">
        <f t="shared" si="33"/>
        <v>-</v>
      </c>
      <c r="W77" s="134" t="str">
        <f t="shared" si="33"/>
        <v>-</v>
      </c>
      <c r="X77" s="134" t="str">
        <f t="shared" si="33"/>
        <v>-</v>
      </c>
      <c r="Y77" s="134" t="str">
        <f t="shared" si="33"/>
        <v>-</v>
      </c>
      <c r="Z77" s="134" t="str">
        <f t="shared" si="33"/>
        <v>-</v>
      </c>
      <c r="AA77" s="266" t="str">
        <f t="shared" si="33"/>
        <v>-</v>
      </c>
      <c r="AD77" s="330" t="s">
        <v>118</v>
      </c>
    </row>
    <row r="78" spans="1:30" ht="26.25" outlineLevel="1" x14ac:dyDescent="0.25">
      <c r="A78" s="234"/>
      <c r="B78" s="110"/>
      <c r="C78" s="121">
        <v>2</v>
      </c>
      <c r="D78" s="111">
        <v>200</v>
      </c>
      <c r="E78" s="161"/>
      <c r="F78" s="113">
        <f>F77</f>
        <v>38200</v>
      </c>
      <c r="G78" s="162"/>
      <c r="H78" s="115">
        <v>200</v>
      </c>
      <c r="I78" s="116">
        <v>14</v>
      </c>
      <c r="J78" s="117">
        <v>2</v>
      </c>
      <c r="K78" s="110">
        <v>2</v>
      </c>
      <c r="L78" s="118">
        <f t="shared" si="5"/>
        <v>38600</v>
      </c>
      <c r="M78" s="118">
        <f t="shared" ref="M78:M83" si="36">IF(L78&lt;=Lcay,"-",IF(L78&lt;(2*Lcay-I78*Nc),1,INT(L78/(Lcay-I78*Nc))))</f>
        <v>3</v>
      </c>
      <c r="N78" s="118">
        <f t="shared" si="20"/>
        <v>420</v>
      </c>
      <c r="O78" s="119">
        <f t="shared" si="23"/>
        <v>159.4</v>
      </c>
      <c r="P78" s="235">
        <f t="shared" si="24"/>
        <v>192.6</v>
      </c>
      <c r="Q78" s="263" t="str">
        <f t="shared" si="33"/>
        <v>-</v>
      </c>
      <c r="R78" s="120" t="str">
        <f t="shared" si="33"/>
        <v>-</v>
      </c>
      <c r="S78" s="120" t="str">
        <f t="shared" si="33"/>
        <v>-</v>
      </c>
      <c r="T78" s="120" t="str">
        <f t="shared" si="33"/>
        <v>-</v>
      </c>
      <c r="U78" s="120">
        <f t="shared" si="33"/>
        <v>192.6</v>
      </c>
      <c r="V78" s="120" t="str">
        <f t="shared" si="33"/>
        <v>-</v>
      </c>
      <c r="W78" s="120" t="str">
        <f t="shared" si="33"/>
        <v>-</v>
      </c>
      <c r="X78" s="120" t="str">
        <f t="shared" si="33"/>
        <v>-</v>
      </c>
      <c r="Y78" s="120" t="str">
        <f t="shared" si="33"/>
        <v>-</v>
      </c>
      <c r="Z78" s="120" t="str">
        <f t="shared" si="33"/>
        <v>-</v>
      </c>
      <c r="AA78" s="264" t="str">
        <f t="shared" si="33"/>
        <v>-</v>
      </c>
      <c r="AD78" s="330" t="s">
        <v>118</v>
      </c>
    </row>
    <row r="79" spans="1:30" s="194" customFormat="1" ht="26.25" outlineLevel="1" x14ac:dyDescent="0.25">
      <c r="A79" s="245"/>
      <c r="B79" s="191"/>
      <c r="C79" s="192" t="s">
        <v>22</v>
      </c>
      <c r="D79" s="111">
        <v>200</v>
      </c>
      <c r="E79" s="161"/>
      <c r="F79" s="113">
        <v>1000</v>
      </c>
      <c r="G79" s="162"/>
      <c r="H79" s="115"/>
      <c r="I79" s="193">
        <v>14</v>
      </c>
      <c r="J79" s="117">
        <v>1</v>
      </c>
      <c r="K79" s="191">
        <v>2</v>
      </c>
      <c r="L79" s="118">
        <f t="shared" si="5"/>
        <v>1200</v>
      </c>
      <c r="M79" s="118" t="str">
        <f t="shared" si="36"/>
        <v>-</v>
      </c>
      <c r="N79" s="118" t="str">
        <f t="shared" si="20"/>
        <v>-</v>
      </c>
      <c r="O79" s="119">
        <f t="shared" si="23"/>
        <v>2.4</v>
      </c>
      <c r="P79" s="235">
        <f t="shared" si="24"/>
        <v>2.9</v>
      </c>
      <c r="Q79" s="263" t="str">
        <f t="shared" si="33"/>
        <v>-</v>
      </c>
      <c r="R79" s="120" t="str">
        <f t="shared" si="33"/>
        <v>-</v>
      </c>
      <c r="S79" s="120" t="str">
        <f t="shared" si="33"/>
        <v>-</v>
      </c>
      <c r="T79" s="120" t="str">
        <f t="shared" si="33"/>
        <v>-</v>
      </c>
      <c r="U79" s="120">
        <f t="shared" si="33"/>
        <v>2.9</v>
      </c>
      <c r="V79" s="120" t="str">
        <f t="shared" si="33"/>
        <v>-</v>
      </c>
      <c r="W79" s="120" t="str">
        <f t="shared" si="33"/>
        <v>-</v>
      </c>
      <c r="X79" s="120" t="str">
        <f t="shared" si="33"/>
        <v>-</v>
      </c>
      <c r="Y79" s="120" t="str">
        <f t="shared" si="33"/>
        <v>-</v>
      </c>
      <c r="Z79" s="120" t="str">
        <f t="shared" si="33"/>
        <v>-</v>
      </c>
      <c r="AA79" s="264" t="str">
        <f t="shared" si="33"/>
        <v>-</v>
      </c>
      <c r="AD79" s="330" t="s">
        <v>118</v>
      </c>
    </row>
    <row r="80" spans="1:30" s="194" customFormat="1" ht="26.25" outlineLevel="1" x14ac:dyDescent="0.25">
      <c r="A80" s="245"/>
      <c r="B80" s="191"/>
      <c r="C80" s="192">
        <v>3</v>
      </c>
      <c r="D80" s="111"/>
      <c r="E80" s="161"/>
      <c r="F80" s="113">
        <v>2200</v>
      </c>
      <c r="G80" s="162"/>
      <c r="H80" s="115"/>
      <c r="I80" s="193">
        <v>14</v>
      </c>
      <c r="J80" s="117">
        <v>9</v>
      </c>
      <c r="K80" s="191">
        <v>2</v>
      </c>
      <c r="L80" s="118">
        <f t="shared" si="5"/>
        <v>2200</v>
      </c>
      <c r="M80" s="118" t="str">
        <f t="shared" si="36"/>
        <v>-</v>
      </c>
      <c r="N80" s="118" t="str">
        <f t="shared" si="20"/>
        <v>-</v>
      </c>
      <c r="O80" s="119">
        <f t="shared" si="23"/>
        <v>39.6</v>
      </c>
      <c r="P80" s="235">
        <f t="shared" si="24"/>
        <v>47.9</v>
      </c>
      <c r="Q80" s="263" t="str">
        <f t="shared" si="33"/>
        <v>-</v>
      </c>
      <c r="R80" s="120" t="str">
        <f t="shared" si="33"/>
        <v>-</v>
      </c>
      <c r="S80" s="120" t="str">
        <f t="shared" si="33"/>
        <v>-</v>
      </c>
      <c r="T80" s="120" t="str">
        <f t="shared" si="33"/>
        <v>-</v>
      </c>
      <c r="U80" s="120">
        <f t="shared" si="33"/>
        <v>47.9</v>
      </c>
      <c r="V80" s="120" t="str">
        <f t="shared" si="33"/>
        <v>-</v>
      </c>
      <c r="W80" s="120" t="str">
        <f t="shared" si="33"/>
        <v>-</v>
      </c>
      <c r="X80" s="120" t="str">
        <f t="shared" si="33"/>
        <v>-</v>
      </c>
      <c r="Y80" s="120" t="str">
        <f t="shared" si="33"/>
        <v>-</v>
      </c>
      <c r="Z80" s="120" t="str">
        <f t="shared" si="33"/>
        <v>-</v>
      </c>
      <c r="AA80" s="264" t="str">
        <f t="shared" si="33"/>
        <v>-</v>
      </c>
      <c r="AD80" s="330" t="s">
        <v>118</v>
      </c>
    </row>
    <row r="81" spans="1:30" ht="26.25" outlineLevel="1" x14ac:dyDescent="0.25">
      <c r="A81" s="234"/>
      <c r="B81" s="110"/>
      <c r="C81" s="121">
        <v>4</v>
      </c>
      <c r="D81" s="111"/>
      <c r="E81" s="161"/>
      <c r="F81" s="113">
        <f>4000-700*2</f>
        <v>2600</v>
      </c>
      <c r="G81" s="162"/>
      <c r="H81" s="115"/>
      <c r="I81" s="116">
        <v>14</v>
      </c>
      <c r="J81" s="117">
        <v>9</v>
      </c>
      <c r="K81" s="110">
        <v>2</v>
      </c>
      <c r="L81" s="118">
        <f t="shared" si="5"/>
        <v>2600</v>
      </c>
      <c r="M81" s="118" t="str">
        <f t="shared" si="36"/>
        <v>-</v>
      </c>
      <c r="N81" s="118" t="str">
        <f t="shared" si="20"/>
        <v>-</v>
      </c>
      <c r="O81" s="119">
        <f t="shared" si="23"/>
        <v>46.8</v>
      </c>
      <c r="P81" s="235">
        <f t="shared" si="24"/>
        <v>56.6</v>
      </c>
      <c r="Q81" s="263" t="str">
        <f t="shared" si="33"/>
        <v>-</v>
      </c>
      <c r="R81" s="120" t="str">
        <f t="shared" si="33"/>
        <v>-</v>
      </c>
      <c r="S81" s="120" t="str">
        <f t="shared" si="33"/>
        <v>-</v>
      </c>
      <c r="T81" s="120" t="str">
        <f t="shared" si="33"/>
        <v>-</v>
      </c>
      <c r="U81" s="120">
        <f t="shared" si="33"/>
        <v>56.6</v>
      </c>
      <c r="V81" s="120" t="str">
        <f t="shared" si="33"/>
        <v>-</v>
      </c>
      <c r="W81" s="120" t="str">
        <f t="shared" si="33"/>
        <v>-</v>
      </c>
      <c r="X81" s="120" t="str">
        <f t="shared" si="33"/>
        <v>-</v>
      </c>
      <c r="Y81" s="120" t="str">
        <f t="shared" si="33"/>
        <v>-</v>
      </c>
      <c r="Z81" s="120" t="str">
        <f t="shared" si="33"/>
        <v>-</v>
      </c>
      <c r="AA81" s="264" t="str">
        <f t="shared" si="33"/>
        <v>-</v>
      </c>
      <c r="AD81" s="330" t="s">
        <v>118</v>
      </c>
    </row>
    <row r="82" spans="1:30" ht="26.25" outlineLevel="1" x14ac:dyDescent="0.25">
      <c r="A82" s="234"/>
      <c r="B82" s="110" t="s">
        <v>20</v>
      </c>
      <c r="C82" s="121">
        <v>5</v>
      </c>
      <c r="D82" s="111"/>
      <c r="E82" s="112">
        <v>150</v>
      </c>
      <c r="F82" s="113">
        <v>200</v>
      </c>
      <c r="G82" s="162">
        <v>50</v>
      </c>
      <c r="H82" s="115"/>
      <c r="I82" s="116">
        <v>6</v>
      </c>
      <c r="J82" s="117">
        <f>(4000*9+2200-10*200)/150</f>
        <v>241.33333333333334</v>
      </c>
      <c r="K82" s="110">
        <v>2</v>
      </c>
      <c r="L82" s="118">
        <f t="shared" si="5"/>
        <v>800</v>
      </c>
      <c r="M82" s="118" t="str">
        <f t="shared" si="36"/>
        <v>-</v>
      </c>
      <c r="N82" s="118" t="str">
        <f t="shared" si="20"/>
        <v>-</v>
      </c>
      <c r="O82" s="119">
        <f t="shared" si="23"/>
        <v>386.1</v>
      </c>
      <c r="P82" s="235">
        <f t="shared" si="24"/>
        <v>85.7</v>
      </c>
      <c r="Q82" s="263">
        <f t="shared" si="33"/>
        <v>85.7</v>
      </c>
      <c r="R82" s="120" t="str">
        <f t="shared" si="33"/>
        <v>-</v>
      </c>
      <c r="S82" s="120" t="str">
        <f t="shared" si="33"/>
        <v>-</v>
      </c>
      <c r="T82" s="120" t="str">
        <f t="shared" si="33"/>
        <v>-</v>
      </c>
      <c r="U82" s="120" t="str">
        <f t="shared" si="33"/>
        <v>-</v>
      </c>
      <c r="V82" s="120" t="str">
        <f t="shared" si="33"/>
        <v>-</v>
      </c>
      <c r="W82" s="120" t="str">
        <f t="shared" si="33"/>
        <v>-</v>
      </c>
      <c r="X82" s="120" t="str">
        <f t="shared" si="33"/>
        <v>-</v>
      </c>
      <c r="Y82" s="120" t="str">
        <f t="shared" si="33"/>
        <v>-</v>
      </c>
      <c r="Z82" s="120" t="str">
        <f t="shared" si="33"/>
        <v>-</v>
      </c>
      <c r="AA82" s="264" t="str">
        <f t="shared" si="33"/>
        <v>-</v>
      </c>
      <c r="AD82" s="330" t="s">
        <v>118</v>
      </c>
    </row>
    <row r="83" spans="1:30" ht="26.25" outlineLevel="1" x14ac:dyDescent="0.25">
      <c r="A83" s="232"/>
      <c r="B83" s="124" t="s">
        <v>36</v>
      </c>
      <c r="C83" s="125">
        <v>1</v>
      </c>
      <c r="D83" s="98">
        <v>200</v>
      </c>
      <c r="E83" s="99"/>
      <c r="F83" s="127">
        <v>2000</v>
      </c>
      <c r="G83" s="99"/>
      <c r="H83" s="128">
        <v>200</v>
      </c>
      <c r="I83" s="129">
        <v>14</v>
      </c>
      <c r="J83" s="130">
        <v>2</v>
      </c>
      <c r="K83" s="131">
        <v>2</v>
      </c>
      <c r="L83" s="160">
        <f t="shared" si="5"/>
        <v>2400</v>
      </c>
      <c r="M83" s="132" t="str">
        <f t="shared" si="36"/>
        <v>-</v>
      </c>
      <c r="N83" s="132" t="str">
        <f t="shared" si="20"/>
        <v>-</v>
      </c>
      <c r="O83" s="133">
        <f t="shared" si="23"/>
        <v>9.6</v>
      </c>
      <c r="P83" s="237">
        <f t="shared" si="24"/>
        <v>11.6</v>
      </c>
      <c r="Q83" s="265" t="str">
        <f t="shared" si="33"/>
        <v>-</v>
      </c>
      <c r="R83" s="134" t="str">
        <f t="shared" si="33"/>
        <v>-</v>
      </c>
      <c r="S83" s="134" t="str">
        <f t="shared" si="33"/>
        <v>-</v>
      </c>
      <c r="T83" s="134" t="str">
        <f t="shared" si="33"/>
        <v>-</v>
      </c>
      <c r="U83" s="134">
        <f t="shared" si="33"/>
        <v>11.6</v>
      </c>
      <c r="V83" s="134" t="str">
        <f t="shared" si="33"/>
        <v>-</v>
      </c>
      <c r="W83" s="134" t="str">
        <f t="shared" si="33"/>
        <v>-</v>
      </c>
      <c r="X83" s="134" t="str">
        <f t="shared" si="33"/>
        <v>-</v>
      </c>
      <c r="Y83" s="134" t="str">
        <f t="shared" si="33"/>
        <v>-</v>
      </c>
      <c r="Z83" s="134" t="str">
        <f t="shared" si="33"/>
        <v>-</v>
      </c>
      <c r="AA83" s="266" t="str">
        <f t="shared" si="33"/>
        <v>-</v>
      </c>
      <c r="AD83" s="330" t="s">
        <v>118</v>
      </c>
    </row>
    <row r="84" spans="1:30" ht="26.25" outlineLevel="1" x14ac:dyDescent="0.25">
      <c r="A84" s="232"/>
      <c r="B84" s="110"/>
      <c r="C84" s="121">
        <v>2</v>
      </c>
      <c r="D84" s="111">
        <v>200</v>
      </c>
      <c r="E84" s="161"/>
      <c r="F84" s="113">
        <f>F83</f>
        <v>2000</v>
      </c>
      <c r="G84" s="162"/>
      <c r="H84" s="115">
        <v>200</v>
      </c>
      <c r="I84" s="116">
        <v>14</v>
      </c>
      <c r="J84" s="117">
        <v>2</v>
      </c>
      <c r="K84" s="110">
        <v>2</v>
      </c>
      <c r="L84" s="118">
        <f t="shared" si="5"/>
        <v>2400</v>
      </c>
      <c r="M84" s="118" t="str">
        <f t="shared" ref="M84:M85" si="37">IF(L84&lt;=Lcay,"-",IF(L84&lt;(2*Lcay-I84*Nc),1,INT(L84/(Lcay-I84*Nc))))</f>
        <v>-</v>
      </c>
      <c r="N84" s="118" t="str">
        <f t="shared" si="20"/>
        <v>-</v>
      </c>
      <c r="O84" s="119">
        <f t="shared" si="23"/>
        <v>9.6</v>
      </c>
      <c r="P84" s="235">
        <f t="shared" si="24"/>
        <v>11.6</v>
      </c>
      <c r="Q84" s="263" t="str">
        <f t="shared" si="33"/>
        <v>-</v>
      </c>
      <c r="R84" s="120" t="str">
        <f t="shared" si="33"/>
        <v>-</v>
      </c>
      <c r="S84" s="120" t="str">
        <f t="shared" si="33"/>
        <v>-</v>
      </c>
      <c r="T84" s="120" t="str">
        <f t="shared" si="33"/>
        <v>-</v>
      </c>
      <c r="U84" s="120">
        <f t="shared" si="33"/>
        <v>11.6</v>
      </c>
      <c r="V84" s="120" t="str">
        <f t="shared" si="33"/>
        <v>-</v>
      </c>
      <c r="W84" s="120" t="str">
        <f t="shared" si="33"/>
        <v>-</v>
      </c>
      <c r="X84" s="120" t="str">
        <f t="shared" si="33"/>
        <v>-</v>
      </c>
      <c r="Y84" s="120" t="str">
        <f t="shared" si="33"/>
        <v>-</v>
      </c>
      <c r="Z84" s="120" t="str">
        <f t="shared" si="33"/>
        <v>-</v>
      </c>
      <c r="AA84" s="264" t="str">
        <f t="shared" si="33"/>
        <v>-</v>
      </c>
      <c r="AD84" s="330" t="s">
        <v>118</v>
      </c>
    </row>
    <row r="85" spans="1:30" ht="26.25" outlineLevel="1" x14ac:dyDescent="0.25">
      <c r="A85" s="232"/>
      <c r="B85" s="110" t="s">
        <v>20</v>
      </c>
      <c r="C85" s="121">
        <v>5</v>
      </c>
      <c r="D85" s="111"/>
      <c r="E85" s="112">
        <v>150</v>
      </c>
      <c r="F85" s="113">
        <v>200</v>
      </c>
      <c r="G85" s="162">
        <v>50</v>
      </c>
      <c r="H85" s="115"/>
      <c r="I85" s="116">
        <v>6</v>
      </c>
      <c r="J85" s="117">
        <f>1600/150</f>
        <v>10.666666666666666</v>
      </c>
      <c r="K85" s="110">
        <v>2</v>
      </c>
      <c r="L85" s="118">
        <f t="shared" si="5"/>
        <v>800</v>
      </c>
      <c r="M85" s="118" t="str">
        <f t="shared" si="37"/>
        <v>-</v>
      </c>
      <c r="N85" s="118" t="str">
        <f t="shared" si="20"/>
        <v>-</v>
      </c>
      <c r="O85" s="119">
        <f t="shared" si="23"/>
        <v>17.100000000000001</v>
      </c>
      <c r="P85" s="235">
        <f t="shared" si="24"/>
        <v>3.8</v>
      </c>
      <c r="Q85" s="263">
        <f t="shared" si="33"/>
        <v>3.8</v>
      </c>
      <c r="R85" s="120" t="str">
        <f t="shared" si="33"/>
        <v>-</v>
      </c>
      <c r="S85" s="120" t="str">
        <f t="shared" si="33"/>
        <v>-</v>
      </c>
      <c r="T85" s="120" t="str">
        <f t="shared" si="33"/>
        <v>-</v>
      </c>
      <c r="U85" s="120" t="str">
        <f t="shared" si="33"/>
        <v>-</v>
      </c>
      <c r="V85" s="120" t="str">
        <f t="shared" si="33"/>
        <v>-</v>
      </c>
      <c r="W85" s="120" t="str">
        <f t="shared" si="33"/>
        <v>-</v>
      </c>
      <c r="X85" s="120" t="str">
        <f t="shared" si="33"/>
        <v>-</v>
      </c>
      <c r="Y85" s="120" t="str">
        <f t="shared" si="33"/>
        <v>-</v>
      </c>
      <c r="Z85" s="120" t="str">
        <f t="shared" si="33"/>
        <v>-</v>
      </c>
      <c r="AA85" s="264" t="str">
        <f t="shared" si="33"/>
        <v>-</v>
      </c>
      <c r="AD85" s="330" t="s">
        <v>118</v>
      </c>
    </row>
    <row r="86" spans="1:30" s="159" customFormat="1" ht="25.5" outlineLevel="1" x14ac:dyDescent="0.2">
      <c r="A86" s="240"/>
      <c r="B86" s="195"/>
      <c r="C86" s="196"/>
      <c r="D86" s="149"/>
      <c r="E86" s="150"/>
      <c r="F86" s="151"/>
      <c r="G86" s="152"/>
      <c r="H86" s="153"/>
      <c r="I86" s="154"/>
      <c r="J86" s="155"/>
      <c r="K86" s="147"/>
      <c r="L86" s="156"/>
      <c r="M86" s="156"/>
      <c r="N86" s="156"/>
      <c r="O86" s="157" t="str">
        <f>IF(ISBLANK($I86),"",ROUND(PRODUCT($J86:$L86,10^-3)+PRODUCT(IF($L86&lt;Lcay,0,$L86),$J86:$K86,$M86:$N86,10^-3),1))</f>
        <v/>
      </c>
      <c r="P86" s="241"/>
      <c r="Q86" s="273"/>
      <c r="R86" s="197"/>
      <c r="S86" s="197"/>
      <c r="T86" s="197"/>
      <c r="U86" s="197"/>
      <c r="V86" s="197"/>
      <c r="W86" s="197"/>
      <c r="X86" s="197"/>
      <c r="Y86" s="197"/>
      <c r="Z86" s="197"/>
      <c r="AA86" s="270"/>
      <c r="AD86" s="330" t="s">
        <v>118</v>
      </c>
    </row>
    <row r="87" spans="1:30" ht="26.25" x14ac:dyDescent="0.25">
      <c r="A87" s="230">
        <v>4</v>
      </c>
      <c r="B87" s="85" t="s">
        <v>37</v>
      </c>
      <c r="C87" s="86"/>
      <c r="D87" s="176"/>
      <c r="E87" s="177"/>
      <c r="F87" s="178"/>
      <c r="G87" s="179"/>
      <c r="H87" s="180"/>
      <c r="I87" s="91"/>
      <c r="J87" s="92"/>
      <c r="K87" s="93">
        <v>1</v>
      </c>
      <c r="L87" s="92"/>
      <c r="M87" s="92" t="str">
        <f t="shared" ref="M87:M96" si="38">IF(L87&lt;=Lcay,"-",IF(L87&lt;(2*Lcay-I87*Nc),1,INT(L87/(Lcay-I87*Nc))))</f>
        <v>-</v>
      </c>
      <c r="N87" s="92" t="str">
        <f t="shared" si="20"/>
        <v>-</v>
      </c>
      <c r="O87" s="94" t="str">
        <f>IF(ISBLANK($I87),"",ROUND(PRODUCT($J87:$L87,10^-3)+PRODUCT(IF($L87&lt;Lcay,0,$L87),$J87:$K87,$M87:$N87,10^-3),1))</f>
        <v/>
      </c>
      <c r="P87" s="231">
        <f>SUBTOTAL(9,P88:P102)</f>
        <v>4936.8</v>
      </c>
      <c r="Q87" s="260">
        <f t="shared" ref="Q87:AA87" si="39">SUBTOTAL(9,Q88:Q102)</f>
        <v>507.90000000000003</v>
      </c>
      <c r="R87" s="95">
        <f t="shared" si="39"/>
        <v>3038.7000000000003</v>
      </c>
      <c r="S87" s="95">
        <f t="shared" si="39"/>
        <v>1390.1999999999998</v>
      </c>
      <c r="T87" s="95">
        <f t="shared" si="39"/>
        <v>0</v>
      </c>
      <c r="U87" s="95">
        <f t="shared" si="39"/>
        <v>0</v>
      </c>
      <c r="V87" s="95">
        <f t="shared" si="39"/>
        <v>0</v>
      </c>
      <c r="W87" s="95">
        <f t="shared" si="39"/>
        <v>0</v>
      </c>
      <c r="X87" s="95">
        <f t="shared" si="39"/>
        <v>0</v>
      </c>
      <c r="Y87" s="95">
        <f t="shared" si="39"/>
        <v>0</v>
      </c>
      <c r="Z87" s="95">
        <f t="shared" si="39"/>
        <v>0</v>
      </c>
      <c r="AA87" s="231">
        <f t="shared" si="39"/>
        <v>0</v>
      </c>
      <c r="AD87" s="330" t="s">
        <v>118</v>
      </c>
    </row>
    <row r="88" spans="1:30" ht="26.25" outlineLevel="1" x14ac:dyDescent="0.25">
      <c r="A88" s="236"/>
      <c r="B88" s="124"/>
      <c r="C88" s="125">
        <v>1</v>
      </c>
      <c r="D88" s="98">
        <v>80</v>
      </c>
      <c r="E88" s="99"/>
      <c r="F88" s="127">
        <f>4000*8</f>
        <v>32000</v>
      </c>
      <c r="G88" s="99"/>
      <c r="H88" s="128">
        <v>80</v>
      </c>
      <c r="I88" s="129">
        <v>8</v>
      </c>
      <c r="J88" s="130">
        <f>(F89-200*3)/150</f>
        <v>76</v>
      </c>
      <c r="K88" s="131">
        <v>1</v>
      </c>
      <c r="L88" s="132">
        <f t="shared" si="5"/>
        <v>32160</v>
      </c>
      <c r="M88" s="132">
        <f t="shared" si="38"/>
        <v>2</v>
      </c>
      <c r="N88" s="132">
        <f t="shared" si="20"/>
        <v>240</v>
      </c>
      <c r="O88" s="119">
        <f t="shared" ref="O88:O101" si="40">IF(ISBLANK($I88),"",ROUND(PRODUCT($J88:$L88,10^-3)+PRODUCT(IF($L88&lt;Lcay,0,1),$J88:$K88,$M88:$N88,10^-3),1))</f>
        <v>2480.6</v>
      </c>
      <c r="P88" s="237">
        <f t="shared" ref="P88:P101" si="41">IF(ISBLANK($I88),"",ROUND(PRODUCT(($I88/2)^2,PI(),10^-6,7850,$O88),1))</f>
        <v>978.8</v>
      </c>
      <c r="Q88" s="265" t="str">
        <f t="shared" ref="Q88:AA102" si="42">IF($I88=Q$4,$P88,"-")</f>
        <v>-</v>
      </c>
      <c r="R88" s="134">
        <f t="shared" si="42"/>
        <v>978.8</v>
      </c>
      <c r="S88" s="134" t="str">
        <f t="shared" si="42"/>
        <v>-</v>
      </c>
      <c r="T88" s="134" t="str">
        <f t="shared" si="42"/>
        <v>-</v>
      </c>
      <c r="U88" s="134" t="str">
        <f t="shared" si="42"/>
        <v>-</v>
      </c>
      <c r="V88" s="134" t="str">
        <f t="shared" si="42"/>
        <v>-</v>
      </c>
      <c r="W88" s="134" t="str">
        <f t="shared" si="42"/>
        <v>-</v>
      </c>
      <c r="X88" s="134" t="str">
        <f t="shared" si="42"/>
        <v>-</v>
      </c>
      <c r="Y88" s="134" t="str">
        <f t="shared" si="42"/>
        <v>-</v>
      </c>
      <c r="Z88" s="134" t="str">
        <f t="shared" si="42"/>
        <v>-</v>
      </c>
      <c r="AA88" s="266" t="str">
        <f t="shared" si="42"/>
        <v>-</v>
      </c>
      <c r="AC88" s="109"/>
      <c r="AD88" s="330" t="s">
        <v>118</v>
      </c>
    </row>
    <row r="89" spans="1:30" ht="26.25" outlineLevel="1" x14ac:dyDescent="0.25">
      <c r="A89" s="234"/>
      <c r="B89" s="110"/>
      <c r="C89" s="121">
        <v>2</v>
      </c>
      <c r="D89" s="198">
        <v>80</v>
      </c>
      <c r="E89" s="199"/>
      <c r="F89" s="100">
        <f>4000*3</f>
        <v>12000</v>
      </c>
      <c r="G89" s="199"/>
      <c r="H89" s="102">
        <v>80</v>
      </c>
      <c r="I89" s="116">
        <v>8</v>
      </c>
      <c r="J89" s="117">
        <f>(F88-200*8)/150</f>
        <v>202.66666666666666</v>
      </c>
      <c r="K89" s="110">
        <v>1</v>
      </c>
      <c r="L89" s="118">
        <f t="shared" si="5"/>
        <v>12160</v>
      </c>
      <c r="M89" s="118">
        <f t="shared" si="38"/>
        <v>1</v>
      </c>
      <c r="N89" s="118">
        <f t="shared" si="20"/>
        <v>240</v>
      </c>
      <c r="O89" s="119">
        <f t="shared" si="40"/>
        <v>2513.1</v>
      </c>
      <c r="P89" s="235">
        <f t="shared" si="41"/>
        <v>991.6</v>
      </c>
      <c r="Q89" s="263" t="str">
        <f t="shared" si="42"/>
        <v>-</v>
      </c>
      <c r="R89" s="120">
        <f t="shared" si="42"/>
        <v>991.6</v>
      </c>
      <c r="S89" s="120" t="str">
        <f t="shared" si="42"/>
        <v>-</v>
      </c>
      <c r="T89" s="120" t="str">
        <f t="shared" si="42"/>
        <v>-</v>
      </c>
      <c r="U89" s="120" t="str">
        <f t="shared" si="42"/>
        <v>-</v>
      </c>
      <c r="V89" s="120" t="str">
        <f t="shared" si="42"/>
        <v>-</v>
      </c>
      <c r="W89" s="120" t="str">
        <f t="shared" si="42"/>
        <v>-</v>
      </c>
      <c r="X89" s="120" t="str">
        <f t="shared" si="42"/>
        <v>-</v>
      </c>
      <c r="Y89" s="120" t="str">
        <f t="shared" si="42"/>
        <v>-</v>
      </c>
      <c r="Z89" s="120" t="str">
        <f t="shared" si="42"/>
        <v>-</v>
      </c>
      <c r="AA89" s="264" t="str">
        <f t="shared" si="42"/>
        <v>-</v>
      </c>
      <c r="AD89" s="330" t="s">
        <v>118</v>
      </c>
    </row>
    <row r="90" spans="1:30" ht="26.25" outlineLevel="1" x14ac:dyDescent="0.25">
      <c r="A90" s="234"/>
      <c r="B90" s="110"/>
      <c r="C90" s="121">
        <v>3</v>
      </c>
      <c r="D90" s="198"/>
      <c r="E90" s="199">
        <v>100</v>
      </c>
      <c r="F90" s="100">
        <v>2200</v>
      </c>
      <c r="G90" s="199">
        <v>100</v>
      </c>
      <c r="H90" s="102"/>
      <c r="I90" s="116">
        <v>10</v>
      </c>
      <c r="J90" s="104">
        <f>(4000*3+2200-200*4)/200</f>
        <v>67</v>
      </c>
      <c r="K90" s="110">
        <v>7</v>
      </c>
      <c r="L90" s="118">
        <f t="shared" si="5"/>
        <v>2400</v>
      </c>
      <c r="M90" s="118" t="str">
        <f t="shared" si="38"/>
        <v>-</v>
      </c>
      <c r="N90" s="118" t="str">
        <f t="shared" si="20"/>
        <v>-</v>
      </c>
      <c r="O90" s="119">
        <f t="shared" si="40"/>
        <v>1125.5999999999999</v>
      </c>
      <c r="P90" s="235">
        <f t="shared" si="41"/>
        <v>694</v>
      </c>
      <c r="Q90" s="263" t="str">
        <f t="shared" si="42"/>
        <v>-</v>
      </c>
      <c r="R90" s="120" t="str">
        <f t="shared" si="42"/>
        <v>-</v>
      </c>
      <c r="S90" s="120">
        <f t="shared" si="42"/>
        <v>694</v>
      </c>
      <c r="T90" s="120" t="str">
        <f t="shared" si="42"/>
        <v>-</v>
      </c>
      <c r="U90" s="120" t="str">
        <f t="shared" si="42"/>
        <v>-</v>
      </c>
      <c r="V90" s="120" t="str">
        <f t="shared" si="42"/>
        <v>-</v>
      </c>
      <c r="W90" s="120" t="str">
        <f t="shared" si="42"/>
        <v>-</v>
      </c>
      <c r="X90" s="120" t="str">
        <f t="shared" si="42"/>
        <v>-</v>
      </c>
      <c r="Y90" s="120" t="str">
        <f t="shared" si="42"/>
        <v>-</v>
      </c>
      <c r="Z90" s="120" t="str">
        <f t="shared" si="42"/>
        <v>-</v>
      </c>
      <c r="AA90" s="264" t="str">
        <f t="shared" si="42"/>
        <v>-</v>
      </c>
      <c r="AD90" s="330" t="s">
        <v>118</v>
      </c>
    </row>
    <row r="91" spans="1:30" ht="26.25" outlineLevel="1" x14ac:dyDescent="0.25">
      <c r="A91" s="234"/>
      <c r="B91" s="110"/>
      <c r="C91" s="200" t="s">
        <v>44</v>
      </c>
      <c r="D91" s="198"/>
      <c r="E91" s="199"/>
      <c r="F91" s="100">
        <f>2000+3800*3+2000</f>
        <v>15400</v>
      </c>
      <c r="G91" s="199"/>
      <c r="H91" s="102"/>
      <c r="I91" s="116">
        <v>6</v>
      </c>
      <c r="J91" s="104">
        <f>(F90-200)/250</f>
        <v>8</v>
      </c>
      <c r="K91" s="110">
        <v>7</v>
      </c>
      <c r="L91" s="118">
        <f t="shared" si="5"/>
        <v>15400</v>
      </c>
      <c r="M91" s="118">
        <f t="shared" ref="M91" si="43">IF(L91&lt;=Lcay,"-",IF(L91&lt;(2*Lcay-I91*Nc),1,INT(L91/(Lcay-I91*Nc))))</f>
        <v>1</v>
      </c>
      <c r="N91" s="118">
        <f t="shared" si="20"/>
        <v>180</v>
      </c>
      <c r="O91" s="119">
        <f t="shared" si="40"/>
        <v>872.5</v>
      </c>
      <c r="P91" s="235">
        <f t="shared" si="41"/>
        <v>193.7</v>
      </c>
      <c r="Q91" s="263">
        <f t="shared" si="42"/>
        <v>193.7</v>
      </c>
      <c r="R91" s="120" t="str">
        <f t="shared" si="42"/>
        <v>-</v>
      </c>
      <c r="S91" s="120" t="str">
        <f t="shared" si="42"/>
        <v>-</v>
      </c>
      <c r="T91" s="120" t="str">
        <f t="shared" si="42"/>
        <v>-</v>
      </c>
      <c r="U91" s="120" t="str">
        <f t="shared" si="42"/>
        <v>-</v>
      </c>
      <c r="V91" s="120" t="str">
        <f t="shared" si="42"/>
        <v>-</v>
      </c>
      <c r="W91" s="120" t="str">
        <f t="shared" si="42"/>
        <v>-</v>
      </c>
      <c r="X91" s="120" t="str">
        <f t="shared" si="42"/>
        <v>-</v>
      </c>
      <c r="Y91" s="120" t="str">
        <f t="shared" si="42"/>
        <v>-</v>
      </c>
      <c r="Z91" s="120" t="str">
        <f t="shared" si="42"/>
        <v>-</v>
      </c>
      <c r="AA91" s="264" t="str">
        <f t="shared" si="42"/>
        <v>-</v>
      </c>
      <c r="AD91" s="330" t="s">
        <v>118</v>
      </c>
    </row>
    <row r="92" spans="1:30" ht="26.25" outlineLevel="1" x14ac:dyDescent="0.25">
      <c r="A92" s="234"/>
      <c r="B92" s="110"/>
      <c r="C92" s="200" t="s">
        <v>45</v>
      </c>
      <c r="D92" s="198"/>
      <c r="E92" s="199"/>
      <c r="F92" s="100">
        <f>3800*8</f>
        <v>30400</v>
      </c>
      <c r="G92" s="199"/>
      <c r="H92" s="102"/>
      <c r="I92" s="116">
        <v>6</v>
      </c>
      <c r="J92" s="104">
        <f>(2200-200)/250</f>
        <v>8</v>
      </c>
      <c r="K92" s="110">
        <v>2</v>
      </c>
      <c r="L92" s="118">
        <f t="shared" si="5"/>
        <v>30400</v>
      </c>
      <c r="M92" s="118">
        <f t="shared" ref="M92" si="44">IF(L92&lt;=Lcay,"-",IF(L92&lt;(2*Lcay-I92*Nc),1,INT(L92/(Lcay-I92*Nc))))</f>
        <v>2</v>
      </c>
      <c r="N92" s="118">
        <f t="shared" si="20"/>
        <v>180</v>
      </c>
      <c r="O92" s="119">
        <f t="shared" si="40"/>
        <v>492.2</v>
      </c>
      <c r="P92" s="235">
        <f t="shared" si="41"/>
        <v>109.2</v>
      </c>
      <c r="Q92" s="263">
        <f t="shared" si="42"/>
        <v>109.2</v>
      </c>
      <c r="R92" s="120" t="str">
        <f t="shared" si="42"/>
        <v>-</v>
      </c>
      <c r="S92" s="120" t="str">
        <f t="shared" si="42"/>
        <v>-</v>
      </c>
      <c r="T92" s="120" t="str">
        <f t="shared" si="42"/>
        <v>-</v>
      </c>
      <c r="U92" s="120" t="str">
        <f t="shared" si="42"/>
        <v>-</v>
      </c>
      <c r="V92" s="120" t="str">
        <f t="shared" si="42"/>
        <v>-</v>
      </c>
      <c r="W92" s="120" t="str">
        <f t="shared" si="42"/>
        <v>-</v>
      </c>
      <c r="X92" s="120" t="str">
        <f t="shared" si="42"/>
        <v>-</v>
      </c>
      <c r="Y92" s="120" t="str">
        <f t="shared" si="42"/>
        <v>-</v>
      </c>
      <c r="Z92" s="120" t="str">
        <f t="shared" si="42"/>
        <v>-</v>
      </c>
      <c r="AA92" s="264" t="str">
        <f t="shared" si="42"/>
        <v>-</v>
      </c>
      <c r="AD92" s="330" t="s">
        <v>118</v>
      </c>
    </row>
    <row r="93" spans="1:30" ht="26.25" outlineLevel="1" x14ac:dyDescent="0.25">
      <c r="A93" s="234"/>
      <c r="B93" s="110"/>
      <c r="C93" s="121">
        <v>4</v>
      </c>
      <c r="D93" s="198"/>
      <c r="E93" s="199">
        <v>100</v>
      </c>
      <c r="F93" s="100">
        <v>1200</v>
      </c>
      <c r="G93" s="199">
        <v>100</v>
      </c>
      <c r="H93" s="102"/>
      <c r="I93" s="116">
        <v>10</v>
      </c>
      <c r="J93" s="117">
        <f>J90+3800*8/200</f>
        <v>219</v>
      </c>
      <c r="K93" s="110">
        <v>2</v>
      </c>
      <c r="L93" s="118">
        <f t="shared" si="5"/>
        <v>1400</v>
      </c>
      <c r="M93" s="118" t="str">
        <f t="shared" si="38"/>
        <v>-</v>
      </c>
      <c r="N93" s="118" t="str">
        <f t="shared" si="20"/>
        <v>-</v>
      </c>
      <c r="O93" s="119">
        <f t="shared" si="40"/>
        <v>613.20000000000005</v>
      </c>
      <c r="P93" s="235">
        <f t="shared" si="41"/>
        <v>378.1</v>
      </c>
      <c r="Q93" s="263" t="str">
        <f t="shared" si="42"/>
        <v>-</v>
      </c>
      <c r="R93" s="120" t="str">
        <f t="shared" si="42"/>
        <v>-</v>
      </c>
      <c r="S93" s="120">
        <f t="shared" si="42"/>
        <v>378.1</v>
      </c>
      <c r="T93" s="120" t="str">
        <f t="shared" si="42"/>
        <v>-</v>
      </c>
      <c r="U93" s="120" t="str">
        <f t="shared" si="42"/>
        <v>-</v>
      </c>
      <c r="V93" s="120" t="str">
        <f t="shared" si="42"/>
        <v>-</v>
      </c>
      <c r="W93" s="120" t="str">
        <f t="shared" si="42"/>
        <v>-</v>
      </c>
      <c r="X93" s="120" t="str">
        <f t="shared" si="42"/>
        <v>-</v>
      </c>
      <c r="Y93" s="120" t="str">
        <f t="shared" si="42"/>
        <v>-</v>
      </c>
      <c r="Z93" s="120" t="str">
        <f t="shared" si="42"/>
        <v>-</v>
      </c>
      <c r="AA93" s="264" t="str">
        <f t="shared" si="42"/>
        <v>-</v>
      </c>
      <c r="AD93" s="330" t="s">
        <v>118</v>
      </c>
    </row>
    <row r="94" spans="1:30" ht="26.25" outlineLevel="1" x14ac:dyDescent="0.25">
      <c r="A94" s="234"/>
      <c r="B94" s="110"/>
      <c r="C94" s="200" t="s">
        <v>46</v>
      </c>
      <c r="D94" s="198"/>
      <c r="E94" s="199"/>
      <c r="F94" s="100">
        <f>2000+3800*3+2000</f>
        <v>15400</v>
      </c>
      <c r="G94" s="199"/>
      <c r="H94" s="102"/>
      <c r="I94" s="116">
        <v>6</v>
      </c>
      <c r="J94" s="104">
        <f>(F93-200)/250</f>
        <v>4</v>
      </c>
      <c r="K94" s="110">
        <v>7</v>
      </c>
      <c r="L94" s="118">
        <f t="shared" si="5"/>
        <v>15400</v>
      </c>
      <c r="M94" s="118">
        <f t="shared" si="38"/>
        <v>1</v>
      </c>
      <c r="N94" s="118">
        <f t="shared" si="20"/>
        <v>180</v>
      </c>
      <c r="O94" s="119">
        <f t="shared" si="40"/>
        <v>436.2</v>
      </c>
      <c r="P94" s="235">
        <f t="shared" si="41"/>
        <v>96.8</v>
      </c>
      <c r="Q94" s="263">
        <f t="shared" si="42"/>
        <v>96.8</v>
      </c>
      <c r="R94" s="120" t="str">
        <f t="shared" si="42"/>
        <v>-</v>
      </c>
      <c r="S94" s="120" t="str">
        <f t="shared" si="42"/>
        <v>-</v>
      </c>
      <c r="T94" s="120" t="str">
        <f t="shared" si="42"/>
        <v>-</v>
      </c>
      <c r="U94" s="120" t="str">
        <f t="shared" si="42"/>
        <v>-</v>
      </c>
      <c r="V94" s="120" t="str">
        <f t="shared" si="42"/>
        <v>-</v>
      </c>
      <c r="W94" s="120" t="str">
        <f t="shared" si="42"/>
        <v>-</v>
      </c>
      <c r="X94" s="120" t="str">
        <f t="shared" si="42"/>
        <v>-</v>
      </c>
      <c r="Y94" s="120" t="str">
        <f t="shared" si="42"/>
        <v>-</v>
      </c>
      <c r="Z94" s="120" t="str">
        <f t="shared" si="42"/>
        <v>-</v>
      </c>
      <c r="AA94" s="264" t="str">
        <f t="shared" si="42"/>
        <v>-</v>
      </c>
      <c r="AD94" s="330" t="s">
        <v>118</v>
      </c>
    </row>
    <row r="95" spans="1:30" ht="26.25" outlineLevel="1" x14ac:dyDescent="0.25">
      <c r="A95" s="234"/>
      <c r="B95" s="110"/>
      <c r="C95" s="200" t="s">
        <v>47</v>
      </c>
      <c r="D95" s="198"/>
      <c r="E95" s="199"/>
      <c r="F95" s="100">
        <f>F92</f>
        <v>30400</v>
      </c>
      <c r="G95" s="199"/>
      <c r="H95" s="102"/>
      <c r="I95" s="116">
        <v>6</v>
      </c>
      <c r="J95" s="104">
        <f>(1200-200)/250</f>
        <v>4</v>
      </c>
      <c r="K95" s="110">
        <v>2</v>
      </c>
      <c r="L95" s="118">
        <f t="shared" si="5"/>
        <v>30400</v>
      </c>
      <c r="M95" s="118">
        <f t="shared" ref="M95" si="45">IF(L95&lt;=Lcay,"-",IF(L95&lt;(2*Lcay-I95*Nc),1,INT(L95/(Lcay-I95*Nc))))</f>
        <v>2</v>
      </c>
      <c r="N95" s="118">
        <f t="shared" si="20"/>
        <v>180</v>
      </c>
      <c r="O95" s="119">
        <f t="shared" si="40"/>
        <v>246.1</v>
      </c>
      <c r="P95" s="235">
        <f t="shared" si="41"/>
        <v>54.6</v>
      </c>
      <c r="Q95" s="263">
        <f t="shared" si="42"/>
        <v>54.6</v>
      </c>
      <c r="R95" s="120" t="str">
        <f t="shared" si="42"/>
        <v>-</v>
      </c>
      <c r="S95" s="120" t="str">
        <f t="shared" si="42"/>
        <v>-</v>
      </c>
      <c r="T95" s="120" t="str">
        <f t="shared" si="42"/>
        <v>-</v>
      </c>
      <c r="U95" s="120" t="str">
        <f t="shared" si="42"/>
        <v>-</v>
      </c>
      <c r="V95" s="120" t="str">
        <f t="shared" si="42"/>
        <v>-</v>
      </c>
      <c r="W95" s="120" t="str">
        <f t="shared" si="42"/>
        <v>-</v>
      </c>
      <c r="X95" s="120" t="str">
        <f t="shared" si="42"/>
        <v>-</v>
      </c>
      <c r="Y95" s="120" t="str">
        <f t="shared" si="42"/>
        <v>-</v>
      </c>
      <c r="Z95" s="120" t="str">
        <f t="shared" si="42"/>
        <v>-</v>
      </c>
      <c r="AA95" s="264" t="str">
        <f t="shared" si="42"/>
        <v>-</v>
      </c>
      <c r="AD95" s="330" t="s">
        <v>118</v>
      </c>
    </row>
    <row r="96" spans="1:30" ht="26.25" outlineLevel="1" x14ac:dyDescent="0.25">
      <c r="A96" s="234"/>
      <c r="B96" s="110"/>
      <c r="C96" s="121">
        <v>5</v>
      </c>
      <c r="D96" s="122"/>
      <c r="E96" s="162">
        <v>100</v>
      </c>
      <c r="F96" s="113">
        <v>800</v>
      </c>
      <c r="G96" s="162">
        <v>100</v>
      </c>
      <c r="H96" s="123"/>
      <c r="I96" s="116">
        <v>10</v>
      </c>
      <c r="J96" s="117">
        <f>(3800*8/200+1800/200+2000/200+2000/200+3800*3/200+2000/200)*2+2000/200+2000/200</f>
        <v>516</v>
      </c>
      <c r="K96" s="110">
        <v>1</v>
      </c>
      <c r="L96" s="118">
        <f t="shared" si="5"/>
        <v>1000</v>
      </c>
      <c r="M96" s="118" t="str">
        <f t="shared" si="38"/>
        <v>-</v>
      </c>
      <c r="N96" s="118" t="str">
        <f t="shared" si="20"/>
        <v>-</v>
      </c>
      <c r="O96" s="119">
        <f t="shared" si="40"/>
        <v>516</v>
      </c>
      <c r="P96" s="235">
        <f t="shared" si="41"/>
        <v>318.10000000000002</v>
      </c>
      <c r="Q96" s="263" t="str">
        <f t="shared" si="42"/>
        <v>-</v>
      </c>
      <c r="R96" s="120" t="str">
        <f t="shared" si="42"/>
        <v>-</v>
      </c>
      <c r="S96" s="120">
        <f t="shared" si="42"/>
        <v>318.10000000000002</v>
      </c>
      <c r="T96" s="120" t="str">
        <f t="shared" si="42"/>
        <v>-</v>
      </c>
      <c r="U96" s="120" t="str">
        <f t="shared" si="42"/>
        <v>-</v>
      </c>
      <c r="V96" s="120" t="str">
        <f t="shared" si="42"/>
        <v>-</v>
      </c>
      <c r="W96" s="120" t="str">
        <f t="shared" si="42"/>
        <v>-</v>
      </c>
      <c r="X96" s="120" t="str">
        <f t="shared" si="42"/>
        <v>-</v>
      </c>
      <c r="Y96" s="120" t="str">
        <f t="shared" si="42"/>
        <v>-</v>
      </c>
      <c r="Z96" s="120" t="str">
        <f t="shared" si="42"/>
        <v>-</v>
      </c>
      <c r="AA96" s="264" t="str">
        <f t="shared" si="42"/>
        <v>-</v>
      </c>
      <c r="AD96" s="330" t="s">
        <v>118</v>
      </c>
    </row>
    <row r="97" spans="1:30" ht="26.25" outlineLevel="1" x14ac:dyDescent="0.25">
      <c r="A97" s="234"/>
      <c r="B97" s="110"/>
      <c r="C97" s="200" t="s">
        <v>43</v>
      </c>
      <c r="D97" s="198"/>
      <c r="E97" s="199"/>
      <c r="F97" s="100">
        <f>1800+3800*8+2000+2000+3800*3+2000</f>
        <v>49600</v>
      </c>
      <c r="G97" s="199"/>
      <c r="H97" s="102"/>
      <c r="I97" s="116">
        <v>6</v>
      </c>
      <c r="J97" s="104">
        <f>(F96-200)/250</f>
        <v>2.4</v>
      </c>
      <c r="K97" s="110">
        <v>2</v>
      </c>
      <c r="L97" s="118">
        <f t="shared" si="5"/>
        <v>49600</v>
      </c>
      <c r="M97" s="118">
        <f t="shared" ref="M97" si="46">IF(L97&lt;=Lcay,"-",IF(L97&lt;(2*Lcay-I97*Nc),1,INT(L97/(Lcay-I97*Nc))))</f>
        <v>4</v>
      </c>
      <c r="N97" s="118">
        <f t="shared" si="20"/>
        <v>180</v>
      </c>
      <c r="O97" s="119">
        <f t="shared" si="40"/>
        <v>241.5</v>
      </c>
      <c r="P97" s="235">
        <f t="shared" si="41"/>
        <v>53.6</v>
      </c>
      <c r="Q97" s="263">
        <f t="shared" si="42"/>
        <v>53.6</v>
      </c>
      <c r="R97" s="120" t="str">
        <f t="shared" si="42"/>
        <v>-</v>
      </c>
      <c r="S97" s="120" t="str">
        <f t="shared" si="42"/>
        <v>-</v>
      </c>
      <c r="T97" s="120" t="str">
        <f t="shared" si="42"/>
        <v>-</v>
      </c>
      <c r="U97" s="120" t="str">
        <f t="shared" si="42"/>
        <v>-</v>
      </c>
      <c r="V97" s="120" t="str">
        <f t="shared" si="42"/>
        <v>-</v>
      </c>
      <c r="W97" s="120" t="str">
        <f t="shared" si="42"/>
        <v>-</v>
      </c>
      <c r="X97" s="120" t="str">
        <f t="shared" si="42"/>
        <v>-</v>
      </c>
      <c r="Y97" s="120" t="str">
        <f t="shared" si="42"/>
        <v>-</v>
      </c>
      <c r="Z97" s="120" t="str">
        <f t="shared" si="42"/>
        <v>-</v>
      </c>
      <c r="AA97" s="264" t="str">
        <f t="shared" si="42"/>
        <v>-</v>
      </c>
      <c r="AD97" s="330" t="s">
        <v>118</v>
      </c>
    </row>
    <row r="98" spans="1:30" ht="26.25" outlineLevel="1" x14ac:dyDescent="0.25">
      <c r="A98" s="234"/>
      <c r="B98" s="110"/>
      <c r="C98" s="121">
        <v>6</v>
      </c>
      <c r="D98" s="198">
        <v>80</v>
      </c>
      <c r="E98" s="199"/>
      <c r="F98" s="100">
        <v>2200</v>
      </c>
      <c r="G98" s="199"/>
      <c r="H98" s="102">
        <v>80</v>
      </c>
      <c r="I98" s="116">
        <v>8</v>
      </c>
      <c r="J98" s="117">
        <f>3800*5/150</f>
        <v>126.66666666666667</v>
      </c>
      <c r="K98" s="110">
        <v>1</v>
      </c>
      <c r="L98" s="118">
        <f t="shared" si="5"/>
        <v>2360</v>
      </c>
      <c r="M98" s="118" t="str">
        <f t="shared" ref="M98:M101" si="47">IF(L98&lt;=Lcay,"-",IF(L98&lt;(2*Lcay-I98*Nc),1,INT(L98/(Lcay-I98*Nc))))</f>
        <v>-</v>
      </c>
      <c r="N98" s="118" t="str">
        <f t="shared" si="20"/>
        <v>-</v>
      </c>
      <c r="O98" s="119">
        <f t="shared" si="40"/>
        <v>298.89999999999998</v>
      </c>
      <c r="P98" s="235">
        <f t="shared" si="41"/>
        <v>117.9</v>
      </c>
      <c r="Q98" s="263" t="str">
        <f t="shared" si="42"/>
        <v>-</v>
      </c>
      <c r="R98" s="120">
        <f t="shared" si="42"/>
        <v>117.9</v>
      </c>
      <c r="S98" s="120" t="str">
        <f t="shared" si="42"/>
        <v>-</v>
      </c>
      <c r="T98" s="120" t="str">
        <f t="shared" si="42"/>
        <v>-</v>
      </c>
      <c r="U98" s="120" t="str">
        <f t="shared" si="42"/>
        <v>-</v>
      </c>
      <c r="V98" s="120" t="str">
        <f t="shared" si="42"/>
        <v>-</v>
      </c>
      <c r="W98" s="120" t="str">
        <f t="shared" si="42"/>
        <v>-</v>
      </c>
      <c r="X98" s="120" t="str">
        <f t="shared" si="42"/>
        <v>-</v>
      </c>
      <c r="Y98" s="120" t="str">
        <f t="shared" si="42"/>
        <v>-</v>
      </c>
      <c r="Z98" s="120" t="str">
        <f t="shared" si="42"/>
        <v>-</v>
      </c>
      <c r="AA98" s="264" t="str">
        <f t="shared" si="42"/>
        <v>-</v>
      </c>
      <c r="AD98" s="330" t="s">
        <v>118</v>
      </c>
    </row>
    <row r="99" spans="1:30" ht="26.25" outlineLevel="1" x14ac:dyDescent="0.25">
      <c r="A99" s="234"/>
      <c r="B99" s="110"/>
      <c r="C99" s="121">
        <v>7</v>
      </c>
      <c r="D99" s="122">
        <v>80</v>
      </c>
      <c r="E99" s="162"/>
      <c r="F99" s="113">
        <f>20200</f>
        <v>20200</v>
      </c>
      <c r="G99" s="162"/>
      <c r="H99" s="123">
        <v>80</v>
      </c>
      <c r="I99" s="116">
        <v>8</v>
      </c>
      <c r="J99" s="117">
        <f>1800/150</f>
        <v>12</v>
      </c>
      <c r="K99" s="110">
        <v>1</v>
      </c>
      <c r="L99" s="118">
        <f t="shared" si="5"/>
        <v>20360</v>
      </c>
      <c r="M99" s="118">
        <f t="shared" si="47"/>
        <v>1</v>
      </c>
      <c r="N99" s="118">
        <f t="shared" si="20"/>
        <v>240</v>
      </c>
      <c r="O99" s="119">
        <f t="shared" si="40"/>
        <v>247.2</v>
      </c>
      <c r="P99" s="235">
        <f t="shared" si="41"/>
        <v>97.5</v>
      </c>
      <c r="Q99" s="263" t="str">
        <f t="shared" si="42"/>
        <v>-</v>
      </c>
      <c r="R99" s="120">
        <f t="shared" si="42"/>
        <v>97.5</v>
      </c>
      <c r="S99" s="120" t="str">
        <f t="shared" si="42"/>
        <v>-</v>
      </c>
      <c r="T99" s="120" t="str">
        <f t="shared" si="42"/>
        <v>-</v>
      </c>
      <c r="U99" s="120" t="str">
        <f t="shared" si="42"/>
        <v>-</v>
      </c>
      <c r="V99" s="120" t="str">
        <f t="shared" si="42"/>
        <v>-</v>
      </c>
      <c r="W99" s="120" t="str">
        <f t="shared" si="42"/>
        <v>-</v>
      </c>
      <c r="X99" s="120" t="str">
        <f t="shared" si="42"/>
        <v>-</v>
      </c>
      <c r="Y99" s="120" t="str">
        <f t="shared" si="42"/>
        <v>-</v>
      </c>
      <c r="Z99" s="120" t="str">
        <f t="shared" si="42"/>
        <v>-</v>
      </c>
      <c r="AA99" s="264" t="str">
        <f t="shared" si="42"/>
        <v>-</v>
      </c>
      <c r="AD99" s="330" t="s">
        <v>118</v>
      </c>
    </row>
    <row r="100" spans="1:30" ht="26.25" outlineLevel="1" x14ac:dyDescent="0.25">
      <c r="A100" s="234"/>
      <c r="B100" s="110"/>
      <c r="C100" s="121">
        <v>8</v>
      </c>
      <c r="D100" s="198">
        <v>80</v>
      </c>
      <c r="E100" s="199"/>
      <c r="F100" s="100">
        <v>2400</v>
      </c>
      <c r="G100" s="199"/>
      <c r="H100" s="102">
        <v>80</v>
      </c>
      <c r="I100" s="116">
        <v>8</v>
      </c>
      <c r="J100" s="117">
        <f>3800*8/150+1800/150+2000/150</f>
        <v>228</v>
      </c>
      <c r="K100" s="110">
        <v>2</v>
      </c>
      <c r="L100" s="118">
        <f t="shared" si="5"/>
        <v>2560</v>
      </c>
      <c r="M100" s="118" t="str">
        <f t="shared" si="47"/>
        <v>-</v>
      </c>
      <c r="N100" s="118" t="str">
        <f t="shared" si="20"/>
        <v>-</v>
      </c>
      <c r="O100" s="119">
        <f t="shared" si="40"/>
        <v>1167.4000000000001</v>
      </c>
      <c r="P100" s="235">
        <f t="shared" si="41"/>
        <v>460.6</v>
      </c>
      <c r="Q100" s="263" t="str">
        <f t="shared" si="42"/>
        <v>-</v>
      </c>
      <c r="R100" s="120">
        <f t="shared" si="42"/>
        <v>460.6</v>
      </c>
      <c r="S100" s="120" t="str">
        <f t="shared" si="42"/>
        <v>-</v>
      </c>
      <c r="T100" s="120" t="str">
        <f t="shared" si="42"/>
        <v>-</v>
      </c>
      <c r="U100" s="120" t="str">
        <f t="shared" si="42"/>
        <v>-</v>
      </c>
      <c r="V100" s="120" t="str">
        <f t="shared" si="42"/>
        <v>-</v>
      </c>
      <c r="W100" s="120" t="str">
        <f t="shared" si="42"/>
        <v>-</v>
      </c>
      <c r="X100" s="120" t="str">
        <f t="shared" si="42"/>
        <v>-</v>
      </c>
      <c r="Y100" s="120" t="str">
        <f t="shared" si="42"/>
        <v>-</v>
      </c>
      <c r="Z100" s="120" t="str">
        <f t="shared" si="42"/>
        <v>-</v>
      </c>
      <c r="AA100" s="264" t="str">
        <f t="shared" si="42"/>
        <v>-</v>
      </c>
      <c r="AD100" s="330" t="s">
        <v>118</v>
      </c>
    </row>
    <row r="101" spans="1:30" ht="26.25" outlineLevel="1" x14ac:dyDescent="0.25">
      <c r="A101" s="234"/>
      <c r="B101" s="110"/>
      <c r="C101" s="121">
        <v>9</v>
      </c>
      <c r="D101" s="122">
        <v>80</v>
      </c>
      <c r="E101" s="162"/>
      <c r="F101" s="113">
        <f>4000*8+2300+2100</f>
        <v>36400</v>
      </c>
      <c r="G101" s="162"/>
      <c r="H101" s="123">
        <v>80</v>
      </c>
      <c r="I101" s="116">
        <v>8</v>
      </c>
      <c r="J101" s="117">
        <f>2000/150</f>
        <v>13.333333333333334</v>
      </c>
      <c r="K101" s="110">
        <v>2</v>
      </c>
      <c r="L101" s="118">
        <f t="shared" si="5"/>
        <v>36560</v>
      </c>
      <c r="M101" s="118">
        <f t="shared" si="47"/>
        <v>3</v>
      </c>
      <c r="N101" s="118">
        <f t="shared" si="20"/>
        <v>240</v>
      </c>
      <c r="O101" s="119">
        <f t="shared" si="40"/>
        <v>994.1</v>
      </c>
      <c r="P101" s="235">
        <f t="shared" si="41"/>
        <v>392.3</v>
      </c>
      <c r="Q101" s="263" t="str">
        <f t="shared" si="42"/>
        <v>-</v>
      </c>
      <c r="R101" s="120">
        <f t="shared" si="42"/>
        <v>392.3</v>
      </c>
      <c r="S101" s="120" t="str">
        <f t="shared" si="42"/>
        <v>-</v>
      </c>
      <c r="T101" s="120" t="str">
        <f t="shared" si="42"/>
        <v>-</v>
      </c>
      <c r="U101" s="120" t="str">
        <f t="shared" si="42"/>
        <v>-</v>
      </c>
      <c r="V101" s="120" t="str">
        <f t="shared" si="42"/>
        <v>-</v>
      </c>
      <c r="W101" s="120" t="str">
        <f t="shared" si="42"/>
        <v>-</v>
      </c>
      <c r="X101" s="120" t="str">
        <f t="shared" si="42"/>
        <v>-</v>
      </c>
      <c r="Y101" s="120" t="str">
        <f t="shared" si="42"/>
        <v>-</v>
      </c>
      <c r="Z101" s="120" t="str">
        <f t="shared" si="42"/>
        <v>-</v>
      </c>
      <c r="AA101" s="264" t="str">
        <f t="shared" si="42"/>
        <v>-</v>
      </c>
      <c r="AD101" s="330" t="s">
        <v>118</v>
      </c>
    </row>
    <row r="102" spans="1:30" s="159" customFormat="1" ht="26.25" outlineLevel="1" thickBot="1" x14ac:dyDescent="0.25">
      <c r="A102" s="285"/>
      <c r="B102" s="286"/>
      <c r="C102" s="287"/>
      <c r="D102" s="288"/>
      <c r="E102" s="289"/>
      <c r="F102" s="290"/>
      <c r="G102" s="291"/>
      <c r="H102" s="292"/>
      <c r="I102" s="293"/>
      <c r="J102" s="294"/>
      <c r="K102" s="295"/>
      <c r="L102" s="296"/>
      <c r="M102" s="296"/>
      <c r="N102" s="296"/>
      <c r="O102" s="297" t="str">
        <f>IF(ISBLANK($I102),"",ROUND(PRODUCT($J102:$L102,10^-3)+PRODUCT(IF($L102&lt;Lcay,0,$L102),$J102:$K102,$M102:$N102,10^-3),1))</f>
        <v/>
      </c>
      <c r="P102" s="298"/>
      <c r="Q102" s="273" t="str">
        <f t="shared" si="42"/>
        <v>-</v>
      </c>
      <c r="R102" s="197" t="str">
        <f t="shared" si="42"/>
        <v>-</v>
      </c>
      <c r="S102" s="197" t="str">
        <f t="shared" si="42"/>
        <v>-</v>
      </c>
      <c r="T102" s="197" t="str">
        <f t="shared" si="42"/>
        <v>-</v>
      </c>
      <c r="U102" s="197" t="str">
        <f t="shared" si="42"/>
        <v>-</v>
      </c>
      <c r="V102" s="197" t="str">
        <f t="shared" si="42"/>
        <v>-</v>
      </c>
      <c r="W102" s="197" t="str">
        <f t="shared" si="42"/>
        <v>-</v>
      </c>
      <c r="X102" s="197" t="str">
        <f t="shared" si="42"/>
        <v>-</v>
      </c>
      <c r="Y102" s="197" t="str">
        <f t="shared" si="42"/>
        <v>-</v>
      </c>
      <c r="Z102" s="197" t="str">
        <f t="shared" si="42"/>
        <v>-</v>
      </c>
      <c r="AA102" s="270" t="str">
        <f t="shared" si="42"/>
        <v>-</v>
      </c>
      <c r="AD102" s="330" t="s">
        <v>118</v>
      </c>
    </row>
    <row r="103" spans="1:30" s="201" customFormat="1" ht="27" hidden="1" thickTop="1" thickBot="1" x14ac:dyDescent="0.25">
      <c r="A103" s="278"/>
      <c r="B103" s="279"/>
      <c r="C103" s="280"/>
      <c r="D103" s="316" t="s">
        <v>24</v>
      </c>
      <c r="E103" s="317"/>
      <c r="F103" s="317"/>
      <c r="G103" s="317"/>
      <c r="H103" s="317"/>
      <c r="I103" s="318"/>
      <c r="J103" s="281"/>
      <c r="K103" s="281"/>
      <c r="L103" s="282"/>
      <c r="M103" s="282"/>
      <c r="N103" s="282"/>
      <c r="O103" s="283"/>
      <c r="P103" s="284"/>
      <c r="Q103" s="274"/>
      <c r="R103" s="246"/>
      <c r="S103" s="246"/>
      <c r="T103" s="246"/>
      <c r="U103" s="246"/>
      <c r="V103" s="246"/>
      <c r="W103" s="246"/>
      <c r="X103" s="246"/>
      <c r="Y103" s="246"/>
      <c r="Z103" s="246"/>
      <c r="AA103" s="275"/>
      <c r="AD103" s="330" t="s">
        <v>118</v>
      </c>
    </row>
    <row r="104" spans="1:30" ht="15.75" thickTop="1" x14ac:dyDescent="0.25">
      <c r="A104" s="202"/>
      <c r="B104" s="203"/>
      <c r="C104" s="202"/>
      <c r="D104" s="202"/>
      <c r="E104" s="202"/>
      <c r="F104" s="204"/>
      <c r="G104" s="205"/>
      <c r="H104" s="202"/>
      <c r="I104" s="202"/>
      <c r="J104" s="202"/>
      <c r="K104" s="202"/>
      <c r="L104" s="206"/>
      <c r="M104" s="206"/>
      <c r="N104" s="206"/>
      <c r="O104" s="207"/>
      <c r="P104" s="207"/>
      <c r="Q104" s="202"/>
      <c r="R104" s="202"/>
      <c r="S104" s="202"/>
      <c r="T104" s="202"/>
      <c r="U104" s="202"/>
      <c r="V104" s="202"/>
      <c r="W104" s="202"/>
      <c r="X104" s="202"/>
      <c r="Y104" s="202"/>
      <c r="Z104" s="202"/>
      <c r="AA104" s="202"/>
    </row>
    <row r="105" spans="1:30" x14ac:dyDescent="0.25">
      <c r="E105" s="299" t="s">
        <v>109</v>
      </c>
      <c r="N105" s="313" t="s">
        <v>114</v>
      </c>
      <c r="O105" s="313"/>
      <c r="P105" s="313"/>
      <c r="Q105" s="313"/>
      <c r="R105" s="313"/>
    </row>
    <row r="106" spans="1:30" x14ac:dyDescent="0.25">
      <c r="E106" s="299" t="s">
        <v>110</v>
      </c>
      <c r="N106" s="314" t="s">
        <v>115</v>
      </c>
      <c r="O106" s="314"/>
      <c r="P106" s="314"/>
      <c r="Q106" s="314"/>
      <c r="R106" s="314"/>
    </row>
    <row r="107" spans="1:30" x14ac:dyDescent="0.25">
      <c r="E107" s="299" t="s">
        <v>111</v>
      </c>
      <c r="N107" s="314" t="s">
        <v>116</v>
      </c>
      <c r="O107" s="314"/>
      <c r="P107" s="314"/>
      <c r="Q107" s="314"/>
      <c r="R107" s="314"/>
    </row>
    <row r="108" spans="1:30" x14ac:dyDescent="0.25">
      <c r="E108" s="299" t="s">
        <v>112</v>
      </c>
      <c r="N108" s="300"/>
      <c r="O108" s="300"/>
      <c r="P108" s="300"/>
      <c r="Q108" s="300"/>
      <c r="R108" s="300"/>
    </row>
    <row r="109" spans="1:30" x14ac:dyDescent="0.25">
      <c r="E109" s="299"/>
      <c r="N109" s="301"/>
      <c r="O109" s="301"/>
      <c r="P109" s="301"/>
      <c r="Q109" s="301"/>
      <c r="R109" s="302"/>
    </row>
    <row r="110" spans="1:30" x14ac:dyDescent="0.25">
      <c r="E110" s="299"/>
      <c r="N110" s="301"/>
      <c r="O110" s="301"/>
      <c r="P110" s="301"/>
      <c r="Q110" s="301"/>
      <c r="R110" s="302"/>
    </row>
    <row r="111" spans="1:30" x14ac:dyDescent="0.25">
      <c r="E111" s="299"/>
      <c r="N111" s="301"/>
      <c r="O111" s="301"/>
      <c r="P111" s="301"/>
      <c r="Q111" s="301"/>
      <c r="R111" s="302"/>
    </row>
    <row r="112" spans="1:30" x14ac:dyDescent="0.25">
      <c r="E112" s="299"/>
      <c r="N112" s="301"/>
      <c r="O112" s="301"/>
      <c r="P112" s="301"/>
      <c r="Q112" s="301"/>
      <c r="R112" s="302"/>
    </row>
    <row r="113" spans="5:18" x14ac:dyDescent="0.25">
      <c r="E113" s="299" t="s">
        <v>113</v>
      </c>
      <c r="N113" s="315" t="s">
        <v>117</v>
      </c>
      <c r="O113" s="315"/>
      <c r="P113" s="315"/>
      <c r="Q113" s="315"/>
      <c r="R113" s="315"/>
    </row>
  </sheetData>
  <mergeCells count="10">
    <mergeCell ref="N105:R105"/>
    <mergeCell ref="N106:R106"/>
    <mergeCell ref="N107:R107"/>
    <mergeCell ref="N113:R113"/>
    <mergeCell ref="D103:I103"/>
    <mergeCell ref="D5:G5"/>
    <mergeCell ref="D6:H6"/>
    <mergeCell ref="D7:H7"/>
    <mergeCell ref="A1:P1"/>
    <mergeCell ref="A2:P2"/>
  </mergeCells>
  <dataValidations count="3">
    <dataValidation type="list" allowBlank="1" showInputMessage="1" showErrorMessage="1" errorTitle="Đường kính thép nhập không đúng" error="hãy nhập lại đường kính thép :_x000a__x000a_" promptTitle="nhập đường kính thép" prompt="bấm chọn, hoặt nhập số" sqref="WVX982883:XFD982883 JL2:SR2 TH2:ACN2 ADD2:AMJ2 AMZ2:AWF2 AWV2:BGB2 BGR2:BPX2 BQN2:BZT2 CAJ2:CJP2 CKF2:CTL2 CUB2:DDH2 DDX2:DND2 DNT2:DWZ2 DXP2:EGV2 EHL2:EQR2 ERH2:FAN2 FBD2:FKJ2 FKZ2:FUF2 FUV2:GEB2 GER2:GNX2 GON2:GXT2 GYJ2:HHP2 HIF2:HRL2 HSB2:IBH2 IBX2:ILD2 ILT2:IUZ2 IVP2:JEV2 JFL2:JOR2 JPH2:JYN2 JZD2:KIJ2 KIZ2:KSF2 KSV2:LCB2 LCR2:LLX2 LMN2:LVT2 LWJ2:MFP2 MGF2:MPL2 MQB2:MZH2 MZX2:NJD2 NJT2:NSZ2 NTP2:OCV2 ODL2:OMR2 ONH2:OWN2 OXD2:PGJ2 PGZ2:PQF2 PQV2:QAB2 QAR2:QJX2 QKN2:QTT2 QUJ2:RDP2 REF2:RNL2 ROB2:RXH2 RXX2:SHD2 SHT2:SQZ2 SRP2:TAV2 TBL2:TKR2 TLH2:TUN2 TVD2:UEJ2 UEZ2:UOF2 UOV2:UYB2 UYR2:VHX2 VIN2:VRT2 VSJ2:WBP2 WCF2:WLL2 WMB2:WVH2 WVX2:XFD2 JL65379:SR65379 TH65379:ACN65379 ADD65379:AMJ65379 AMZ65379:AWF65379 AWV65379:BGB65379 BGR65379:BPX65379 BQN65379:BZT65379 CAJ65379:CJP65379 CKF65379:CTL65379 CUB65379:DDH65379 DDX65379:DND65379 DNT65379:DWZ65379 DXP65379:EGV65379 EHL65379:EQR65379 ERH65379:FAN65379 FBD65379:FKJ65379 FKZ65379:FUF65379 FUV65379:GEB65379 GER65379:GNX65379 GON65379:GXT65379 GYJ65379:HHP65379 HIF65379:HRL65379 HSB65379:IBH65379 IBX65379:ILD65379 ILT65379:IUZ65379 IVP65379:JEV65379 JFL65379:JOR65379 JPH65379:JYN65379 JZD65379:KIJ65379 KIZ65379:KSF65379 KSV65379:LCB65379 LCR65379:LLX65379 LMN65379:LVT65379 LWJ65379:MFP65379 MGF65379:MPL65379 MQB65379:MZH65379 MZX65379:NJD65379 NJT65379:NSZ65379 NTP65379:OCV65379 ODL65379:OMR65379 ONH65379:OWN65379 OXD65379:PGJ65379 PGZ65379:PQF65379 PQV65379:QAB65379 QAR65379:QJX65379 QKN65379:QTT65379 QUJ65379:RDP65379 REF65379:RNL65379 ROB65379:RXH65379 RXX65379:SHD65379 SHT65379:SQZ65379 SRP65379:TAV65379 TBL65379:TKR65379 TLH65379:TUN65379 TVD65379:UEJ65379 UEZ65379:UOF65379 UOV65379:UYB65379 UYR65379:VHX65379 VIN65379:VRT65379 VSJ65379:WBP65379 WCF65379:WLL65379 WMB65379:WVH65379 WVX65379:XFD65379 JL130915:SR130915 TH130915:ACN130915 ADD130915:AMJ130915 AMZ130915:AWF130915 AWV130915:BGB130915 BGR130915:BPX130915 BQN130915:BZT130915 CAJ130915:CJP130915 CKF130915:CTL130915 CUB130915:DDH130915 DDX130915:DND130915 DNT130915:DWZ130915 DXP130915:EGV130915 EHL130915:EQR130915 ERH130915:FAN130915 FBD130915:FKJ130915 FKZ130915:FUF130915 FUV130915:GEB130915 GER130915:GNX130915 GON130915:GXT130915 GYJ130915:HHP130915 HIF130915:HRL130915 HSB130915:IBH130915 IBX130915:ILD130915 ILT130915:IUZ130915 IVP130915:JEV130915 JFL130915:JOR130915 JPH130915:JYN130915 JZD130915:KIJ130915 KIZ130915:KSF130915 KSV130915:LCB130915 LCR130915:LLX130915 LMN130915:LVT130915 LWJ130915:MFP130915 MGF130915:MPL130915 MQB130915:MZH130915 MZX130915:NJD130915 NJT130915:NSZ130915 NTP130915:OCV130915 ODL130915:OMR130915 ONH130915:OWN130915 OXD130915:PGJ130915 PGZ130915:PQF130915 PQV130915:QAB130915 QAR130915:QJX130915 QKN130915:QTT130915 QUJ130915:RDP130915 REF130915:RNL130915 ROB130915:RXH130915 RXX130915:SHD130915 SHT130915:SQZ130915 SRP130915:TAV130915 TBL130915:TKR130915 TLH130915:TUN130915 TVD130915:UEJ130915 UEZ130915:UOF130915 UOV130915:UYB130915 UYR130915:VHX130915 VIN130915:VRT130915 VSJ130915:WBP130915 WCF130915:WLL130915 WMB130915:WVH130915 WVX130915:XFD130915 JL196451:SR196451 TH196451:ACN196451 ADD196451:AMJ196451 AMZ196451:AWF196451 AWV196451:BGB196451 BGR196451:BPX196451 BQN196451:BZT196451 CAJ196451:CJP196451 CKF196451:CTL196451 CUB196451:DDH196451 DDX196451:DND196451 DNT196451:DWZ196451 DXP196451:EGV196451 EHL196451:EQR196451 ERH196451:FAN196451 FBD196451:FKJ196451 FKZ196451:FUF196451 FUV196451:GEB196451 GER196451:GNX196451 GON196451:GXT196451 GYJ196451:HHP196451 HIF196451:HRL196451 HSB196451:IBH196451 IBX196451:ILD196451 ILT196451:IUZ196451 IVP196451:JEV196451 JFL196451:JOR196451 JPH196451:JYN196451 JZD196451:KIJ196451 KIZ196451:KSF196451 KSV196451:LCB196451 LCR196451:LLX196451 LMN196451:LVT196451 LWJ196451:MFP196451 MGF196451:MPL196451 MQB196451:MZH196451 MZX196451:NJD196451 NJT196451:NSZ196451 NTP196451:OCV196451 ODL196451:OMR196451 ONH196451:OWN196451 OXD196451:PGJ196451 PGZ196451:PQF196451 PQV196451:QAB196451 QAR196451:QJX196451 QKN196451:QTT196451 QUJ196451:RDP196451 REF196451:RNL196451 ROB196451:RXH196451 RXX196451:SHD196451 SHT196451:SQZ196451 SRP196451:TAV196451 TBL196451:TKR196451 TLH196451:TUN196451 TVD196451:UEJ196451 UEZ196451:UOF196451 UOV196451:UYB196451 UYR196451:VHX196451 VIN196451:VRT196451 VSJ196451:WBP196451 WCF196451:WLL196451 WMB196451:WVH196451 WVX196451:XFD196451 JL261987:SR261987 TH261987:ACN261987 ADD261987:AMJ261987 AMZ261987:AWF261987 AWV261987:BGB261987 BGR261987:BPX261987 BQN261987:BZT261987 CAJ261987:CJP261987 CKF261987:CTL261987 CUB261987:DDH261987 DDX261987:DND261987 DNT261987:DWZ261987 DXP261987:EGV261987 EHL261987:EQR261987 ERH261987:FAN261987 FBD261987:FKJ261987 FKZ261987:FUF261987 FUV261987:GEB261987 GER261987:GNX261987 GON261987:GXT261987 GYJ261987:HHP261987 HIF261987:HRL261987 HSB261987:IBH261987 IBX261987:ILD261987 ILT261987:IUZ261987 IVP261987:JEV261987 JFL261987:JOR261987 JPH261987:JYN261987 JZD261987:KIJ261987 KIZ261987:KSF261987 KSV261987:LCB261987 LCR261987:LLX261987 LMN261987:LVT261987 LWJ261987:MFP261987 MGF261987:MPL261987 MQB261987:MZH261987 MZX261987:NJD261987 NJT261987:NSZ261987 NTP261987:OCV261987 ODL261987:OMR261987 ONH261987:OWN261987 OXD261987:PGJ261987 PGZ261987:PQF261987 PQV261987:QAB261987 QAR261987:QJX261987 QKN261987:QTT261987 QUJ261987:RDP261987 REF261987:RNL261987 ROB261987:RXH261987 RXX261987:SHD261987 SHT261987:SQZ261987 SRP261987:TAV261987 TBL261987:TKR261987 TLH261987:TUN261987 TVD261987:UEJ261987 UEZ261987:UOF261987 UOV261987:UYB261987 UYR261987:VHX261987 VIN261987:VRT261987 VSJ261987:WBP261987 WCF261987:WLL261987 WMB261987:WVH261987 WVX261987:XFD261987 JL327523:SR327523 TH327523:ACN327523 ADD327523:AMJ327523 AMZ327523:AWF327523 AWV327523:BGB327523 BGR327523:BPX327523 BQN327523:BZT327523 CAJ327523:CJP327523 CKF327523:CTL327523 CUB327523:DDH327523 DDX327523:DND327523 DNT327523:DWZ327523 DXP327523:EGV327523 EHL327523:EQR327523 ERH327523:FAN327523 FBD327523:FKJ327523 FKZ327523:FUF327523 FUV327523:GEB327523 GER327523:GNX327523 GON327523:GXT327523 GYJ327523:HHP327523 HIF327523:HRL327523 HSB327523:IBH327523 IBX327523:ILD327523 ILT327523:IUZ327523 IVP327523:JEV327523 JFL327523:JOR327523 JPH327523:JYN327523 JZD327523:KIJ327523 KIZ327523:KSF327523 KSV327523:LCB327523 LCR327523:LLX327523 LMN327523:LVT327523 LWJ327523:MFP327523 MGF327523:MPL327523 MQB327523:MZH327523 MZX327523:NJD327523 NJT327523:NSZ327523 NTP327523:OCV327523 ODL327523:OMR327523 ONH327523:OWN327523 OXD327523:PGJ327523 PGZ327523:PQF327523 PQV327523:QAB327523 QAR327523:QJX327523 QKN327523:QTT327523 QUJ327523:RDP327523 REF327523:RNL327523 ROB327523:RXH327523 RXX327523:SHD327523 SHT327523:SQZ327523 SRP327523:TAV327523 TBL327523:TKR327523 TLH327523:TUN327523 TVD327523:UEJ327523 UEZ327523:UOF327523 UOV327523:UYB327523 UYR327523:VHX327523 VIN327523:VRT327523 VSJ327523:WBP327523 WCF327523:WLL327523 WMB327523:WVH327523 WVX327523:XFD327523 JL393059:SR393059 TH393059:ACN393059 ADD393059:AMJ393059 AMZ393059:AWF393059 AWV393059:BGB393059 BGR393059:BPX393059 BQN393059:BZT393059 CAJ393059:CJP393059 CKF393059:CTL393059 CUB393059:DDH393059 DDX393059:DND393059 DNT393059:DWZ393059 DXP393059:EGV393059 EHL393059:EQR393059 ERH393059:FAN393059 FBD393059:FKJ393059 FKZ393059:FUF393059 FUV393059:GEB393059 GER393059:GNX393059 GON393059:GXT393059 GYJ393059:HHP393059 HIF393059:HRL393059 HSB393059:IBH393059 IBX393059:ILD393059 ILT393059:IUZ393059 IVP393059:JEV393059 JFL393059:JOR393059 JPH393059:JYN393059 JZD393059:KIJ393059 KIZ393059:KSF393059 KSV393059:LCB393059 LCR393059:LLX393059 LMN393059:LVT393059 LWJ393059:MFP393059 MGF393059:MPL393059 MQB393059:MZH393059 MZX393059:NJD393059 NJT393059:NSZ393059 NTP393059:OCV393059 ODL393059:OMR393059 ONH393059:OWN393059 OXD393059:PGJ393059 PGZ393059:PQF393059 PQV393059:QAB393059 QAR393059:QJX393059 QKN393059:QTT393059 QUJ393059:RDP393059 REF393059:RNL393059 ROB393059:RXH393059 RXX393059:SHD393059 SHT393059:SQZ393059 SRP393059:TAV393059 TBL393059:TKR393059 TLH393059:TUN393059 TVD393059:UEJ393059 UEZ393059:UOF393059 UOV393059:UYB393059 UYR393059:VHX393059 VIN393059:VRT393059 VSJ393059:WBP393059 WCF393059:WLL393059 WMB393059:WVH393059 WVX393059:XFD393059 JL458595:SR458595 TH458595:ACN458595 ADD458595:AMJ458595 AMZ458595:AWF458595 AWV458595:BGB458595 BGR458595:BPX458595 BQN458595:BZT458595 CAJ458595:CJP458595 CKF458595:CTL458595 CUB458595:DDH458595 DDX458595:DND458595 DNT458595:DWZ458595 DXP458595:EGV458595 EHL458595:EQR458595 ERH458595:FAN458595 FBD458595:FKJ458595 FKZ458595:FUF458595 FUV458595:GEB458595 GER458595:GNX458595 GON458595:GXT458595 GYJ458595:HHP458595 HIF458595:HRL458595 HSB458595:IBH458595 IBX458595:ILD458595 ILT458595:IUZ458595 IVP458595:JEV458595 JFL458595:JOR458595 JPH458595:JYN458595 JZD458595:KIJ458595 KIZ458595:KSF458595 KSV458595:LCB458595 LCR458595:LLX458595 LMN458595:LVT458595 LWJ458595:MFP458595 MGF458595:MPL458595 MQB458595:MZH458595 MZX458595:NJD458595 NJT458595:NSZ458595 NTP458595:OCV458595 ODL458595:OMR458595 ONH458595:OWN458595 OXD458595:PGJ458595 PGZ458595:PQF458595 PQV458595:QAB458595 QAR458595:QJX458595 QKN458595:QTT458595 QUJ458595:RDP458595 REF458595:RNL458595 ROB458595:RXH458595 RXX458595:SHD458595 SHT458595:SQZ458595 SRP458595:TAV458595 TBL458595:TKR458595 TLH458595:TUN458595 TVD458595:UEJ458595 UEZ458595:UOF458595 UOV458595:UYB458595 UYR458595:VHX458595 VIN458595:VRT458595 VSJ458595:WBP458595 WCF458595:WLL458595 WMB458595:WVH458595 WVX458595:XFD458595 JL524131:SR524131 TH524131:ACN524131 ADD524131:AMJ524131 AMZ524131:AWF524131 AWV524131:BGB524131 BGR524131:BPX524131 BQN524131:BZT524131 CAJ524131:CJP524131 CKF524131:CTL524131 CUB524131:DDH524131 DDX524131:DND524131 DNT524131:DWZ524131 DXP524131:EGV524131 EHL524131:EQR524131 ERH524131:FAN524131 FBD524131:FKJ524131 FKZ524131:FUF524131 FUV524131:GEB524131 GER524131:GNX524131 GON524131:GXT524131 GYJ524131:HHP524131 HIF524131:HRL524131 HSB524131:IBH524131 IBX524131:ILD524131 ILT524131:IUZ524131 IVP524131:JEV524131 JFL524131:JOR524131 JPH524131:JYN524131 JZD524131:KIJ524131 KIZ524131:KSF524131 KSV524131:LCB524131 LCR524131:LLX524131 LMN524131:LVT524131 LWJ524131:MFP524131 MGF524131:MPL524131 MQB524131:MZH524131 MZX524131:NJD524131 NJT524131:NSZ524131 NTP524131:OCV524131 ODL524131:OMR524131 ONH524131:OWN524131 OXD524131:PGJ524131 PGZ524131:PQF524131 PQV524131:QAB524131 QAR524131:QJX524131 QKN524131:QTT524131 QUJ524131:RDP524131 REF524131:RNL524131 ROB524131:RXH524131 RXX524131:SHD524131 SHT524131:SQZ524131 SRP524131:TAV524131 TBL524131:TKR524131 TLH524131:TUN524131 TVD524131:UEJ524131 UEZ524131:UOF524131 UOV524131:UYB524131 UYR524131:VHX524131 VIN524131:VRT524131 VSJ524131:WBP524131 WCF524131:WLL524131 WMB524131:WVH524131 WVX524131:XFD524131 JL589667:SR589667 TH589667:ACN589667 ADD589667:AMJ589667 AMZ589667:AWF589667 AWV589667:BGB589667 BGR589667:BPX589667 BQN589667:BZT589667 CAJ589667:CJP589667 CKF589667:CTL589667 CUB589667:DDH589667 DDX589667:DND589667 DNT589667:DWZ589667 DXP589667:EGV589667 EHL589667:EQR589667 ERH589667:FAN589667 FBD589667:FKJ589667 FKZ589667:FUF589667 FUV589667:GEB589667 GER589667:GNX589667 GON589667:GXT589667 GYJ589667:HHP589667 HIF589667:HRL589667 HSB589667:IBH589667 IBX589667:ILD589667 ILT589667:IUZ589667 IVP589667:JEV589667 JFL589667:JOR589667 JPH589667:JYN589667 JZD589667:KIJ589667 KIZ589667:KSF589667 KSV589667:LCB589667 LCR589667:LLX589667 LMN589667:LVT589667 LWJ589667:MFP589667 MGF589667:MPL589667 MQB589667:MZH589667 MZX589667:NJD589667 NJT589667:NSZ589667 NTP589667:OCV589667 ODL589667:OMR589667 ONH589667:OWN589667 OXD589667:PGJ589667 PGZ589667:PQF589667 PQV589667:QAB589667 QAR589667:QJX589667 QKN589667:QTT589667 QUJ589667:RDP589667 REF589667:RNL589667 ROB589667:RXH589667 RXX589667:SHD589667 SHT589667:SQZ589667 SRP589667:TAV589667 TBL589667:TKR589667 TLH589667:TUN589667 TVD589667:UEJ589667 UEZ589667:UOF589667 UOV589667:UYB589667 UYR589667:VHX589667 VIN589667:VRT589667 VSJ589667:WBP589667 WCF589667:WLL589667 WMB589667:WVH589667 WVX589667:XFD589667 JL655203:SR655203 TH655203:ACN655203 ADD655203:AMJ655203 AMZ655203:AWF655203 AWV655203:BGB655203 BGR655203:BPX655203 BQN655203:BZT655203 CAJ655203:CJP655203 CKF655203:CTL655203 CUB655203:DDH655203 DDX655203:DND655203 DNT655203:DWZ655203 DXP655203:EGV655203 EHL655203:EQR655203 ERH655203:FAN655203 FBD655203:FKJ655203 FKZ655203:FUF655203 FUV655203:GEB655203 GER655203:GNX655203 GON655203:GXT655203 GYJ655203:HHP655203 HIF655203:HRL655203 HSB655203:IBH655203 IBX655203:ILD655203 ILT655203:IUZ655203 IVP655203:JEV655203 JFL655203:JOR655203 JPH655203:JYN655203 JZD655203:KIJ655203 KIZ655203:KSF655203 KSV655203:LCB655203 LCR655203:LLX655203 LMN655203:LVT655203 LWJ655203:MFP655203 MGF655203:MPL655203 MQB655203:MZH655203 MZX655203:NJD655203 NJT655203:NSZ655203 NTP655203:OCV655203 ODL655203:OMR655203 ONH655203:OWN655203 OXD655203:PGJ655203 PGZ655203:PQF655203 PQV655203:QAB655203 QAR655203:QJX655203 QKN655203:QTT655203 QUJ655203:RDP655203 REF655203:RNL655203 ROB655203:RXH655203 RXX655203:SHD655203 SHT655203:SQZ655203 SRP655203:TAV655203 TBL655203:TKR655203 TLH655203:TUN655203 TVD655203:UEJ655203 UEZ655203:UOF655203 UOV655203:UYB655203 UYR655203:VHX655203 VIN655203:VRT655203 VSJ655203:WBP655203 WCF655203:WLL655203 WMB655203:WVH655203 WVX655203:XFD655203 JL720739:SR720739 TH720739:ACN720739 ADD720739:AMJ720739 AMZ720739:AWF720739 AWV720739:BGB720739 BGR720739:BPX720739 BQN720739:BZT720739 CAJ720739:CJP720739 CKF720739:CTL720739 CUB720739:DDH720739 DDX720739:DND720739 DNT720739:DWZ720739 DXP720739:EGV720739 EHL720739:EQR720739 ERH720739:FAN720739 FBD720739:FKJ720739 FKZ720739:FUF720739 FUV720739:GEB720739 GER720739:GNX720739 GON720739:GXT720739 GYJ720739:HHP720739 HIF720739:HRL720739 HSB720739:IBH720739 IBX720739:ILD720739 ILT720739:IUZ720739 IVP720739:JEV720739 JFL720739:JOR720739 JPH720739:JYN720739 JZD720739:KIJ720739 KIZ720739:KSF720739 KSV720739:LCB720739 LCR720739:LLX720739 LMN720739:LVT720739 LWJ720739:MFP720739 MGF720739:MPL720739 MQB720739:MZH720739 MZX720739:NJD720739 NJT720739:NSZ720739 NTP720739:OCV720739 ODL720739:OMR720739 ONH720739:OWN720739 OXD720739:PGJ720739 PGZ720739:PQF720739 PQV720739:QAB720739 QAR720739:QJX720739 QKN720739:QTT720739 QUJ720739:RDP720739 REF720739:RNL720739 ROB720739:RXH720739 RXX720739:SHD720739 SHT720739:SQZ720739 SRP720739:TAV720739 TBL720739:TKR720739 TLH720739:TUN720739 TVD720739:UEJ720739 UEZ720739:UOF720739 UOV720739:UYB720739 UYR720739:VHX720739 VIN720739:VRT720739 VSJ720739:WBP720739 WCF720739:WLL720739 WMB720739:WVH720739 WVX720739:XFD720739 JL786275:SR786275 TH786275:ACN786275 ADD786275:AMJ786275 AMZ786275:AWF786275 AWV786275:BGB786275 BGR786275:BPX786275 BQN786275:BZT786275 CAJ786275:CJP786275 CKF786275:CTL786275 CUB786275:DDH786275 DDX786275:DND786275 DNT786275:DWZ786275 DXP786275:EGV786275 EHL786275:EQR786275 ERH786275:FAN786275 FBD786275:FKJ786275 FKZ786275:FUF786275 FUV786275:GEB786275 GER786275:GNX786275 GON786275:GXT786275 GYJ786275:HHP786275 HIF786275:HRL786275 HSB786275:IBH786275 IBX786275:ILD786275 ILT786275:IUZ786275 IVP786275:JEV786275 JFL786275:JOR786275 JPH786275:JYN786275 JZD786275:KIJ786275 KIZ786275:KSF786275 KSV786275:LCB786275 LCR786275:LLX786275 LMN786275:LVT786275 LWJ786275:MFP786275 MGF786275:MPL786275 MQB786275:MZH786275 MZX786275:NJD786275 NJT786275:NSZ786275 NTP786275:OCV786275 ODL786275:OMR786275 ONH786275:OWN786275 OXD786275:PGJ786275 PGZ786275:PQF786275 PQV786275:QAB786275 QAR786275:QJX786275 QKN786275:QTT786275 QUJ786275:RDP786275 REF786275:RNL786275 ROB786275:RXH786275 RXX786275:SHD786275 SHT786275:SQZ786275 SRP786275:TAV786275 TBL786275:TKR786275 TLH786275:TUN786275 TVD786275:UEJ786275 UEZ786275:UOF786275 UOV786275:UYB786275 UYR786275:VHX786275 VIN786275:VRT786275 VSJ786275:WBP786275 WCF786275:WLL786275 WMB786275:WVH786275 WVX786275:XFD786275 JL851811:SR851811 TH851811:ACN851811 ADD851811:AMJ851811 AMZ851811:AWF851811 AWV851811:BGB851811 BGR851811:BPX851811 BQN851811:BZT851811 CAJ851811:CJP851811 CKF851811:CTL851811 CUB851811:DDH851811 DDX851811:DND851811 DNT851811:DWZ851811 DXP851811:EGV851811 EHL851811:EQR851811 ERH851811:FAN851811 FBD851811:FKJ851811 FKZ851811:FUF851811 FUV851811:GEB851811 GER851811:GNX851811 GON851811:GXT851811 GYJ851811:HHP851811 HIF851811:HRL851811 HSB851811:IBH851811 IBX851811:ILD851811 ILT851811:IUZ851811 IVP851811:JEV851811 JFL851811:JOR851811 JPH851811:JYN851811 JZD851811:KIJ851811 KIZ851811:KSF851811 KSV851811:LCB851811 LCR851811:LLX851811 LMN851811:LVT851811 LWJ851811:MFP851811 MGF851811:MPL851811 MQB851811:MZH851811 MZX851811:NJD851811 NJT851811:NSZ851811 NTP851811:OCV851811 ODL851811:OMR851811 ONH851811:OWN851811 OXD851811:PGJ851811 PGZ851811:PQF851811 PQV851811:QAB851811 QAR851811:QJX851811 QKN851811:QTT851811 QUJ851811:RDP851811 REF851811:RNL851811 ROB851811:RXH851811 RXX851811:SHD851811 SHT851811:SQZ851811 SRP851811:TAV851811 TBL851811:TKR851811 TLH851811:TUN851811 TVD851811:UEJ851811 UEZ851811:UOF851811 UOV851811:UYB851811 UYR851811:VHX851811 VIN851811:VRT851811 VSJ851811:WBP851811 WCF851811:WLL851811 WMB851811:WVH851811 WVX851811:XFD851811 JL917347:SR917347 TH917347:ACN917347 ADD917347:AMJ917347 AMZ917347:AWF917347 AWV917347:BGB917347 BGR917347:BPX917347 BQN917347:BZT917347 CAJ917347:CJP917347 CKF917347:CTL917347 CUB917347:DDH917347 DDX917347:DND917347 DNT917347:DWZ917347 DXP917347:EGV917347 EHL917347:EQR917347 ERH917347:FAN917347 FBD917347:FKJ917347 FKZ917347:FUF917347 FUV917347:GEB917347 GER917347:GNX917347 GON917347:GXT917347 GYJ917347:HHP917347 HIF917347:HRL917347 HSB917347:IBH917347 IBX917347:ILD917347 ILT917347:IUZ917347 IVP917347:JEV917347 JFL917347:JOR917347 JPH917347:JYN917347 JZD917347:KIJ917347 KIZ917347:KSF917347 KSV917347:LCB917347 LCR917347:LLX917347 LMN917347:LVT917347 LWJ917347:MFP917347 MGF917347:MPL917347 MQB917347:MZH917347 MZX917347:NJD917347 NJT917347:NSZ917347 NTP917347:OCV917347 ODL917347:OMR917347 ONH917347:OWN917347 OXD917347:PGJ917347 PGZ917347:PQF917347 PQV917347:QAB917347 QAR917347:QJX917347 QKN917347:QTT917347 QUJ917347:RDP917347 REF917347:RNL917347 ROB917347:RXH917347 RXX917347:SHD917347 SHT917347:SQZ917347 SRP917347:TAV917347 TBL917347:TKR917347 TLH917347:TUN917347 TVD917347:UEJ917347 UEZ917347:UOF917347 UOV917347:UYB917347 UYR917347:VHX917347 VIN917347:VRT917347 VSJ917347:WBP917347 WCF917347:WLL917347 WMB917347:WVH917347 WVX917347:XFD917347 JL982883:SR982883 TH982883:ACN982883 ADD982883:AMJ982883 AMZ982883:AWF982883 AWV982883:BGB982883 BGR982883:BPX982883 BQN982883:BZT982883 CAJ982883:CJP982883 CKF982883:CTL982883 CUB982883:DDH982883 DDX982883:DND982883 DNT982883:DWZ982883 DXP982883:EGV982883 EHL982883:EQR982883 ERH982883:FAN982883 FBD982883:FKJ982883 FKZ982883:FUF982883 FUV982883:GEB982883 GER982883:GNX982883 GON982883:GXT982883 GYJ982883:HHP982883 HIF982883:HRL982883 HSB982883:IBH982883 IBX982883:ILD982883 ILT982883:IUZ982883 IVP982883:JEV982883 JFL982883:JOR982883 JPH982883:JYN982883 JZD982883:KIJ982883 KIZ982883:KSF982883 KSV982883:LCB982883 LCR982883:LLX982883 LMN982883:LVT982883 LWJ982883:MFP982883 MGF982883:MPL982883 MQB982883:MZH982883 MZX982883:NJD982883 NJT982883:NSZ982883 NTP982883:OCV982883 ODL982883:OMR982883 ONH982883:OWN982883 OXD982883:PGJ982883 PGZ982883:PQF982883 PQV982883:QAB982883 QAR982883:QJX982883 QKN982883:QTT982883 QUJ982883:RDP982883 REF982883:RNL982883 ROB982883:RXH982883 RXX982883:SHD982883 SHT982883:SQZ982883 SRP982883:TAV982883 TBL982883:TKR982883 TLH982883:TUN982883 TVD982883:UEJ982883 UEZ982883:UOF982883 UOV982883:UYB982883 UYR982883:VHX982883 VIN982883:VRT982883 VSJ982883:WBP982883 WCF982883:WLL982883 WMB982883:WVH982883 AC2:IV2 Q982883:IV982883 Q917347:IV917347 Q851811:IV851811 Q786275:IV786275 Q720739:IV720739 Q655203:IV655203 Q589667:IV589667 Q524131:IV524131 Q458595:IV458595 Q393059:IV393059 Q327523:IV327523 Q261987:IV261987 Q196451:IV196451 Q130915:IV130915 Q65379:IV65379"/>
    <dataValidation showDropDown="1" errorTitle="Đường kính thép nhập không đúng" error="hãy nhập lại đường kính thép :_x000a__x000a_" promptTitle="nhập đường kính thép" prompt="bấm chọn, hoặt nhập số" sqref="IX2:JK2 ST2:TG2 ACP2:ADC2 AML2:AMY2 AWH2:AWU2 BGD2:BGQ2 BPZ2:BQM2 BZV2:CAI2 CJR2:CKE2 CTN2:CUA2 DDJ2:DDW2 DNF2:DNS2 DXB2:DXO2 EGX2:EHK2 EQT2:ERG2 FAP2:FBC2 FKL2:FKY2 FUH2:FUU2 GED2:GEQ2 GNZ2:GOM2 GXV2:GYI2 HHR2:HIE2 HRN2:HSA2 IBJ2:IBW2 ILF2:ILS2 IVB2:IVO2 JEX2:JFK2 JOT2:JPG2 JYP2:JZC2 KIL2:KIY2 KSH2:KSU2 LCD2:LCQ2 LLZ2:LMM2 LVV2:LWI2 MFR2:MGE2 MPN2:MQA2 MZJ2:MZW2 NJF2:NJS2 NTB2:NTO2 OCX2:ODK2 OMT2:ONG2 OWP2:OXC2 PGL2:PGY2 PQH2:PQU2 QAD2:QAQ2 QJZ2:QKM2 QTV2:QUI2 RDR2:REE2 RNN2:ROA2 RXJ2:RXW2 SHF2:SHS2 SRB2:SRO2 TAX2:TBK2 TKT2:TLG2 TUP2:TVC2 UEL2:UEY2 UOH2:UOU2 UYD2:UYQ2 VHZ2:VIM2 VRV2:VSI2 WBR2:WCE2 WLN2:WMA2 WVJ2:WVW2 B65379:P65379 IX65379:JK65379 ST65379:TG65379 ACP65379:ADC65379 AML65379:AMY65379 AWH65379:AWU65379 BGD65379:BGQ65379 BPZ65379:BQM65379 BZV65379:CAI65379 CJR65379:CKE65379 CTN65379:CUA65379 DDJ65379:DDW65379 DNF65379:DNS65379 DXB65379:DXO65379 EGX65379:EHK65379 EQT65379:ERG65379 FAP65379:FBC65379 FKL65379:FKY65379 FUH65379:FUU65379 GED65379:GEQ65379 GNZ65379:GOM65379 GXV65379:GYI65379 HHR65379:HIE65379 HRN65379:HSA65379 IBJ65379:IBW65379 ILF65379:ILS65379 IVB65379:IVO65379 JEX65379:JFK65379 JOT65379:JPG65379 JYP65379:JZC65379 KIL65379:KIY65379 KSH65379:KSU65379 LCD65379:LCQ65379 LLZ65379:LMM65379 LVV65379:LWI65379 MFR65379:MGE65379 MPN65379:MQA65379 MZJ65379:MZW65379 NJF65379:NJS65379 NTB65379:NTO65379 OCX65379:ODK65379 OMT65379:ONG65379 OWP65379:OXC65379 PGL65379:PGY65379 PQH65379:PQU65379 QAD65379:QAQ65379 QJZ65379:QKM65379 QTV65379:QUI65379 RDR65379:REE65379 RNN65379:ROA65379 RXJ65379:RXW65379 SHF65379:SHS65379 SRB65379:SRO65379 TAX65379:TBK65379 TKT65379:TLG65379 TUP65379:TVC65379 UEL65379:UEY65379 UOH65379:UOU65379 UYD65379:UYQ65379 VHZ65379:VIM65379 VRV65379:VSI65379 WBR65379:WCE65379 WLN65379:WMA65379 WVJ65379:WVW65379 B130915:P130915 IX130915:JK130915 ST130915:TG130915 ACP130915:ADC130915 AML130915:AMY130915 AWH130915:AWU130915 BGD130915:BGQ130915 BPZ130915:BQM130915 BZV130915:CAI130915 CJR130915:CKE130915 CTN130915:CUA130915 DDJ130915:DDW130915 DNF130915:DNS130915 DXB130915:DXO130915 EGX130915:EHK130915 EQT130915:ERG130915 FAP130915:FBC130915 FKL130915:FKY130915 FUH130915:FUU130915 GED130915:GEQ130915 GNZ130915:GOM130915 GXV130915:GYI130915 HHR130915:HIE130915 HRN130915:HSA130915 IBJ130915:IBW130915 ILF130915:ILS130915 IVB130915:IVO130915 JEX130915:JFK130915 JOT130915:JPG130915 JYP130915:JZC130915 KIL130915:KIY130915 KSH130915:KSU130915 LCD130915:LCQ130915 LLZ130915:LMM130915 LVV130915:LWI130915 MFR130915:MGE130915 MPN130915:MQA130915 MZJ130915:MZW130915 NJF130915:NJS130915 NTB130915:NTO130915 OCX130915:ODK130915 OMT130915:ONG130915 OWP130915:OXC130915 PGL130915:PGY130915 PQH130915:PQU130915 QAD130915:QAQ130915 QJZ130915:QKM130915 QTV130915:QUI130915 RDR130915:REE130915 RNN130915:ROA130915 RXJ130915:RXW130915 SHF130915:SHS130915 SRB130915:SRO130915 TAX130915:TBK130915 TKT130915:TLG130915 TUP130915:TVC130915 UEL130915:UEY130915 UOH130915:UOU130915 UYD130915:UYQ130915 VHZ130915:VIM130915 VRV130915:VSI130915 WBR130915:WCE130915 WLN130915:WMA130915 WVJ130915:WVW130915 B196451:P196451 IX196451:JK196451 ST196451:TG196451 ACP196451:ADC196451 AML196451:AMY196451 AWH196451:AWU196451 BGD196451:BGQ196451 BPZ196451:BQM196451 BZV196451:CAI196451 CJR196451:CKE196451 CTN196451:CUA196451 DDJ196451:DDW196451 DNF196451:DNS196451 DXB196451:DXO196451 EGX196451:EHK196451 EQT196451:ERG196451 FAP196451:FBC196451 FKL196451:FKY196451 FUH196451:FUU196451 GED196451:GEQ196451 GNZ196451:GOM196451 GXV196451:GYI196451 HHR196451:HIE196451 HRN196451:HSA196451 IBJ196451:IBW196451 ILF196451:ILS196451 IVB196451:IVO196451 JEX196451:JFK196451 JOT196451:JPG196451 JYP196451:JZC196451 KIL196451:KIY196451 KSH196451:KSU196451 LCD196451:LCQ196451 LLZ196451:LMM196451 LVV196451:LWI196451 MFR196451:MGE196451 MPN196451:MQA196451 MZJ196451:MZW196451 NJF196451:NJS196451 NTB196451:NTO196451 OCX196451:ODK196451 OMT196451:ONG196451 OWP196451:OXC196451 PGL196451:PGY196451 PQH196451:PQU196451 QAD196451:QAQ196451 QJZ196451:QKM196451 QTV196451:QUI196451 RDR196451:REE196451 RNN196451:ROA196451 RXJ196451:RXW196451 SHF196451:SHS196451 SRB196451:SRO196451 TAX196451:TBK196451 TKT196451:TLG196451 TUP196451:TVC196451 UEL196451:UEY196451 UOH196451:UOU196451 UYD196451:UYQ196451 VHZ196451:VIM196451 VRV196451:VSI196451 WBR196451:WCE196451 WLN196451:WMA196451 WVJ196451:WVW196451 B261987:P261987 IX261987:JK261987 ST261987:TG261987 ACP261987:ADC261987 AML261987:AMY261987 AWH261987:AWU261987 BGD261987:BGQ261987 BPZ261987:BQM261987 BZV261987:CAI261987 CJR261987:CKE261987 CTN261987:CUA261987 DDJ261987:DDW261987 DNF261987:DNS261987 DXB261987:DXO261987 EGX261987:EHK261987 EQT261987:ERG261987 FAP261987:FBC261987 FKL261987:FKY261987 FUH261987:FUU261987 GED261987:GEQ261987 GNZ261987:GOM261987 GXV261987:GYI261987 HHR261987:HIE261987 HRN261987:HSA261987 IBJ261987:IBW261987 ILF261987:ILS261987 IVB261987:IVO261987 JEX261987:JFK261987 JOT261987:JPG261987 JYP261987:JZC261987 KIL261987:KIY261987 KSH261987:KSU261987 LCD261987:LCQ261987 LLZ261987:LMM261987 LVV261987:LWI261987 MFR261987:MGE261987 MPN261987:MQA261987 MZJ261987:MZW261987 NJF261987:NJS261987 NTB261987:NTO261987 OCX261987:ODK261987 OMT261987:ONG261987 OWP261987:OXC261987 PGL261987:PGY261987 PQH261987:PQU261987 QAD261987:QAQ261987 QJZ261987:QKM261987 QTV261987:QUI261987 RDR261987:REE261987 RNN261987:ROA261987 RXJ261987:RXW261987 SHF261987:SHS261987 SRB261987:SRO261987 TAX261987:TBK261987 TKT261987:TLG261987 TUP261987:TVC261987 UEL261987:UEY261987 UOH261987:UOU261987 UYD261987:UYQ261987 VHZ261987:VIM261987 VRV261987:VSI261987 WBR261987:WCE261987 WLN261987:WMA261987 WVJ261987:WVW261987 B327523:P327523 IX327523:JK327523 ST327523:TG327523 ACP327523:ADC327523 AML327523:AMY327523 AWH327523:AWU327523 BGD327523:BGQ327523 BPZ327523:BQM327523 BZV327523:CAI327523 CJR327523:CKE327523 CTN327523:CUA327523 DDJ327523:DDW327523 DNF327523:DNS327523 DXB327523:DXO327523 EGX327523:EHK327523 EQT327523:ERG327523 FAP327523:FBC327523 FKL327523:FKY327523 FUH327523:FUU327523 GED327523:GEQ327523 GNZ327523:GOM327523 GXV327523:GYI327523 HHR327523:HIE327523 HRN327523:HSA327523 IBJ327523:IBW327523 ILF327523:ILS327523 IVB327523:IVO327523 JEX327523:JFK327523 JOT327523:JPG327523 JYP327523:JZC327523 KIL327523:KIY327523 KSH327523:KSU327523 LCD327523:LCQ327523 LLZ327523:LMM327523 LVV327523:LWI327523 MFR327523:MGE327523 MPN327523:MQA327523 MZJ327523:MZW327523 NJF327523:NJS327523 NTB327523:NTO327523 OCX327523:ODK327523 OMT327523:ONG327523 OWP327523:OXC327523 PGL327523:PGY327523 PQH327523:PQU327523 QAD327523:QAQ327523 QJZ327523:QKM327523 QTV327523:QUI327523 RDR327523:REE327523 RNN327523:ROA327523 RXJ327523:RXW327523 SHF327523:SHS327523 SRB327523:SRO327523 TAX327523:TBK327523 TKT327523:TLG327523 TUP327523:TVC327523 UEL327523:UEY327523 UOH327523:UOU327523 UYD327523:UYQ327523 VHZ327523:VIM327523 VRV327523:VSI327523 WBR327523:WCE327523 WLN327523:WMA327523 WVJ327523:WVW327523 B393059:P393059 IX393059:JK393059 ST393059:TG393059 ACP393059:ADC393059 AML393059:AMY393059 AWH393059:AWU393059 BGD393059:BGQ393059 BPZ393059:BQM393059 BZV393059:CAI393059 CJR393059:CKE393059 CTN393059:CUA393059 DDJ393059:DDW393059 DNF393059:DNS393059 DXB393059:DXO393059 EGX393059:EHK393059 EQT393059:ERG393059 FAP393059:FBC393059 FKL393059:FKY393059 FUH393059:FUU393059 GED393059:GEQ393059 GNZ393059:GOM393059 GXV393059:GYI393059 HHR393059:HIE393059 HRN393059:HSA393059 IBJ393059:IBW393059 ILF393059:ILS393059 IVB393059:IVO393059 JEX393059:JFK393059 JOT393059:JPG393059 JYP393059:JZC393059 KIL393059:KIY393059 KSH393059:KSU393059 LCD393059:LCQ393059 LLZ393059:LMM393059 LVV393059:LWI393059 MFR393059:MGE393059 MPN393059:MQA393059 MZJ393059:MZW393059 NJF393059:NJS393059 NTB393059:NTO393059 OCX393059:ODK393059 OMT393059:ONG393059 OWP393059:OXC393059 PGL393059:PGY393059 PQH393059:PQU393059 QAD393059:QAQ393059 QJZ393059:QKM393059 QTV393059:QUI393059 RDR393059:REE393059 RNN393059:ROA393059 RXJ393059:RXW393059 SHF393059:SHS393059 SRB393059:SRO393059 TAX393059:TBK393059 TKT393059:TLG393059 TUP393059:TVC393059 UEL393059:UEY393059 UOH393059:UOU393059 UYD393059:UYQ393059 VHZ393059:VIM393059 VRV393059:VSI393059 WBR393059:WCE393059 WLN393059:WMA393059 WVJ393059:WVW393059 B458595:P458595 IX458595:JK458595 ST458595:TG458595 ACP458595:ADC458595 AML458595:AMY458595 AWH458595:AWU458595 BGD458595:BGQ458595 BPZ458595:BQM458595 BZV458595:CAI458595 CJR458595:CKE458595 CTN458595:CUA458595 DDJ458595:DDW458595 DNF458595:DNS458595 DXB458595:DXO458595 EGX458595:EHK458595 EQT458595:ERG458595 FAP458595:FBC458595 FKL458595:FKY458595 FUH458595:FUU458595 GED458595:GEQ458595 GNZ458595:GOM458595 GXV458595:GYI458595 HHR458595:HIE458595 HRN458595:HSA458595 IBJ458595:IBW458595 ILF458595:ILS458595 IVB458595:IVO458595 JEX458595:JFK458595 JOT458595:JPG458595 JYP458595:JZC458595 KIL458595:KIY458595 KSH458595:KSU458595 LCD458595:LCQ458595 LLZ458595:LMM458595 LVV458595:LWI458595 MFR458595:MGE458595 MPN458595:MQA458595 MZJ458595:MZW458595 NJF458595:NJS458595 NTB458595:NTO458595 OCX458595:ODK458595 OMT458595:ONG458595 OWP458595:OXC458595 PGL458595:PGY458595 PQH458595:PQU458595 QAD458595:QAQ458595 QJZ458595:QKM458595 QTV458595:QUI458595 RDR458595:REE458595 RNN458595:ROA458595 RXJ458595:RXW458595 SHF458595:SHS458595 SRB458595:SRO458595 TAX458595:TBK458595 TKT458595:TLG458595 TUP458595:TVC458595 UEL458595:UEY458595 UOH458595:UOU458595 UYD458595:UYQ458595 VHZ458595:VIM458595 VRV458595:VSI458595 WBR458595:WCE458595 WLN458595:WMA458595 WVJ458595:WVW458595 B524131:P524131 IX524131:JK524131 ST524131:TG524131 ACP524131:ADC524131 AML524131:AMY524131 AWH524131:AWU524131 BGD524131:BGQ524131 BPZ524131:BQM524131 BZV524131:CAI524131 CJR524131:CKE524131 CTN524131:CUA524131 DDJ524131:DDW524131 DNF524131:DNS524131 DXB524131:DXO524131 EGX524131:EHK524131 EQT524131:ERG524131 FAP524131:FBC524131 FKL524131:FKY524131 FUH524131:FUU524131 GED524131:GEQ524131 GNZ524131:GOM524131 GXV524131:GYI524131 HHR524131:HIE524131 HRN524131:HSA524131 IBJ524131:IBW524131 ILF524131:ILS524131 IVB524131:IVO524131 JEX524131:JFK524131 JOT524131:JPG524131 JYP524131:JZC524131 KIL524131:KIY524131 KSH524131:KSU524131 LCD524131:LCQ524131 LLZ524131:LMM524131 LVV524131:LWI524131 MFR524131:MGE524131 MPN524131:MQA524131 MZJ524131:MZW524131 NJF524131:NJS524131 NTB524131:NTO524131 OCX524131:ODK524131 OMT524131:ONG524131 OWP524131:OXC524131 PGL524131:PGY524131 PQH524131:PQU524131 QAD524131:QAQ524131 QJZ524131:QKM524131 QTV524131:QUI524131 RDR524131:REE524131 RNN524131:ROA524131 RXJ524131:RXW524131 SHF524131:SHS524131 SRB524131:SRO524131 TAX524131:TBK524131 TKT524131:TLG524131 TUP524131:TVC524131 UEL524131:UEY524131 UOH524131:UOU524131 UYD524131:UYQ524131 VHZ524131:VIM524131 VRV524131:VSI524131 WBR524131:WCE524131 WLN524131:WMA524131 WVJ524131:WVW524131 B589667:P589667 IX589667:JK589667 ST589667:TG589667 ACP589667:ADC589667 AML589667:AMY589667 AWH589667:AWU589667 BGD589667:BGQ589667 BPZ589667:BQM589667 BZV589667:CAI589667 CJR589667:CKE589667 CTN589667:CUA589667 DDJ589667:DDW589667 DNF589667:DNS589667 DXB589667:DXO589667 EGX589667:EHK589667 EQT589667:ERG589667 FAP589667:FBC589667 FKL589667:FKY589667 FUH589667:FUU589667 GED589667:GEQ589667 GNZ589667:GOM589667 GXV589667:GYI589667 HHR589667:HIE589667 HRN589667:HSA589667 IBJ589667:IBW589667 ILF589667:ILS589667 IVB589667:IVO589667 JEX589667:JFK589667 JOT589667:JPG589667 JYP589667:JZC589667 KIL589667:KIY589667 KSH589667:KSU589667 LCD589667:LCQ589667 LLZ589667:LMM589667 LVV589667:LWI589667 MFR589667:MGE589667 MPN589667:MQA589667 MZJ589667:MZW589667 NJF589667:NJS589667 NTB589667:NTO589667 OCX589667:ODK589667 OMT589667:ONG589667 OWP589667:OXC589667 PGL589667:PGY589667 PQH589667:PQU589667 QAD589667:QAQ589667 QJZ589667:QKM589667 QTV589667:QUI589667 RDR589667:REE589667 RNN589667:ROA589667 RXJ589667:RXW589667 SHF589667:SHS589667 SRB589667:SRO589667 TAX589667:TBK589667 TKT589667:TLG589667 TUP589667:TVC589667 UEL589667:UEY589667 UOH589667:UOU589667 UYD589667:UYQ589667 VHZ589667:VIM589667 VRV589667:VSI589667 WBR589667:WCE589667 WLN589667:WMA589667 WVJ589667:WVW589667 B655203:P655203 IX655203:JK655203 ST655203:TG655203 ACP655203:ADC655203 AML655203:AMY655203 AWH655203:AWU655203 BGD655203:BGQ655203 BPZ655203:BQM655203 BZV655203:CAI655203 CJR655203:CKE655203 CTN655203:CUA655203 DDJ655203:DDW655203 DNF655203:DNS655203 DXB655203:DXO655203 EGX655203:EHK655203 EQT655203:ERG655203 FAP655203:FBC655203 FKL655203:FKY655203 FUH655203:FUU655203 GED655203:GEQ655203 GNZ655203:GOM655203 GXV655203:GYI655203 HHR655203:HIE655203 HRN655203:HSA655203 IBJ655203:IBW655203 ILF655203:ILS655203 IVB655203:IVO655203 JEX655203:JFK655203 JOT655203:JPG655203 JYP655203:JZC655203 KIL655203:KIY655203 KSH655203:KSU655203 LCD655203:LCQ655203 LLZ655203:LMM655203 LVV655203:LWI655203 MFR655203:MGE655203 MPN655203:MQA655203 MZJ655203:MZW655203 NJF655203:NJS655203 NTB655203:NTO655203 OCX655203:ODK655203 OMT655203:ONG655203 OWP655203:OXC655203 PGL655203:PGY655203 PQH655203:PQU655203 QAD655203:QAQ655203 QJZ655203:QKM655203 QTV655203:QUI655203 RDR655203:REE655203 RNN655203:ROA655203 RXJ655203:RXW655203 SHF655203:SHS655203 SRB655203:SRO655203 TAX655203:TBK655203 TKT655203:TLG655203 TUP655203:TVC655203 UEL655203:UEY655203 UOH655203:UOU655203 UYD655203:UYQ655203 VHZ655203:VIM655203 VRV655203:VSI655203 WBR655203:WCE655203 WLN655203:WMA655203 WVJ655203:WVW655203 B720739:P720739 IX720739:JK720739 ST720739:TG720739 ACP720739:ADC720739 AML720739:AMY720739 AWH720739:AWU720739 BGD720739:BGQ720739 BPZ720739:BQM720739 BZV720739:CAI720739 CJR720739:CKE720739 CTN720739:CUA720739 DDJ720739:DDW720739 DNF720739:DNS720739 DXB720739:DXO720739 EGX720739:EHK720739 EQT720739:ERG720739 FAP720739:FBC720739 FKL720739:FKY720739 FUH720739:FUU720739 GED720739:GEQ720739 GNZ720739:GOM720739 GXV720739:GYI720739 HHR720739:HIE720739 HRN720739:HSA720739 IBJ720739:IBW720739 ILF720739:ILS720739 IVB720739:IVO720739 JEX720739:JFK720739 JOT720739:JPG720739 JYP720739:JZC720739 KIL720739:KIY720739 KSH720739:KSU720739 LCD720739:LCQ720739 LLZ720739:LMM720739 LVV720739:LWI720739 MFR720739:MGE720739 MPN720739:MQA720739 MZJ720739:MZW720739 NJF720739:NJS720739 NTB720739:NTO720739 OCX720739:ODK720739 OMT720739:ONG720739 OWP720739:OXC720739 PGL720739:PGY720739 PQH720739:PQU720739 QAD720739:QAQ720739 QJZ720739:QKM720739 QTV720739:QUI720739 RDR720739:REE720739 RNN720739:ROA720739 RXJ720739:RXW720739 SHF720739:SHS720739 SRB720739:SRO720739 TAX720739:TBK720739 TKT720739:TLG720739 TUP720739:TVC720739 UEL720739:UEY720739 UOH720739:UOU720739 UYD720739:UYQ720739 VHZ720739:VIM720739 VRV720739:VSI720739 WBR720739:WCE720739 WLN720739:WMA720739 WVJ720739:WVW720739 B786275:P786275 IX786275:JK786275 ST786275:TG786275 ACP786275:ADC786275 AML786275:AMY786275 AWH786275:AWU786275 BGD786275:BGQ786275 BPZ786275:BQM786275 BZV786275:CAI786275 CJR786275:CKE786275 CTN786275:CUA786275 DDJ786275:DDW786275 DNF786275:DNS786275 DXB786275:DXO786275 EGX786275:EHK786275 EQT786275:ERG786275 FAP786275:FBC786275 FKL786275:FKY786275 FUH786275:FUU786275 GED786275:GEQ786275 GNZ786275:GOM786275 GXV786275:GYI786275 HHR786275:HIE786275 HRN786275:HSA786275 IBJ786275:IBW786275 ILF786275:ILS786275 IVB786275:IVO786275 JEX786275:JFK786275 JOT786275:JPG786275 JYP786275:JZC786275 KIL786275:KIY786275 KSH786275:KSU786275 LCD786275:LCQ786275 LLZ786275:LMM786275 LVV786275:LWI786275 MFR786275:MGE786275 MPN786275:MQA786275 MZJ786275:MZW786275 NJF786275:NJS786275 NTB786275:NTO786275 OCX786275:ODK786275 OMT786275:ONG786275 OWP786275:OXC786275 PGL786275:PGY786275 PQH786275:PQU786275 QAD786275:QAQ786275 QJZ786275:QKM786275 QTV786275:QUI786275 RDR786275:REE786275 RNN786275:ROA786275 RXJ786275:RXW786275 SHF786275:SHS786275 SRB786275:SRO786275 TAX786275:TBK786275 TKT786275:TLG786275 TUP786275:TVC786275 UEL786275:UEY786275 UOH786275:UOU786275 UYD786275:UYQ786275 VHZ786275:VIM786275 VRV786275:VSI786275 WBR786275:WCE786275 WLN786275:WMA786275 WVJ786275:WVW786275 B851811:P851811 IX851811:JK851811 ST851811:TG851811 ACP851811:ADC851811 AML851811:AMY851811 AWH851811:AWU851811 BGD851811:BGQ851811 BPZ851811:BQM851811 BZV851811:CAI851811 CJR851811:CKE851811 CTN851811:CUA851811 DDJ851811:DDW851811 DNF851811:DNS851811 DXB851811:DXO851811 EGX851811:EHK851811 EQT851811:ERG851811 FAP851811:FBC851811 FKL851811:FKY851811 FUH851811:FUU851811 GED851811:GEQ851811 GNZ851811:GOM851811 GXV851811:GYI851811 HHR851811:HIE851811 HRN851811:HSA851811 IBJ851811:IBW851811 ILF851811:ILS851811 IVB851811:IVO851811 JEX851811:JFK851811 JOT851811:JPG851811 JYP851811:JZC851811 KIL851811:KIY851811 KSH851811:KSU851811 LCD851811:LCQ851811 LLZ851811:LMM851811 LVV851811:LWI851811 MFR851811:MGE851811 MPN851811:MQA851811 MZJ851811:MZW851811 NJF851811:NJS851811 NTB851811:NTO851811 OCX851811:ODK851811 OMT851811:ONG851811 OWP851811:OXC851811 PGL851811:PGY851811 PQH851811:PQU851811 QAD851811:QAQ851811 QJZ851811:QKM851811 QTV851811:QUI851811 RDR851811:REE851811 RNN851811:ROA851811 RXJ851811:RXW851811 SHF851811:SHS851811 SRB851811:SRO851811 TAX851811:TBK851811 TKT851811:TLG851811 TUP851811:TVC851811 UEL851811:UEY851811 UOH851811:UOU851811 UYD851811:UYQ851811 VHZ851811:VIM851811 VRV851811:VSI851811 WBR851811:WCE851811 WLN851811:WMA851811 WVJ851811:WVW851811 B917347:P917347 IX917347:JK917347 ST917347:TG917347 ACP917347:ADC917347 AML917347:AMY917347 AWH917347:AWU917347 BGD917347:BGQ917347 BPZ917347:BQM917347 BZV917347:CAI917347 CJR917347:CKE917347 CTN917347:CUA917347 DDJ917347:DDW917347 DNF917347:DNS917347 DXB917347:DXO917347 EGX917347:EHK917347 EQT917347:ERG917347 FAP917347:FBC917347 FKL917347:FKY917347 FUH917347:FUU917347 GED917347:GEQ917347 GNZ917347:GOM917347 GXV917347:GYI917347 HHR917347:HIE917347 HRN917347:HSA917347 IBJ917347:IBW917347 ILF917347:ILS917347 IVB917347:IVO917347 JEX917347:JFK917347 JOT917347:JPG917347 JYP917347:JZC917347 KIL917347:KIY917347 KSH917347:KSU917347 LCD917347:LCQ917347 LLZ917347:LMM917347 LVV917347:LWI917347 MFR917347:MGE917347 MPN917347:MQA917347 MZJ917347:MZW917347 NJF917347:NJS917347 NTB917347:NTO917347 OCX917347:ODK917347 OMT917347:ONG917347 OWP917347:OXC917347 PGL917347:PGY917347 PQH917347:PQU917347 QAD917347:QAQ917347 QJZ917347:QKM917347 QTV917347:QUI917347 RDR917347:REE917347 RNN917347:ROA917347 RXJ917347:RXW917347 SHF917347:SHS917347 SRB917347:SRO917347 TAX917347:TBK917347 TKT917347:TLG917347 TUP917347:TVC917347 UEL917347:UEY917347 UOH917347:UOU917347 UYD917347:UYQ917347 VHZ917347:VIM917347 VRV917347:VSI917347 WBR917347:WCE917347 WLN917347:WMA917347 WVJ917347:WVW917347 B982883:P982883 IX982883:JK982883 ST982883:TG982883 ACP982883:ADC982883 AML982883:AMY982883 AWH982883:AWU982883 BGD982883:BGQ982883 BPZ982883:BQM982883 BZV982883:CAI982883 CJR982883:CKE982883 CTN982883:CUA982883 DDJ982883:DDW982883 DNF982883:DNS982883 DXB982883:DXO982883 EGX982883:EHK982883 EQT982883:ERG982883 FAP982883:FBC982883 FKL982883:FKY982883 FUH982883:FUU982883 GED982883:GEQ982883 GNZ982883:GOM982883 GXV982883:GYI982883 HHR982883:HIE982883 HRN982883:HSA982883 IBJ982883:IBW982883 ILF982883:ILS982883 IVB982883:IVO982883 JEX982883:JFK982883 JOT982883:JPG982883 JYP982883:JZC982883 KIL982883:KIY982883 KSH982883:KSU982883 LCD982883:LCQ982883 LLZ982883:LMM982883 LVV982883:LWI982883 MFR982883:MGE982883 MPN982883:MQA982883 MZJ982883:MZW982883 NJF982883:NJS982883 NTB982883:NTO982883 OCX982883:ODK982883 OMT982883:ONG982883 OWP982883:OXC982883 PGL982883:PGY982883 PQH982883:PQU982883 QAD982883:QAQ982883 QJZ982883:QKM982883 QTV982883:QUI982883 RDR982883:REE982883 RNN982883:ROA982883 RXJ982883:RXW982883 SHF982883:SHS982883 SRB982883:SRO982883 TAX982883:TBK982883 TKT982883:TLG982883 TUP982883:TVC982883 UEL982883:UEY982883 UOH982883:UOU982883 UYD982883:UYQ982883 VHZ982883:VIM982883 VRV982883:VSI982883 WBR982883:WCE982883 WLN982883:WMA982883 WVJ982883:WVW982883 A2"/>
    <dataValidation type="list" allowBlank="1" showInputMessage="1" showErrorMessage="1" errorTitle="Đường kính thép nhập không đúng" error="hãy nhập lại đường kính thép :_x000a__x000a_" promptTitle="nhập đường kính thép" prompt="bấm chọn, hoặt nhập số" sqref="I65629:I65637 JE65629:JE65637 TA65629:TA65637 ACW65629:ACW65637 AMS65629:AMS65637 AWO65629:AWO65637 BGK65629:BGK65637 BQG65629:BQG65637 CAC65629:CAC65637 CJY65629:CJY65637 CTU65629:CTU65637 DDQ65629:DDQ65637 DNM65629:DNM65637 DXI65629:DXI65637 EHE65629:EHE65637 ERA65629:ERA65637 FAW65629:FAW65637 FKS65629:FKS65637 FUO65629:FUO65637 GEK65629:GEK65637 GOG65629:GOG65637 GYC65629:GYC65637 HHY65629:HHY65637 HRU65629:HRU65637 IBQ65629:IBQ65637 ILM65629:ILM65637 IVI65629:IVI65637 JFE65629:JFE65637 JPA65629:JPA65637 JYW65629:JYW65637 KIS65629:KIS65637 KSO65629:KSO65637 LCK65629:LCK65637 LMG65629:LMG65637 LWC65629:LWC65637 MFY65629:MFY65637 MPU65629:MPU65637 MZQ65629:MZQ65637 NJM65629:NJM65637 NTI65629:NTI65637 ODE65629:ODE65637 ONA65629:ONA65637 OWW65629:OWW65637 PGS65629:PGS65637 PQO65629:PQO65637 QAK65629:QAK65637 QKG65629:QKG65637 QUC65629:QUC65637 RDY65629:RDY65637 RNU65629:RNU65637 RXQ65629:RXQ65637 SHM65629:SHM65637 SRI65629:SRI65637 TBE65629:TBE65637 TLA65629:TLA65637 TUW65629:TUW65637 UES65629:UES65637 UOO65629:UOO65637 UYK65629:UYK65637 VIG65629:VIG65637 VSC65629:VSC65637 WBY65629:WBY65637 WLU65629:WLU65637 WVQ65629:WVQ65637 I131165:I131173 JE131165:JE131173 TA131165:TA131173 ACW131165:ACW131173 AMS131165:AMS131173 AWO131165:AWO131173 BGK131165:BGK131173 BQG131165:BQG131173 CAC131165:CAC131173 CJY131165:CJY131173 CTU131165:CTU131173 DDQ131165:DDQ131173 DNM131165:DNM131173 DXI131165:DXI131173 EHE131165:EHE131173 ERA131165:ERA131173 FAW131165:FAW131173 FKS131165:FKS131173 FUO131165:FUO131173 GEK131165:GEK131173 GOG131165:GOG131173 GYC131165:GYC131173 HHY131165:HHY131173 HRU131165:HRU131173 IBQ131165:IBQ131173 ILM131165:ILM131173 IVI131165:IVI131173 JFE131165:JFE131173 JPA131165:JPA131173 JYW131165:JYW131173 KIS131165:KIS131173 KSO131165:KSO131173 LCK131165:LCK131173 LMG131165:LMG131173 LWC131165:LWC131173 MFY131165:MFY131173 MPU131165:MPU131173 MZQ131165:MZQ131173 NJM131165:NJM131173 NTI131165:NTI131173 ODE131165:ODE131173 ONA131165:ONA131173 OWW131165:OWW131173 PGS131165:PGS131173 PQO131165:PQO131173 QAK131165:QAK131173 QKG131165:QKG131173 QUC131165:QUC131173 RDY131165:RDY131173 RNU131165:RNU131173 RXQ131165:RXQ131173 SHM131165:SHM131173 SRI131165:SRI131173 TBE131165:TBE131173 TLA131165:TLA131173 TUW131165:TUW131173 UES131165:UES131173 UOO131165:UOO131173 UYK131165:UYK131173 VIG131165:VIG131173 VSC131165:VSC131173 WBY131165:WBY131173 WLU131165:WLU131173 WVQ131165:WVQ131173 I196701:I196709 JE196701:JE196709 TA196701:TA196709 ACW196701:ACW196709 AMS196701:AMS196709 AWO196701:AWO196709 BGK196701:BGK196709 BQG196701:BQG196709 CAC196701:CAC196709 CJY196701:CJY196709 CTU196701:CTU196709 DDQ196701:DDQ196709 DNM196701:DNM196709 DXI196701:DXI196709 EHE196701:EHE196709 ERA196701:ERA196709 FAW196701:FAW196709 FKS196701:FKS196709 FUO196701:FUO196709 GEK196701:GEK196709 GOG196701:GOG196709 GYC196701:GYC196709 HHY196701:HHY196709 HRU196701:HRU196709 IBQ196701:IBQ196709 ILM196701:ILM196709 IVI196701:IVI196709 JFE196701:JFE196709 JPA196701:JPA196709 JYW196701:JYW196709 KIS196701:KIS196709 KSO196701:KSO196709 LCK196701:LCK196709 LMG196701:LMG196709 LWC196701:LWC196709 MFY196701:MFY196709 MPU196701:MPU196709 MZQ196701:MZQ196709 NJM196701:NJM196709 NTI196701:NTI196709 ODE196701:ODE196709 ONA196701:ONA196709 OWW196701:OWW196709 PGS196701:PGS196709 PQO196701:PQO196709 QAK196701:QAK196709 QKG196701:QKG196709 QUC196701:QUC196709 RDY196701:RDY196709 RNU196701:RNU196709 RXQ196701:RXQ196709 SHM196701:SHM196709 SRI196701:SRI196709 TBE196701:TBE196709 TLA196701:TLA196709 TUW196701:TUW196709 UES196701:UES196709 UOO196701:UOO196709 UYK196701:UYK196709 VIG196701:VIG196709 VSC196701:VSC196709 WBY196701:WBY196709 WLU196701:WLU196709 WVQ196701:WVQ196709 I262237:I262245 JE262237:JE262245 TA262237:TA262245 ACW262237:ACW262245 AMS262237:AMS262245 AWO262237:AWO262245 BGK262237:BGK262245 BQG262237:BQG262245 CAC262237:CAC262245 CJY262237:CJY262245 CTU262237:CTU262245 DDQ262237:DDQ262245 DNM262237:DNM262245 DXI262237:DXI262245 EHE262237:EHE262245 ERA262237:ERA262245 FAW262237:FAW262245 FKS262237:FKS262245 FUO262237:FUO262245 GEK262237:GEK262245 GOG262237:GOG262245 GYC262237:GYC262245 HHY262237:HHY262245 HRU262237:HRU262245 IBQ262237:IBQ262245 ILM262237:ILM262245 IVI262237:IVI262245 JFE262237:JFE262245 JPA262237:JPA262245 JYW262237:JYW262245 KIS262237:KIS262245 KSO262237:KSO262245 LCK262237:LCK262245 LMG262237:LMG262245 LWC262237:LWC262245 MFY262237:MFY262245 MPU262237:MPU262245 MZQ262237:MZQ262245 NJM262237:NJM262245 NTI262237:NTI262245 ODE262237:ODE262245 ONA262237:ONA262245 OWW262237:OWW262245 PGS262237:PGS262245 PQO262237:PQO262245 QAK262237:QAK262245 QKG262237:QKG262245 QUC262237:QUC262245 RDY262237:RDY262245 RNU262237:RNU262245 RXQ262237:RXQ262245 SHM262237:SHM262245 SRI262237:SRI262245 TBE262237:TBE262245 TLA262237:TLA262245 TUW262237:TUW262245 UES262237:UES262245 UOO262237:UOO262245 UYK262237:UYK262245 VIG262237:VIG262245 VSC262237:VSC262245 WBY262237:WBY262245 WLU262237:WLU262245 WVQ262237:WVQ262245 I327773:I327781 JE327773:JE327781 TA327773:TA327781 ACW327773:ACW327781 AMS327773:AMS327781 AWO327773:AWO327781 BGK327773:BGK327781 BQG327773:BQG327781 CAC327773:CAC327781 CJY327773:CJY327781 CTU327773:CTU327781 DDQ327773:DDQ327781 DNM327773:DNM327781 DXI327773:DXI327781 EHE327773:EHE327781 ERA327773:ERA327781 FAW327773:FAW327781 FKS327773:FKS327781 FUO327773:FUO327781 GEK327773:GEK327781 GOG327773:GOG327781 GYC327773:GYC327781 HHY327773:HHY327781 HRU327773:HRU327781 IBQ327773:IBQ327781 ILM327773:ILM327781 IVI327773:IVI327781 JFE327773:JFE327781 JPA327773:JPA327781 JYW327773:JYW327781 KIS327773:KIS327781 KSO327773:KSO327781 LCK327773:LCK327781 LMG327773:LMG327781 LWC327773:LWC327781 MFY327773:MFY327781 MPU327773:MPU327781 MZQ327773:MZQ327781 NJM327773:NJM327781 NTI327773:NTI327781 ODE327773:ODE327781 ONA327773:ONA327781 OWW327773:OWW327781 PGS327773:PGS327781 PQO327773:PQO327781 QAK327773:QAK327781 QKG327773:QKG327781 QUC327773:QUC327781 RDY327773:RDY327781 RNU327773:RNU327781 RXQ327773:RXQ327781 SHM327773:SHM327781 SRI327773:SRI327781 TBE327773:TBE327781 TLA327773:TLA327781 TUW327773:TUW327781 UES327773:UES327781 UOO327773:UOO327781 UYK327773:UYK327781 VIG327773:VIG327781 VSC327773:VSC327781 WBY327773:WBY327781 WLU327773:WLU327781 WVQ327773:WVQ327781 I393309:I393317 JE393309:JE393317 TA393309:TA393317 ACW393309:ACW393317 AMS393309:AMS393317 AWO393309:AWO393317 BGK393309:BGK393317 BQG393309:BQG393317 CAC393309:CAC393317 CJY393309:CJY393317 CTU393309:CTU393317 DDQ393309:DDQ393317 DNM393309:DNM393317 DXI393309:DXI393317 EHE393309:EHE393317 ERA393309:ERA393317 FAW393309:FAW393317 FKS393309:FKS393317 FUO393309:FUO393317 GEK393309:GEK393317 GOG393309:GOG393317 GYC393309:GYC393317 HHY393309:HHY393317 HRU393309:HRU393317 IBQ393309:IBQ393317 ILM393309:ILM393317 IVI393309:IVI393317 JFE393309:JFE393317 JPA393309:JPA393317 JYW393309:JYW393317 KIS393309:KIS393317 KSO393309:KSO393317 LCK393309:LCK393317 LMG393309:LMG393317 LWC393309:LWC393317 MFY393309:MFY393317 MPU393309:MPU393317 MZQ393309:MZQ393317 NJM393309:NJM393317 NTI393309:NTI393317 ODE393309:ODE393317 ONA393309:ONA393317 OWW393309:OWW393317 PGS393309:PGS393317 PQO393309:PQO393317 QAK393309:QAK393317 QKG393309:QKG393317 QUC393309:QUC393317 RDY393309:RDY393317 RNU393309:RNU393317 RXQ393309:RXQ393317 SHM393309:SHM393317 SRI393309:SRI393317 TBE393309:TBE393317 TLA393309:TLA393317 TUW393309:TUW393317 UES393309:UES393317 UOO393309:UOO393317 UYK393309:UYK393317 VIG393309:VIG393317 VSC393309:VSC393317 WBY393309:WBY393317 WLU393309:WLU393317 WVQ393309:WVQ393317 I458845:I458853 JE458845:JE458853 TA458845:TA458853 ACW458845:ACW458853 AMS458845:AMS458853 AWO458845:AWO458853 BGK458845:BGK458853 BQG458845:BQG458853 CAC458845:CAC458853 CJY458845:CJY458853 CTU458845:CTU458853 DDQ458845:DDQ458853 DNM458845:DNM458853 DXI458845:DXI458853 EHE458845:EHE458853 ERA458845:ERA458853 FAW458845:FAW458853 FKS458845:FKS458853 FUO458845:FUO458853 GEK458845:GEK458853 GOG458845:GOG458853 GYC458845:GYC458853 HHY458845:HHY458853 HRU458845:HRU458853 IBQ458845:IBQ458853 ILM458845:ILM458853 IVI458845:IVI458853 JFE458845:JFE458853 JPA458845:JPA458853 JYW458845:JYW458853 KIS458845:KIS458853 KSO458845:KSO458853 LCK458845:LCK458853 LMG458845:LMG458853 LWC458845:LWC458853 MFY458845:MFY458853 MPU458845:MPU458853 MZQ458845:MZQ458853 NJM458845:NJM458853 NTI458845:NTI458853 ODE458845:ODE458853 ONA458845:ONA458853 OWW458845:OWW458853 PGS458845:PGS458853 PQO458845:PQO458853 QAK458845:QAK458853 QKG458845:QKG458853 QUC458845:QUC458853 RDY458845:RDY458853 RNU458845:RNU458853 RXQ458845:RXQ458853 SHM458845:SHM458853 SRI458845:SRI458853 TBE458845:TBE458853 TLA458845:TLA458853 TUW458845:TUW458853 UES458845:UES458853 UOO458845:UOO458853 UYK458845:UYK458853 VIG458845:VIG458853 VSC458845:VSC458853 WBY458845:WBY458853 WLU458845:WLU458853 WVQ458845:WVQ458853 I524381:I524389 JE524381:JE524389 TA524381:TA524389 ACW524381:ACW524389 AMS524381:AMS524389 AWO524381:AWO524389 BGK524381:BGK524389 BQG524381:BQG524389 CAC524381:CAC524389 CJY524381:CJY524389 CTU524381:CTU524389 DDQ524381:DDQ524389 DNM524381:DNM524389 DXI524381:DXI524389 EHE524381:EHE524389 ERA524381:ERA524389 FAW524381:FAW524389 FKS524381:FKS524389 FUO524381:FUO524389 GEK524381:GEK524389 GOG524381:GOG524389 GYC524381:GYC524389 HHY524381:HHY524389 HRU524381:HRU524389 IBQ524381:IBQ524389 ILM524381:ILM524389 IVI524381:IVI524389 JFE524381:JFE524389 JPA524381:JPA524389 JYW524381:JYW524389 KIS524381:KIS524389 KSO524381:KSO524389 LCK524381:LCK524389 LMG524381:LMG524389 LWC524381:LWC524389 MFY524381:MFY524389 MPU524381:MPU524389 MZQ524381:MZQ524389 NJM524381:NJM524389 NTI524381:NTI524389 ODE524381:ODE524389 ONA524381:ONA524389 OWW524381:OWW524389 PGS524381:PGS524389 PQO524381:PQO524389 QAK524381:QAK524389 QKG524381:QKG524389 QUC524381:QUC524389 RDY524381:RDY524389 RNU524381:RNU524389 RXQ524381:RXQ524389 SHM524381:SHM524389 SRI524381:SRI524389 TBE524381:TBE524389 TLA524381:TLA524389 TUW524381:TUW524389 UES524381:UES524389 UOO524381:UOO524389 UYK524381:UYK524389 VIG524381:VIG524389 VSC524381:VSC524389 WBY524381:WBY524389 WLU524381:WLU524389 WVQ524381:WVQ524389 I589917:I589925 JE589917:JE589925 TA589917:TA589925 ACW589917:ACW589925 AMS589917:AMS589925 AWO589917:AWO589925 BGK589917:BGK589925 BQG589917:BQG589925 CAC589917:CAC589925 CJY589917:CJY589925 CTU589917:CTU589925 DDQ589917:DDQ589925 DNM589917:DNM589925 DXI589917:DXI589925 EHE589917:EHE589925 ERA589917:ERA589925 FAW589917:FAW589925 FKS589917:FKS589925 FUO589917:FUO589925 GEK589917:GEK589925 GOG589917:GOG589925 GYC589917:GYC589925 HHY589917:HHY589925 HRU589917:HRU589925 IBQ589917:IBQ589925 ILM589917:ILM589925 IVI589917:IVI589925 JFE589917:JFE589925 JPA589917:JPA589925 JYW589917:JYW589925 KIS589917:KIS589925 KSO589917:KSO589925 LCK589917:LCK589925 LMG589917:LMG589925 LWC589917:LWC589925 MFY589917:MFY589925 MPU589917:MPU589925 MZQ589917:MZQ589925 NJM589917:NJM589925 NTI589917:NTI589925 ODE589917:ODE589925 ONA589917:ONA589925 OWW589917:OWW589925 PGS589917:PGS589925 PQO589917:PQO589925 QAK589917:QAK589925 QKG589917:QKG589925 QUC589917:QUC589925 RDY589917:RDY589925 RNU589917:RNU589925 RXQ589917:RXQ589925 SHM589917:SHM589925 SRI589917:SRI589925 TBE589917:TBE589925 TLA589917:TLA589925 TUW589917:TUW589925 UES589917:UES589925 UOO589917:UOO589925 UYK589917:UYK589925 VIG589917:VIG589925 VSC589917:VSC589925 WBY589917:WBY589925 WLU589917:WLU589925 WVQ589917:WVQ589925 I655453:I655461 JE655453:JE655461 TA655453:TA655461 ACW655453:ACW655461 AMS655453:AMS655461 AWO655453:AWO655461 BGK655453:BGK655461 BQG655453:BQG655461 CAC655453:CAC655461 CJY655453:CJY655461 CTU655453:CTU655461 DDQ655453:DDQ655461 DNM655453:DNM655461 DXI655453:DXI655461 EHE655453:EHE655461 ERA655453:ERA655461 FAW655453:FAW655461 FKS655453:FKS655461 FUO655453:FUO655461 GEK655453:GEK655461 GOG655453:GOG655461 GYC655453:GYC655461 HHY655453:HHY655461 HRU655453:HRU655461 IBQ655453:IBQ655461 ILM655453:ILM655461 IVI655453:IVI655461 JFE655453:JFE655461 JPA655453:JPA655461 JYW655453:JYW655461 KIS655453:KIS655461 KSO655453:KSO655461 LCK655453:LCK655461 LMG655453:LMG655461 LWC655453:LWC655461 MFY655453:MFY655461 MPU655453:MPU655461 MZQ655453:MZQ655461 NJM655453:NJM655461 NTI655453:NTI655461 ODE655453:ODE655461 ONA655453:ONA655461 OWW655453:OWW655461 PGS655453:PGS655461 PQO655453:PQO655461 QAK655453:QAK655461 QKG655453:QKG655461 QUC655453:QUC655461 RDY655453:RDY655461 RNU655453:RNU655461 RXQ655453:RXQ655461 SHM655453:SHM655461 SRI655453:SRI655461 TBE655453:TBE655461 TLA655453:TLA655461 TUW655453:TUW655461 UES655453:UES655461 UOO655453:UOO655461 UYK655453:UYK655461 VIG655453:VIG655461 VSC655453:VSC655461 WBY655453:WBY655461 WLU655453:WLU655461 WVQ655453:WVQ655461 I720989:I720997 JE720989:JE720997 TA720989:TA720997 ACW720989:ACW720997 AMS720989:AMS720997 AWO720989:AWO720997 BGK720989:BGK720997 BQG720989:BQG720997 CAC720989:CAC720997 CJY720989:CJY720997 CTU720989:CTU720997 DDQ720989:DDQ720997 DNM720989:DNM720997 DXI720989:DXI720997 EHE720989:EHE720997 ERA720989:ERA720997 FAW720989:FAW720997 FKS720989:FKS720997 FUO720989:FUO720997 GEK720989:GEK720997 GOG720989:GOG720997 GYC720989:GYC720997 HHY720989:HHY720997 HRU720989:HRU720997 IBQ720989:IBQ720997 ILM720989:ILM720997 IVI720989:IVI720997 JFE720989:JFE720997 JPA720989:JPA720997 JYW720989:JYW720997 KIS720989:KIS720997 KSO720989:KSO720997 LCK720989:LCK720997 LMG720989:LMG720997 LWC720989:LWC720997 MFY720989:MFY720997 MPU720989:MPU720997 MZQ720989:MZQ720997 NJM720989:NJM720997 NTI720989:NTI720997 ODE720989:ODE720997 ONA720989:ONA720997 OWW720989:OWW720997 PGS720989:PGS720997 PQO720989:PQO720997 QAK720989:QAK720997 QKG720989:QKG720997 QUC720989:QUC720997 RDY720989:RDY720997 RNU720989:RNU720997 RXQ720989:RXQ720997 SHM720989:SHM720997 SRI720989:SRI720997 TBE720989:TBE720997 TLA720989:TLA720997 TUW720989:TUW720997 UES720989:UES720997 UOO720989:UOO720997 UYK720989:UYK720997 VIG720989:VIG720997 VSC720989:VSC720997 WBY720989:WBY720997 WLU720989:WLU720997 WVQ720989:WVQ720997 I786525:I786533 JE786525:JE786533 TA786525:TA786533 ACW786525:ACW786533 AMS786525:AMS786533 AWO786525:AWO786533 BGK786525:BGK786533 BQG786525:BQG786533 CAC786525:CAC786533 CJY786525:CJY786533 CTU786525:CTU786533 DDQ786525:DDQ786533 DNM786525:DNM786533 DXI786525:DXI786533 EHE786525:EHE786533 ERA786525:ERA786533 FAW786525:FAW786533 FKS786525:FKS786533 FUO786525:FUO786533 GEK786525:GEK786533 GOG786525:GOG786533 GYC786525:GYC786533 HHY786525:HHY786533 HRU786525:HRU786533 IBQ786525:IBQ786533 ILM786525:ILM786533 IVI786525:IVI786533 JFE786525:JFE786533 JPA786525:JPA786533 JYW786525:JYW786533 KIS786525:KIS786533 KSO786525:KSO786533 LCK786525:LCK786533 LMG786525:LMG786533 LWC786525:LWC786533 MFY786525:MFY786533 MPU786525:MPU786533 MZQ786525:MZQ786533 NJM786525:NJM786533 NTI786525:NTI786533 ODE786525:ODE786533 ONA786525:ONA786533 OWW786525:OWW786533 PGS786525:PGS786533 PQO786525:PQO786533 QAK786525:QAK786533 QKG786525:QKG786533 QUC786525:QUC786533 RDY786525:RDY786533 RNU786525:RNU786533 RXQ786525:RXQ786533 SHM786525:SHM786533 SRI786525:SRI786533 TBE786525:TBE786533 TLA786525:TLA786533 TUW786525:TUW786533 UES786525:UES786533 UOO786525:UOO786533 UYK786525:UYK786533 VIG786525:VIG786533 VSC786525:VSC786533 WBY786525:WBY786533 WLU786525:WLU786533 WVQ786525:WVQ786533 I852061:I852069 JE852061:JE852069 TA852061:TA852069 ACW852061:ACW852069 AMS852061:AMS852069 AWO852061:AWO852069 BGK852061:BGK852069 BQG852061:BQG852069 CAC852061:CAC852069 CJY852061:CJY852069 CTU852061:CTU852069 DDQ852061:DDQ852069 DNM852061:DNM852069 DXI852061:DXI852069 EHE852061:EHE852069 ERA852061:ERA852069 FAW852061:FAW852069 FKS852061:FKS852069 FUO852061:FUO852069 GEK852061:GEK852069 GOG852061:GOG852069 GYC852061:GYC852069 HHY852061:HHY852069 HRU852061:HRU852069 IBQ852061:IBQ852069 ILM852061:ILM852069 IVI852061:IVI852069 JFE852061:JFE852069 JPA852061:JPA852069 JYW852061:JYW852069 KIS852061:KIS852069 KSO852061:KSO852069 LCK852061:LCK852069 LMG852061:LMG852069 LWC852061:LWC852069 MFY852061:MFY852069 MPU852061:MPU852069 MZQ852061:MZQ852069 NJM852061:NJM852069 NTI852061:NTI852069 ODE852061:ODE852069 ONA852061:ONA852069 OWW852061:OWW852069 PGS852061:PGS852069 PQO852061:PQO852069 QAK852061:QAK852069 QKG852061:QKG852069 QUC852061:QUC852069 RDY852061:RDY852069 RNU852061:RNU852069 RXQ852061:RXQ852069 SHM852061:SHM852069 SRI852061:SRI852069 TBE852061:TBE852069 TLA852061:TLA852069 TUW852061:TUW852069 UES852061:UES852069 UOO852061:UOO852069 UYK852061:UYK852069 VIG852061:VIG852069 VSC852061:VSC852069 WBY852061:WBY852069 WLU852061:WLU852069 WVQ852061:WVQ852069 I917597:I917605 JE917597:JE917605 TA917597:TA917605 ACW917597:ACW917605 AMS917597:AMS917605 AWO917597:AWO917605 BGK917597:BGK917605 BQG917597:BQG917605 CAC917597:CAC917605 CJY917597:CJY917605 CTU917597:CTU917605 DDQ917597:DDQ917605 DNM917597:DNM917605 DXI917597:DXI917605 EHE917597:EHE917605 ERA917597:ERA917605 FAW917597:FAW917605 FKS917597:FKS917605 FUO917597:FUO917605 GEK917597:GEK917605 GOG917597:GOG917605 GYC917597:GYC917605 HHY917597:HHY917605 HRU917597:HRU917605 IBQ917597:IBQ917605 ILM917597:ILM917605 IVI917597:IVI917605 JFE917597:JFE917605 JPA917597:JPA917605 JYW917597:JYW917605 KIS917597:KIS917605 KSO917597:KSO917605 LCK917597:LCK917605 LMG917597:LMG917605 LWC917597:LWC917605 MFY917597:MFY917605 MPU917597:MPU917605 MZQ917597:MZQ917605 NJM917597:NJM917605 NTI917597:NTI917605 ODE917597:ODE917605 ONA917597:ONA917605 OWW917597:OWW917605 PGS917597:PGS917605 PQO917597:PQO917605 QAK917597:QAK917605 QKG917597:QKG917605 QUC917597:QUC917605 RDY917597:RDY917605 RNU917597:RNU917605 RXQ917597:RXQ917605 SHM917597:SHM917605 SRI917597:SRI917605 TBE917597:TBE917605 TLA917597:TLA917605 TUW917597:TUW917605 UES917597:UES917605 UOO917597:UOO917605 UYK917597:UYK917605 VIG917597:VIG917605 VSC917597:VSC917605 WBY917597:WBY917605 WLU917597:WLU917605 WVQ917597:WVQ917605 I983133:I983141 JE983133:JE983141 TA983133:TA983141 ACW983133:ACW983141 AMS983133:AMS983141 AWO983133:AWO983141 BGK983133:BGK983141 BQG983133:BQG983141 CAC983133:CAC983141 CJY983133:CJY983141 CTU983133:CTU983141 DDQ983133:DDQ983141 DNM983133:DNM983141 DXI983133:DXI983141 EHE983133:EHE983141 ERA983133:ERA983141 FAW983133:FAW983141 FKS983133:FKS983141 FUO983133:FUO983141 GEK983133:GEK983141 GOG983133:GOG983141 GYC983133:GYC983141 HHY983133:HHY983141 HRU983133:HRU983141 IBQ983133:IBQ983141 ILM983133:ILM983141 IVI983133:IVI983141 JFE983133:JFE983141 JPA983133:JPA983141 JYW983133:JYW983141 KIS983133:KIS983141 KSO983133:KSO983141 LCK983133:LCK983141 LMG983133:LMG983141 LWC983133:LWC983141 MFY983133:MFY983141 MPU983133:MPU983141 MZQ983133:MZQ983141 NJM983133:NJM983141 NTI983133:NTI983141 ODE983133:ODE983141 ONA983133:ONA983141 OWW983133:OWW983141 PGS983133:PGS983141 PQO983133:PQO983141 QAK983133:QAK983141 QKG983133:QKG983141 QUC983133:QUC983141 RDY983133:RDY983141 RNU983133:RNU983141 RXQ983133:RXQ983141 SHM983133:SHM983141 SRI983133:SRI983141 TBE983133:TBE983141 TLA983133:TLA983141 TUW983133:TUW983141 UES983133:UES983141 UOO983133:UOO983141 UYK983133:UYK983141 VIG983133:VIG983141 VSC983133:VSC983141 WBY983133:WBY983141 WLU983133:WLU983141 WVQ983133:WVQ983141 I65401:I65425 JE65401:JE65425 TA65401:TA65425 ACW65401:ACW65425 AMS65401:AMS65425 AWO65401:AWO65425 BGK65401:BGK65425 BQG65401:BQG65425 CAC65401:CAC65425 CJY65401:CJY65425 CTU65401:CTU65425 DDQ65401:DDQ65425 DNM65401:DNM65425 DXI65401:DXI65425 EHE65401:EHE65425 ERA65401:ERA65425 FAW65401:FAW65425 FKS65401:FKS65425 FUO65401:FUO65425 GEK65401:GEK65425 GOG65401:GOG65425 GYC65401:GYC65425 HHY65401:HHY65425 HRU65401:HRU65425 IBQ65401:IBQ65425 ILM65401:ILM65425 IVI65401:IVI65425 JFE65401:JFE65425 JPA65401:JPA65425 JYW65401:JYW65425 KIS65401:KIS65425 KSO65401:KSO65425 LCK65401:LCK65425 LMG65401:LMG65425 LWC65401:LWC65425 MFY65401:MFY65425 MPU65401:MPU65425 MZQ65401:MZQ65425 NJM65401:NJM65425 NTI65401:NTI65425 ODE65401:ODE65425 ONA65401:ONA65425 OWW65401:OWW65425 PGS65401:PGS65425 PQO65401:PQO65425 QAK65401:QAK65425 QKG65401:QKG65425 QUC65401:QUC65425 RDY65401:RDY65425 RNU65401:RNU65425 RXQ65401:RXQ65425 SHM65401:SHM65425 SRI65401:SRI65425 TBE65401:TBE65425 TLA65401:TLA65425 TUW65401:TUW65425 UES65401:UES65425 UOO65401:UOO65425 UYK65401:UYK65425 VIG65401:VIG65425 VSC65401:VSC65425 WBY65401:WBY65425 WLU65401:WLU65425 WVQ65401:WVQ65425 I130937:I130961 JE130937:JE130961 TA130937:TA130961 ACW130937:ACW130961 AMS130937:AMS130961 AWO130937:AWO130961 BGK130937:BGK130961 BQG130937:BQG130961 CAC130937:CAC130961 CJY130937:CJY130961 CTU130937:CTU130961 DDQ130937:DDQ130961 DNM130937:DNM130961 DXI130937:DXI130961 EHE130937:EHE130961 ERA130937:ERA130961 FAW130937:FAW130961 FKS130937:FKS130961 FUO130937:FUO130961 GEK130937:GEK130961 GOG130937:GOG130961 GYC130937:GYC130961 HHY130937:HHY130961 HRU130937:HRU130961 IBQ130937:IBQ130961 ILM130937:ILM130961 IVI130937:IVI130961 JFE130937:JFE130961 JPA130937:JPA130961 JYW130937:JYW130961 KIS130937:KIS130961 KSO130937:KSO130961 LCK130937:LCK130961 LMG130937:LMG130961 LWC130937:LWC130961 MFY130937:MFY130961 MPU130937:MPU130961 MZQ130937:MZQ130961 NJM130937:NJM130961 NTI130937:NTI130961 ODE130937:ODE130961 ONA130937:ONA130961 OWW130937:OWW130961 PGS130937:PGS130961 PQO130937:PQO130961 QAK130937:QAK130961 QKG130937:QKG130961 QUC130937:QUC130961 RDY130937:RDY130961 RNU130937:RNU130961 RXQ130937:RXQ130961 SHM130937:SHM130961 SRI130937:SRI130961 TBE130937:TBE130961 TLA130937:TLA130961 TUW130937:TUW130961 UES130937:UES130961 UOO130937:UOO130961 UYK130937:UYK130961 VIG130937:VIG130961 VSC130937:VSC130961 WBY130937:WBY130961 WLU130937:WLU130961 WVQ130937:WVQ130961 I196473:I196497 JE196473:JE196497 TA196473:TA196497 ACW196473:ACW196497 AMS196473:AMS196497 AWO196473:AWO196497 BGK196473:BGK196497 BQG196473:BQG196497 CAC196473:CAC196497 CJY196473:CJY196497 CTU196473:CTU196497 DDQ196473:DDQ196497 DNM196473:DNM196497 DXI196473:DXI196497 EHE196473:EHE196497 ERA196473:ERA196497 FAW196473:FAW196497 FKS196473:FKS196497 FUO196473:FUO196497 GEK196473:GEK196497 GOG196473:GOG196497 GYC196473:GYC196497 HHY196473:HHY196497 HRU196473:HRU196497 IBQ196473:IBQ196497 ILM196473:ILM196497 IVI196473:IVI196497 JFE196473:JFE196497 JPA196473:JPA196497 JYW196473:JYW196497 KIS196473:KIS196497 KSO196473:KSO196497 LCK196473:LCK196497 LMG196473:LMG196497 LWC196473:LWC196497 MFY196473:MFY196497 MPU196473:MPU196497 MZQ196473:MZQ196497 NJM196473:NJM196497 NTI196473:NTI196497 ODE196473:ODE196497 ONA196473:ONA196497 OWW196473:OWW196497 PGS196473:PGS196497 PQO196473:PQO196497 QAK196473:QAK196497 QKG196473:QKG196497 QUC196473:QUC196497 RDY196473:RDY196497 RNU196473:RNU196497 RXQ196473:RXQ196497 SHM196473:SHM196497 SRI196473:SRI196497 TBE196473:TBE196497 TLA196473:TLA196497 TUW196473:TUW196497 UES196473:UES196497 UOO196473:UOO196497 UYK196473:UYK196497 VIG196473:VIG196497 VSC196473:VSC196497 WBY196473:WBY196497 WLU196473:WLU196497 WVQ196473:WVQ196497 I262009:I262033 JE262009:JE262033 TA262009:TA262033 ACW262009:ACW262033 AMS262009:AMS262033 AWO262009:AWO262033 BGK262009:BGK262033 BQG262009:BQG262033 CAC262009:CAC262033 CJY262009:CJY262033 CTU262009:CTU262033 DDQ262009:DDQ262033 DNM262009:DNM262033 DXI262009:DXI262033 EHE262009:EHE262033 ERA262009:ERA262033 FAW262009:FAW262033 FKS262009:FKS262033 FUO262009:FUO262033 GEK262009:GEK262033 GOG262009:GOG262033 GYC262009:GYC262033 HHY262009:HHY262033 HRU262009:HRU262033 IBQ262009:IBQ262033 ILM262009:ILM262033 IVI262009:IVI262033 JFE262009:JFE262033 JPA262009:JPA262033 JYW262009:JYW262033 KIS262009:KIS262033 KSO262009:KSO262033 LCK262009:LCK262033 LMG262009:LMG262033 LWC262009:LWC262033 MFY262009:MFY262033 MPU262009:MPU262033 MZQ262009:MZQ262033 NJM262009:NJM262033 NTI262009:NTI262033 ODE262009:ODE262033 ONA262009:ONA262033 OWW262009:OWW262033 PGS262009:PGS262033 PQO262009:PQO262033 QAK262009:QAK262033 QKG262009:QKG262033 QUC262009:QUC262033 RDY262009:RDY262033 RNU262009:RNU262033 RXQ262009:RXQ262033 SHM262009:SHM262033 SRI262009:SRI262033 TBE262009:TBE262033 TLA262009:TLA262033 TUW262009:TUW262033 UES262009:UES262033 UOO262009:UOO262033 UYK262009:UYK262033 VIG262009:VIG262033 VSC262009:VSC262033 WBY262009:WBY262033 WLU262009:WLU262033 WVQ262009:WVQ262033 I327545:I327569 JE327545:JE327569 TA327545:TA327569 ACW327545:ACW327569 AMS327545:AMS327569 AWO327545:AWO327569 BGK327545:BGK327569 BQG327545:BQG327569 CAC327545:CAC327569 CJY327545:CJY327569 CTU327545:CTU327569 DDQ327545:DDQ327569 DNM327545:DNM327569 DXI327545:DXI327569 EHE327545:EHE327569 ERA327545:ERA327569 FAW327545:FAW327569 FKS327545:FKS327569 FUO327545:FUO327569 GEK327545:GEK327569 GOG327545:GOG327569 GYC327545:GYC327569 HHY327545:HHY327569 HRU327545:HRU327569 IBQ327545:IBQ327569 ILM327545:ILM327569 IVI327545:IVI327569 JFE327545:JFE327569 JPA327545:JPA327569 JYW327545:JYW327569 KIS327545:KIS327569 KSO327545:KSO327569 LCK327545:LCK327569 LMG327545:LMG327569 LWC327545:LWC327569 MFY327545:MFY327569 MPU327545:MPU327569 MZQ327545:MZQ327569 NJM327545:NJM327569 NTI327545:NTI327569 ODE327545:ODE327569 ONA327545:ONA327569 OWW327545:OWW327569 PGS327545:PGS327569 PQO327545:PQO327569 QAK327545:QAK327569 QKG327545:QKG327569 QUC327545:QUC327569 RDY327545:RDY327569 RNU327545:RNU327569 RXQ327545:RXQ327569 SHM327545:SHM327569 SRI327545:SRI327569 TBE327545:TBE327569 TLA327545:TLA327569 TUW327545:TUW327569 UES327545:UES327569 UOO327545:UOO327569 UYK327545:UYK327569 VIG327545:VIG327569 VSC327545:VSC327569 WBY327545:WBY327569 WLU327545:WLU327569 WVQ327545:WVQ327569 I393081:I393105 JE393081:JE393105 TA393081:TA393105 ACW393081:ACW393105 AMS393081:AMS393105 AWO393081:AWO393105 BGK393081:BGK393105 BQG393081:BQG393105 CAC393081:CAC393105 CJY393081:CJY393105 CTU393081:CTU393105 DDQ393081:DDQ393105 DNM393081:DNM393105 DXI393081:DXI393105 EHE393081:EHE393105 ERA393081:ERA393105 FAW393081:FAW393105 FKS393081:FKS393105 FUO393081:FUO393105 GEK393081:GEK393105 GOG393081:GOG393105 GYC393081:GYC393105 HHY393081:HHY393105 HRU393081:HRU393105 IBQ393081:IBQ393105 ILM393081:ILM393105 IVI393081:IVI393105 JFE393081:JFE393105 JPA393081:JPA393105 JYW393081:JYW393105 KIS393081:KIS393105 KSO393081:KSO393105 LCK393081:LCK393105 LMG393081:LMG393105 LWC393081:LWC393105 MFY393081:MFY393105 MPU393081:MPU393105 MZQ393081:MZQ393105 NJM393081:NJM393105 NTI393081:NTI393105 ODE393081:ODE393105 ONA393081:ONA393105 OWW393081:OWW393105 PGS393081:PGS393105 PQO393081:PQO393105 QAK393081:QAK393105 QKG393081:QKG393105 QUC393081:QUC393105 RDY393081:RDY393105 RNU393081:RNU393105 RXQ393081:RXQ393105 SHM393081:SHM393105 SRI393081:SRI393105 TBE393081:TBE393105 TLA393081:TLA393105 TUW393081:TUW393105 UES393081:UES393105 UOO393081:UOO393105 UYK393081:UYK393105 VIG393081:VIG393105 VSC393081:VSC393105 WBY393081:WBY393105 WLU393081:WLU393105 WVQ393081:WVQ393105 I458617:I458641 JE458617:JE458641 TA458617:TA458641 ACW458617:ACW458641 AMS458617:AMS458641 AWO458617:AWO458641 BGK458617:BGK458641 BQG458617:BQG458641 CAC458617:CAC458641 CJY458617:CJY458641 CTU458617:CTU458641 DDQ458617:DDQ458641 DNM458617:DNM458641 DXI458617:DXI458641 EHE458617:EHE458641 ERA458617:ERA458641 FAW458617:FAW458641 FKS458617:FKS458641 FUO458617:FUO458641 GEK458617:GEK458641 GOG458617:GOG458641 GYC458617:GYC458641 HHY458617:HHY458641 HRU458617:HRU458641 IBQ458617:IBQ458641 ILM458617:ILM458641 IVI458617:IVI458641 JFE458617:JFE458641 JPA458617:JPA458641 JYW458617:JYW458641 KIS458617:KIS458641 KSO458617:KSO458641 LCK458617:LCK458641 LMG458617:LMG458641 LWC458617:LWC458641 MFY458617:MFY458641 MPU458617:MPU458641 MZQ458617:MZQ458641 NJM458617:NJM458641 NTI458617:NTI458641 ODE458617:ODE458641 ONA458617:ONA458641 OWW458617:OWW458641 PGS458617:PGS458641 PQO458617:PQO458641 QAK458617:QAK458641 QKG458617:QKG458641 QUC458617:QUC458641 RDY458617:RDY458641 RNU458617:RNU458641 RXQ458617:RXQ458641 SHM458617:SHM458641 SRI458617:SRI458641 TBE458617:TBE458641 TLA458617:TLA458641 TUW458617:TUW458641 UES458617:UES458641 UOO458617:UOO458641 UYK458617:UYK458641 VIG458617:VIG458641 VSC458617:VSC458641 WBY458617:WBY458641 WLU458617:WLU458641 WVQ458617:WVQ458641 I524153:I524177 JE524153:JE524177 TA524153:TA524177 ACW524153:ACW524177 AMS524153:AMS524177 AWO524153:AWO524177 BGK524153:BGK524177 BQG524153:BQG524177 CAC524153:CAC524177 CJY524153:CJY524177 CTU524153:CTU524177 DDQ524153:DDQ524177 DNM524153:DNM524177 DXI524153:DXI524177 EHE524153:EHE524177 ERA524153:ERA524177 FAW524153:FAW524177 FKS524153:FKS524177 FUO524153:FUO524177 GEK524153:GEK524177 GOG524153:GOG524177 GYC524153:GYC524177 HHY524153:HHY524177 HRU524153:HRU524177 IBQ524153:IBQ524177 ILM524153:ILM524177 IVI524153:IVI524177 JFE524153:JFE524177 JPA524153:JPA524177 JYW524153:JYW524177 KIS524153:KIS524177 KSO524153:KSO524177 LCK524153:LCK524177 LMG524153:LMG524177 LWC524153:LWC524177 MFY524153:MFY524177 MPU524153:MPU524177 MZQ524153:MZQ524177 NJM524153:NJM524177 NTI524153:NTI524177 ODE524153:ODE524177 ONA524153:ONA524177 OWW524153:OWW524177 PGS524153:PGS524177 PQO524153:PQO524177 QAK524153:QAK524177 QKG524153:QKG524177 QUC524153:QUC524177 RDY524153:RDY524177 RNU524153:RNU524177 RXQ524153:RXQ524177 SHM524153:SHM524177 SRI524153:SRI524177 TBE524153:TBE524177 TLA524153:TLA524177 TUW524153:TUW524177 UES524153:UES524177 UOO524153:UOO524177 UYK524153:UYK524177 VIG524153:VIG524177 VSC524153:VSC524177 WBY524153:WBY524177 WLU524153:WLU524177 WVQ524153:WVQ524177 I589689:I589713 JE589689:JE589713 TA589689:TA589713 ACW589689:ACW589713 AMS589689:AMS589713 AWO589689:AWO589713 BGK589689:BGK589713 BQG589689:BQG589713 CAC589689:CAC589713 CJY589689:CJY589713 CTU589689:CTU589713 DDQ589689:DDQ589713 DNM589689:DNM589713 DXI589689:DXI589713 EHE589689:EHE589713 ERA589689:ERA589713 FAW589689:FAW589713 FKS589689:FKS589713 FUO589689:FUO589713 GEK589689:GEK589713 GOG589689:GOG589713 GYC589689:GYC589713 HHY589689:HHY589713 HRU589689:HRU589713 IBQ589689:IBQ589713 ILM589689:ILM589713 IVI589689:IVI589713 JFE589689:JFE589713 JPA589689:JPA589713 JYW589689:JYW589713 KIS589689:KIS589713 KSO589689:KSO589713 LCK589689:LCK589713 LMG589689:LMG589713 LWC589689:LWC589713 MFY589689:MFY589713 MPU589689:MPU589713 MZQ589689:MZQ589713 NJM589689:NJM589713 NTI589689:NTI589713 ODE589689:ODE589713 ONA589689:ONA589713 OWW589689:OWW589713 PGS589689:PGS589713 PQO589689:PQO589713 QAK589689:QAK589713 QKG589689:QKG589713 QUC589689:QUC589713 RDY589689:RDY589713 RNU589689:RNU589713 RXQ589689:RXQ589713 SHM589689:SHM589713 SRI589689:SRI589713 TBE589689:TBE589713 TLA589689:TLA589713 TUW589689:TUW589713 UES589689:UES589713 UOO589689:UOO589713 UYK589689:UYK589713 VIG589689:VIG589713 VSC589689:VSC589713 WBY589689:WBY589713 WLU589689:WLU589713 WVQ589689:WVQ589713 I655225:I655249 JE655225:JE655249 TA655225:TA655249 ACW655225:ACW655249 AMS655225:AMS655249 AWO655225:AWO655249 BGK655225:BGK655249 BQG655225:BQG655249 CAC655225:CAC655249 CJY655225:CJY655249 CTU655225:CTU655249 DDQ655225:DDQ655249 DNM655225:DNM655249 DXI655225:DXI655249 EHE655225:EHE655249 ERA655225:ERA655249 FAW655225:FAW655249 FKS655225:FKS655249 FUO655225:FUO655249 GEK655225:GEK655249 GOG655225:GOG655249 GYC655225:GYC655249 HHY655225:HHY655249 HRU655225:HRU655249 IBQ655225:IBQ655249 ILM655225:ILM655249 IVI655225:IVI655249 JFE655225:JFE655249 JPA655225:JPA655249 JYW655225:JYW655249 KIS655225:KIS655249 KSO655225:KSO655249 LCK655225:LCK655249 LMG655225:LMG655249 LWC655225:LWC655249 MFY655225:MFY655249 MPU655225:MPU655249 MZQ655225:MZQ655249 NJM655225:NJM655249 NTI655225:NTI655249 ODE655225:ODE655249 ONA655225:ONA655249 OWW655225:OWW655249 PGS655225:PGS655249 PQO655225:PQO655249 QAK655225:QAK655249 QKG655225:QKG655249 QUC655225:QUC655249 RDY655225:RDY655249 RNU655225:RNU655249 RXQ655225:RXQ655249 SHM655225:SHM655249 SRI655225:SRI655249 TBE655225:TBE655249 TLA655225:TLA655249 TUW655225:TUW655249 UES655225:UES655249 UOO655225:UOO655249 UYK655225:UYK655249 VIG655225:VIG655249 VSC655225:VSC655249 WBY655225:WBY655249 WLU655225:WLU655249 WVQ655225:WVQ655249 I720761:I720785 JE720761:JE720785 TA720761:TA720785 ACW720761:ACW720785 AMS720761:AMS720785 AWO720761:AWO720785 BGK720761:BGK720785 BQG720761:BQG720785 CAC720761:CAC720785 CJY720761:CJY720785 CTU720761:CTU720785 DDQ720761:DDQ720785 DNM720761:DNM720785 DXI720761:DXI720785 EHE720761:EHE720785 ERA720761:ERA720785 FAW720761:FAW720785 FKS720761:FKS720785 FUO720761:FUO720785 GEK720761:GEK720785 GOG720761:GOG720785 GYC720761:GYC720785 HHY720761:HHY720785 HRU720761:HRU720785 IBQ720761:IBQ720785 ILM720761:ILM720785 IVI720761:IVI720785 JFE720761:JFE720785 JPA720761:JPA720785 JYW720761:JYW720785 KIS720761:KIS720785 KSO720761:KSO720785 LCK720761:LCK720785 LMG720761:LMG720785 LWC720761:LWC720785 MFY720761:MFY720785 MPU720761:MPU720785 MZQ720761:MZQ720785 NJM720761:NJM720785 NTI720761:NTI720785 ODE720761:ODE720785 ONA720761:ONA720785 OWW720761:OWW720785 PGS720761:PGS720785 PQO720761:PQO720785 QAK720761:QAK720785 QKG720761:QKG720785 QUC720761:QUC720785 RDY720761:RDY720785 RNU720761:RNU720785 RXQ720761:RXQ720785 SHM720761:SHM720785 SRI720761:SRI720785 TBE720761:TBE720785 TLA720761:TLA720785 TUW720761:TUW720785 UES720761:UES720785 UOO720761:UOO720785 UYK720761:UYK720785 VIG720761:VIG720785 VSC720761:VSC720785 WBY720761:WBY720785 WLU720761:WLU720785 WVQ720761:WVQ720785 I786297:I786321 JE786297:JE786321 TA786297:TA786321 ACW786297:ACW786321 AMS786297:AMS786321 AWO786297:AWO786321 BGK786297:BGK786321 BQG786297:BQG786321 CAC786297:CAC786321 CJY786297:CJY786321 CTU786297:CTU786321 DDQ786297:DDQ786321 DNM786297:DNM786321 DXI786297:DXI786321 EHE786297:EHE786321 ERA786297:ERA786321 FAW786297:FAW786321 FKS786297:FKS786321 FUO786297:FUO786321 GEK786297:GEK786321 GOG786297:GOG786321 GYC786297:GYC786321 HHY786297:HHY786321 HRU786297:HRU786321 IBQ786297:IBQ786321 ILM786297:ILM786321 IVI786297:IVI786321 JFE786297:JFE786321 JPA786297:JPA786321 JYW786297:JYW786321 KIS786297:KIS786321 KSO786297:KSO786321 LCK786297:LCK786321 LMG786297:LMG786321 LWC786297:LWC786321 MFY786297:MFY786321 MPU786297:MPU786321 MZQ786297:MZQ786321 NJM786297:NJM786321 NTI786297:NTI786321 ODE786297:ODE786321 ONA786297:ONA786321 OWW786297:OWW786321 PGS786297:PGS786321 PQO786297:PQO786321 QAK786297:QAK786321 QKG786297:QKG786321 QUC786297:QUC786321 RDY786297:RDY786321 RNU786297:RNU786321 RXQ786297:RXQ786321 SHM786297:SHM786321 SRI786297:SRI786321 TBE786297:TBE786321 TLA786297:TLA786321 TUW786297:TUW786321 UES786297:UES786321 UOO786297:UOO786321 UYK786297:UYK786321 VIG786297:VIG786321 VSC786297:VSC786321 WBY786297:WBY786321 WLU786297:WLU786321 WVQ786297:WVQ786321 I851833:I851857 JE851833:JE851857 TA851833:TA851857 ACW851833:ACW851857 AMS851833:AMS851857 AWO851833:AWO851857 BGK851833:BGK851857 BQG851833:BQG851857 CAC851833:CAC851857 CJY851833:CJY851857 CTU851833:CTU851857 DDQ851833:DDQ851857 DNM851833:DNM851857 DXI851833:DXI851857 EHE851833:EHE851857 ERA851833:ERA851857 FAW851833:FAW851857 FKS851833:FKS851857 FUO851833:FUO851857 GEK851833:GEK851857 GOG851833:GOG851857 GYC851833:GYC851857 HHY851833:HHY851857 HRU851833:HRU851857 IBQ851833:IBQ851857 ILM851833:ILM851857 IVI851833:IVI851857 JFE851833:JFE851857 JPA851833:JPA851857 JYW851833:JYW851857 KIS851833:KIS851857 KSO851833:KSO851857 LCK851833:LCK851857 LMG851833:LMG851857 LWC851833:LWC851857 MFY851833:MFY851857 MPU851833:MPU851857 MZQ851833:MZQ851857 NJM851833:NJM851857 NTI851833:NTI851857 ODE851833:ODE851857 ONA851833:ONA851857 OWW851833:OWW851857 PGS851833:PGS851857 PQO851833:PQO851857 QAK851833:QAK851857 QKG851833:QKG851857 QUC851833:QUC851857 RDY851833:RDY851857 RNU851833:RNU851857 RXQ851833:RXQ851857 SHM851833:SHM851857 SRI851833:SRI851857 TBE851833:TBE851857 TLA851833:TLA851857 TUW851833:TUW851857 UES851833:UES851857 UOO851833:UOO851857 UYK851833:UYK851857 VIG851833:VIG851857 VSC851833:VSC851857 WBY851833:WBY851857 WLU851833:WLU851857 WVQ851833:WVQ851857 I917369:I917393 JE917369:JE917393 TA917369:TA917393 ACW917369:ACW917393 AMS917369:AMS917393 AWO917369:AWO917393 BGK917369:BGK917393 BQG917369:BQG917393 CAC917369:CAC917393 CJY917369:CJY917393 CTU917369:CTU917393 DDQ917369:DDQ917393 DNM917369:DNM917393 DXI917369:DXI917393 EHE917369:EHE917393 ERA917369:ERA917393 FAW917369:FAW917393 FKS917369:FKS917393 FUO917369:FUO917393 GEK917369:GEK917393 GOG917369:GOG917393 GYC917369:GYC917393 HHY917369:HHY917393 HRU917369:HRU917393 IBQ917369:IBQ917393 ILM917369:ILM917393 IVI917369:IVI917393 JFE917369:JFE917393 JPA917369:JPA917393 JYW917369:JYW917393 KIS917369:KIS917393 KSO917369:KSO917393 LCK917369:LCK917393 LMG917369:LMG917393 LWC917369:LWC917393 MFY917369:MFY917393 MPU917369:MPU917393 MZQ917369:MZQ917393 NJM917369:NJM917393 NTI917369:NTI917393 ODE917369:ODE917393 ONA917369:ONA917393 OWW917369:OWW917393 PGS917369:PGS917393 PQO917369:PQO917393 QAK917369:QAK917393 QKG917369:QKG917393 QUC917369:QUC917393 RDY917369:RDY917393 RNU917369:RNU917393 RXQ917369:RXQ917393 SHM917369:SHM917393 SRI917369:SRI917393 TBE917369:TBE917393 TLA917369:TLA917393 TUW917369:TUW917393 UES917369:UES917393 UOO917369:UOO917393 UYK917369:UYK917393 VIG917369:VIG917393 VSC917369:VSC917393 WBY917369:WBY917393 WLU917369:WLU917393 WVQ917369:WVQ917393 I982905:I982929 JE982905:JE982929 TA982905:TA982929 ACW982905:ACW982929 AMS982905:AMS982929 AWO982905:AWO982929 BGK982905:BGK982929 BQG982905:BQG982929 CAC982905:CAC982929 CJY982905:CJY982929 CTU982905:CTU982929 DDQ982905:DDQ982929 DNM982905:DNM982929 DXI982905:DXI982929 EHE982905:EHE982929 ERA982905:ERA982929 FAW982905:FAW982929 FKS982905:FKS982929 FUO982905:FUO982929 GEK982905:GEK982929 GOG982905:GOG982929 GYC982905:GYC982929 HHY982905:HHY982929 HRU982905:HRU982929 IBQ982905:IBQ982929 ILM982905:ILM982929 IVI982905:IVI982929 JFE982905:JFE982929 JPA982905:JPA982929 JYW982905:JYW982929 KIS982905:KIS982929 KSO982905:KSO982929 LCK982905:LCK982929 LMG982905:LMG982929 LWC982905:LWC982929 MFY982905:MFY982929 MPU982905:MPU982929 MZQ982905:MZQ982929 NJM982905:NJM982929 NTI982905:NTI982929 ODE982905:ODE982929 ONA982905:ONA982929 OWW982905:OWW982929 PGS982905:PGS982929 PQO982905:PQO982929 QAK982905:QAK982929 QKG982905:QKG982929 QUC982905:QUC982929 RDY982905:RDY982929 RNU982905:RNU982929 RXQ982905:RXQ982929 SHM982905:SHM982929 SRI982905:SRI982929 TBE982905:TBE982929 TLA982905:TLA982929 TUW982905:TUW982929 UES982905:UES982929 UOO982905:UOO982929 UYK982905:UYK982929 VIG982905:VIG982929 VSC982905:VSC982929 WBY982905:WBY982929 WLU982905:WLU982929 WVQ982905:WVQ982929 I65386:I65399 JE65386:JE65399 TA65386:TA65399 ACW65386:ACW65399 AMS65386:AMS65399 AWO65386:AWO65399 BGK65386:BGK65399 BQG65386:BQG65399 CAC65386:CAC65399 CJY65386:CJY65399 CTU65386:CTU65399 DDQ65386:DDQ65399 DNM65386:DNM65399 DXI65386:DXI65399 EHE65386:EHE65399 ERA65386:ERA65399 FAW65386:FAW65399 FKS65386:FKS65399 FUO65386:FUO65399 GEK65386:GEK65399 GOG65386:GOG65399 GYC65386:GYC65399 HHY65386:HHY65399 HRU65386:HRU65399 IBQ65386:IBQ65399 ILM65386:ILM65399 IVI65386:IVI65399 JFE65386:JFE65399 JPA65386:JPA65399 JYW65386:JYW65399 KIS65386:KIS65399 KSO65386:KSO65399 LCK65386:LCK65399 LMG65386:LMG65399 LWC65386:LWC65399 MFY65386:MFY65399 MPU65386:MPU65399 MZQ65386:MZQ65399 NJM65386:NJM65399 NTI65386:NTI65399 ODE65386:ODE65399 ONA65386:ONA65399 OWW65386:OWW65399 PGS65386:PGS65399 PQO65386:PQO65399 QAK65386:QAK65399 QKG65386:QKG65399 QUC65386:QUC65399 RDY65386:RDY65399 RNU65386:RNU65399 RXQ65386:RXQ65399 SHM65386:SHM65399 SRI65386:SRI65399 TBE65386:TBE65399 TLA65386:TLA65399 TUW65386:TUW65399 UES65386:UES65399 UOO65386:UOO65399 UYK65386:UYK65399 VIG65386:VIG65399 VSC65386:VSC65399 WBY65386:WBY65399 WLU65386:WLU65399 WVQ65386:WVQ65399 I130922:I130935 JE130922:JE130935 TA130922:TA130935 ACW130922:ACW130935 AMS130922:AMS130935 AWO130922:AWO130935 BGK130922:BGK130935 BQG130922:BQG130935 CAC130922:CAC130935 CJY130922:CJY130935 CTU130922:CTU130935 DDQ130922:DDQ130935 DNM130922:DNM130935 DXI130922:DXI130935 EHE130922:EHE130935 ERA130922:ERA130935 FAW130922:FAW130935 FKS130922:FKS130935 FUO130922:FUO130935 GEK130922:GEK130935 GOG130922:GOG130935 GYC130922:GYC130935 HHY130922:HHY130935 HRU130922:HRU130935 IBQ130922:IBQ130935 ILM130922:ILM130935 IVI130922:IVI130935 JFE130922:JFE130935 JPA130922:JPA130935 JYW130922:JYW130935 KIS130922:KIS130935 KSO130922:KSO130935 LCK130922:LCK130935 LMG130922:LMG130935 LWC130922:LWC130935 MFY130922:MFY130935 MPU130922:MPU130935 MZQ130922:MZQ130935 NJM130922:NJM130935 NTI130922:NTI130935 ODE130922:ODE130935 ONA130922:ONA130935 OWW130922:OWW130935 PGS130922:PGS130935 PQO130922:PQO130935 QAK130922:QAK130935 QKG130922:QKG130935 QUC130922:QUC130935 RDY130922:RDY130935 RNU130922:RNU130935 RXQ130922:RXQ130935 SHM130922:SHM130935 SRI130922:SRI130935 TBE130922:TBE130935 TLA130922:TLA130935 TUW130922:TUW130935 UES130922:UES130935 UOO130922:UOO130935 UYK130922:UYK130935 VIG130922:VIG130935 VSC130922:VSC130935 WBY130922:WBY130935 WLU130922:WLU130935 WVQ130922:WVQ130935 I196458:I196471 JE196458:JE196471 TA196458:TA196471 ACW196458:ACW196471 AMS196458:AMS196471 AWO196458:AWO196471 BGK196458:BGK196471 BQG196458:BQG196471 CAC196458:CAC196471 CJY196458:CJY196471 CTU196458:CTU196471 DDQ196458:DDQ196471 DNM196458:DNM196471 DXI196458:DXI196471 EHE196458:EHE196471 ERA196458:ERA196471 FAW196458:FAW196471 FKS196458:FKS196471 FUO196458:FUO196471 GEK196458:GEK196471 GOG196458:GOG196471 GYC196458:GYC196471 HHY196458:HHY196471 HRU196458:HRU196471 IBQ196458:IBQ196471 ILM196458:ILM196471 IVI196458:IVI196471 JFE196458:JFE196471 JPA196458:JPA196471 JYW196458:JYW196471 KIS196458:KIS196471 KSO196458:KSO196471 LCK196458:LCK196471 LMG196458:LMG196471 LWC196458:LWC196471 MFY196458:MFY196471 MPU196458:MPU196471 MZQ196458:MZQ196471 NJM196458:NJM196471 NTI196458:NTI196471 ODE196458:ODE196471 ONA196458:ONA196471 OWW196458:OWW196471 PGS196458:PGS196471 PQO196458:PQO196471 QAK196458:QAK196471 QKG196458:QKG196471 QUC196458:QUC196471 RDY196458:RDY196471 RNU196458:RNU196471 RXQ196458:RXQ196471 SHM196458:SHM196471 SRI196458:SRI196471 TBE196458:TBE196471 TLA196458:TLA196471 TUW196458:TUW196471 UES196458:UES196471 UOO196458:UOO196471 UYK196458:UYK196471 VIG196458:VIG196471 VSC196458:VSC196471 WBY196458:WBY196471 WLU196458:WLU196471 WVQ196458:WVQ196471 I261994:I262007 JE261994:JE262007 TA261994:TA262007 ACW261994:ACW262007 AMS261994:AMS262007 AWO261994:AWO262007 BGK261994:BGK262007 BQG261994:BQG262007 CAC261994:CAC262007 CJY261994:CJY262007 CTU261994:CTU262007 DDQ261994:DDQ262007 DNM261994:DNM262007 DXI261994:DXI262007 EHE261994:EHE262007 ERA261994:ERA262007 FAW261994:FAW262007 FKS261994:FKS262007 FUO261994:FUO262007 GEK261994:GEK262007 GOG261994:GOG262007 GYC261994:GYC262007 HHY261994:HHY262007 HRU261994:HRU262007 IBQ261994:IBQ262007 ILM261994:ILM262007 IVI261994:IVI262007 JFE261994:JFE262007 JPA261994:JPA262007 JYW261994:JYW262007 KIS261994:KIS262007 KSO261994:KSO262007 LCK261994:LCK262007 LMG261994:LMG262007 LWC261994:LWC262007 MFY261994:MFY262007 MPU261994:MPU262007 MZQ261994:MZQ262007 NJM261994:NJM262007 NTI261994:NTI262007 ODE261994:ODE262007 ONA261994:ONA262007 OWW261994:OWW262007 PGS261994:PGS262007 PQO261994:PQO262007 QAK261994:QAK262007 QKG261994:QKG262007 QUC261994:QUC262007 RDY261994:RDY262007 RNU261994:RNU262007 RXQ261994:RXQ262007 SHM261994:SHM262007 SRI261994:SRI262007 TBE261994:TBE262007 TLA261994:TLA262007 TUW261994:TUW262007 UES261994:UES262007 UOO261994:UOO262007 UYK261994:UYK262007 VIG261994:VIG262007 VSC261994:VSC262007 WBY261994:WBY262007 WLU261994:WLU262007 WVQ261994:WVQ262007 I327530:I327543 JE327530:JE327543 TA327530:TA327543 ACW327530:ACW327543 AMS327530:AMS327543 AWO327530:AWO327543 BGK327530:BGK327543 BQG327530:BQG327543 CAC327530:CAC327543 CJY327530:CJY327543 CTU327530:CTU327543 DDQ327530:DDQ327543 DNM327530:DNM327543 DXI327530:DXI327543 EHE327530:EHE327543 ERA327530:ERA327543 FAW327530:FAW327543 FKS327530:FKS327543 FUO327530:FUO327543 GEK327530:GEK327543 GOG327530:GOG327543 GYC327530:GYC327543 HHY327530:HHY327543 HRU327530:HRU327543 IBQ327530:IBQ327543 ILM327530:ILM327543 IVI327530:IVI327543 JFE327530:JFE327543 JPA327530:JPA327543 JYW327530:JYW327543 KIS327530:KIS327543 KSO327530:KSO327543 LCK327530:LCK327543 LMG327530:LMG327543 LWC327530:LWC327543 MFY327530:MFY327543 MPU327530:MPU327543 MZQ327530:MZQ327543 NJM327530:NJM327543 NTI327530:NTI327543 ODE327530:ODE327543 ONA327530:ONA327543 OWW327530:OWW327543 PGS327530:PGS327543 PQO327530:PQO327543 QAK327530:QAK327543 QKG327530:QKG327543 QUC327530:QUC327543 RDY327530:RDY327543 RNU327530:RNU327543 RXQ327530:RXQ327543 SHM327530:SHM327543 SRI327530:SRI327543 TBE327530:TBE327543 TLA327530:TLA327543 TUW327530:TUW327543 UES327530:UES327543 UOO327530:UOO327543 UYK327530:UYK327543 VIG327530:VIG327543 VSC327530:VSC327543 WBY327530:WBY327543 WLU327530:WLU327543 WVQ327530:WVQ327543 I393066:I393079 JE393066:JE393079 TA393066:TA393079 ACW393066:ACW393079 AMS393066:AMS393079 AWO393066:AWO393079 BGK393066:BGK393079 BQG393066:BQG393079 CAC393066:CAC393079 CJY393066:CJY393079 CTU393066:CTU393079 DDQ393066:DDQ393079 DNM393066:DNM393079 DXI393066:DXI393079 EHE393066:EHE393079 ERA393066:ERA393079 FAW393066:FAW393079 FKS393066:FKS393079 FUO393066:FUO393079 GEK393066:GEK393079 GOG393066:GOG393079 GYC393066:GYC393079 HHY393066:HHY393079 HRU393066:HRU393079 IBQ393066:IBQ393079 ILM393066:ILM393079 IVI393066:IVI393079 JFE393066:JFE393079 JPA393066:JPA393079 JYW393066:JYW393079 KIS393066:KIS393079 KSO393066:KSO393079 LCK393066:LCK393079 LMG393066:LMG393079 LWC393066:LWC393079 MFY393066:MFY393079 MPU393066:MPU393079 MZQ393066:MZQ393079 NJM393066:NJM393079 NTI393066:NTI393079 ODE393066:ODE393079 ONA393066:ONA393079 OWW393066:OWW393079 PGS393066:PGS393079 PQO393066:PQO393079 QAK393066:QAK393079 QKG393066:QKG393079 QUC393066:QUC393079 RDY393066:RDY393079 RNU393066:RNU393079 RXQ393066:RXQ393079 SHM393066:SHM393079 SRI393066:SRI393079 TBE393066:TBE393079 TLA393066:TLA393079 TUW393066:TUW393079 UES393066:UES393079 UOO393066:UOO393079 UYK393066:UYK393079 VIG393066:VIG393079 VSC393066:VSC393079 WBY393066:WBY393079 WLU393066:WLU393079 WVQ393066:WVQ393079 I458602:I458615 JE458602:JE458615 TA458602:TA458615 ACW458602:ACW458615 AMS458602:AMS458615 AWO458602:AWO458615 BGK458602:BGK458615 BQG458602:BQG458615 CAC458602:CAC458615 CJY458602:CJY458615 CTU458602:CTU458615 DDQ458602:DDQ458615 DNM458602:DNM458615 DXI458602:DXI458615 EHE458602:EHE458615 ERA458602:ERA458615 FAW458602:FAW458615 FKS458602:FKS458615 FUO458602:FUO458615 GEK458602:GEK458615 GOG458602:GOG458615 GYC458602:GYC458615 HHY458602:HHY458615 HRU458602:HRU458615 IBQ458602:IBQ458615 ILM458602:ILM458615 IVI458602:IVI458615 JFE458602:JFE458615 JPA458602:JPA458615 JYW458602:JYW458615 KIS458602:KIS458615 KSO458602:KSO458615 LCK458602:LCK458615 LMG458602:LMG458615 LWC458602:LWC458615 MFY458602:MFY458615 MPU458602:MPU458615 MZQ458602:MZQ458615 NJM458602:NJM458615 NTI458602:NTI458615 ODE458602:ODE458615 ONA458602:ONA458615 OWW458602:OWW458615 PGS458602:PGS458615 PQO458602:PQO458615 QAK458602:QAK458615 QKG458602:QKG458615 QUC458602:QUC458615 RDY458602:RDY458615 RNU458602:RNU458615 RXQ458602:RXQ458615 SHM458602:SHM458615 SRI458602:SRI458615 TBE458602:TBE458615 TLA458602:TLA458615 TUW458602:TUW458615 UES458602:UES458615 UOO458602:UOO458615 UYK458602:UYK458615 VIG458602:VIG458615 VSC458602:VSC458615 WBY458602:WBY458615 WLU458602:WLU458615 WVQ458602:WVQ458615 I524138:I524151 JE524138:JE524151 TA524138:TA524151 ACW524138:ACW524151 AMS524138:AMS524151 AWO524138:AWO524151 BGK524138:BGK524151 BQG524138:BQG524151 CAC524138:CAC524151 CJY524138:CJY524151 CTU524138:CTU524151 DDQ524138:DDQ524151 DNM524138:DNM524151 DXI524138:DXI524151 EHE524138:EHE524151 ERA524138:ERA524151 FAW524138:FAW524151 FKS524138:FKS524151 FUO524138:FUO524151 GEK524138:GEK524151 GOG524138:GOG524151 GYC524138:GYC524151 HHY524138:HHY524151 HRU524138:HRU524151 IBQ524138:IBQ524151 ILM524138:ILM524151 IVI524138:IVI524151 JFE524138:JFE524151 JPA524138:JPA524151 JYW524138:JYW524151 KIS524138:KIS524151 KSO524138:KSO524151 LCK524138:LCK524151 LMG524138:LMG524151 LWC524138:LWC524151 MFY524138:MFY524151 MPU524138:MPU524151 MZQ524138:MZQ524151 NJM524138:NJM524151 NTI524138:NTI524151 ODE524138:ODE524151 ONA524138:ONA524151 OWW524138:OWW524151 PGS524138:PGS524151 PQO524138:PQO524151 QAK524138:QAK524151 QKG524138:QKG524151 QUC524138:QUC524151 RDY524138:RDY524151 RNU524138:RNU524151 RXQ524138:RXQ524151 SHM524138:SHM524151 SRI524138:SRI524151 TBE524138:TBE524151 TLA524138:TLA524151 TUW524138:TUW524151 UES524138:UES524151 UOO524138:UOO524151 UYK524138:UYK524151 VIG524138:VIG524151 VSC524138:VSC524151 WBY524138:WBY524151 WLU524138:WLU524151 WVQ524138:WVQ524151 I589674:I589687 JE589674:JE589687 TA589674:TA589687 ACW589674:ACW589687 AMS589674:AMS589687 AWO589674:AWO589687 BGK589674:BGK589687 BQG589674:BQG589687 CAC589674:CAC589687 CJY589674:CJY589687 CTU589674:CTU589687 DDQ589674:DDQ589687 DNM589674:DNM589687 DXI589674:DXI589687 EHE589674:EHE589687 ERA589674:ERA589687 FAW589674:FAW589687 FKS589674:FKS589687 FUO589674:FUO589687 GEK589674:GEK589687 GOG589674:GOG589687 GYC589674:GYC589687 HHY589674:HHY589687 HRU589674:HRU589687 IBQ589674:IBQ589687 ILM589674:ILM589687 IVI589674:IVI589687 JFE589674:JFE589687 JPA589674:JPA589687 JYW589674:JYW589687 KIS589674:KIS589687 KSO589674:KSO589687 LCK589674:LCK589687 LMG589674:LMG589687 LWC589674:LWC589687 MFY589674:MFY589687 MPU589674:MPU589687 MZQ589674:MZQ589687 NJM589674:NJM589687 NTI589674:NTI589687 ODE589674:ODE589687 ONA589674:ONA589687 OWW589674:OWW589687 PGS589674:PGS589687 PQO589674:PQO589687 QAK589674:QAK589687 QKG589674:QKG589687 QUC589674:QUC589687 RDY589674:RDY589687 RNU589674:RNU589687 RXQ589674:RXQ589687 SHM589674:SHM589687 SRI589674:SRI589687 TBE589674:TBE589687 TLA589674:TLA589687 TUW589674:TUW589687 UES589674:UES589687 UOO589674:UOO589687 UYK589674:UYK589687 VIG589674:VIG589687 VSC589674:VSC589687 WBY589674:WBY589687 WLU589674:WLU589687 WVQ589674:WVQ589687 I655210:I655223 JE655210:JE655223 TA655210:TA655223 ACW655210:ACW655223 AMS655210:AMS655223 AWO655210:AWO655223 BGK655210:BGK655223 BQG655210:BQG655223 CAC655210:CAC655223 CJY655210:CJY655223 CTU655210:CTU655223 DDQ655210:DDQ655223 DNM655210:DNM655223 DXI655210:DXI655223 EHE655210:EHE655223 ERA655210:ERA655223 FAW655210:FAW655223 FKS655210:FKS655223 FUO655210:FUO655223 GEK655210:GEK655223 GOG655210:GOG655223 GYC655210:GYC655223 HHY655210:HHY655223 HRU655210:HRU655223 IBQ655210:IBQ655223 ILM655210:ILM655223 IVI655210:IVI655223 JFE655210:JFE655223 JPA655210:JPA655223 JYW655210:JYW655223 KIS655210:KIS655223 KSO655210:KSO655223 LCK655210:LCK655223 LMG655210:LMG655223 LWC655210:LWC655223 MFY655210:MFY655223 MPU655210:MPU655223 MZQ655210:MZQ655223 NJM655210:NJM655223 NTI655210:NTI655223 ODE655210:ODE655223 ONA655210:ONA655223 OWW655210:OWW655223 PGS655210:PGS655223 PQO655210:PQO655223 QAK655210:QAK655223 QKG655210:QKG655223 QUC655210:QUC655223 RDY655210:RDY655223 RNU655210:RNU655223 RXQ655210:RXQ655223 SHM655210:SHM655223 SRI655210:SRI655223 TBE655210:TBE655223 TLA655210:TLA655223 TUW655210:TUW655223 UES655210:UES655223 UOO655210:UOO655223 UYK655210:UYK655223 VIG655210:VIG655223 VSC655210:VSC655223 WBY655210:WBY655223 WLU655210:WLU655223 WVQ655210:WVQ655223 I720746:I720759 JE720746:JE720759 TA720746:TA720759 ACW720746:ACW720759 AMS720746:AMS720759 AWO720746:AWO720759 BGK720746:BGK720759 BQG720746:BQG720759 CAC720746:CAC720759 CJY720746:CJY720759 CTU720746:CTU720759 DDQ720746:DDQ720759 DNM720746:DNM720759 DXI720746:DXI720759 EHE720746:EHE720759 ERA720746:ERA720759 FAW720746:FAW720759 FKS720746:FKS720759 FUO720746:FUO720759 GEK720746:GEK720759 GOG720746:GOG720759 GYC720746:GYC720759 HHY720746:HHY720759 HRU720746:HRU720759 IBQ720746:IBQ720759 ILM720746:ILM720759 IVI720746:IVI720759 JFE720746:JFE720759 JPA720746:JPA720759 JYW720746:JYW720759 KIS720746:KIS720759 KSO720746:KSO720759 LCK720746:LCK720759 LMG720746:LMG720759 LWC720746:LWC720759 MFY720746:MFY720759 MPU720746:MPU720759 MZQ720746:MZQ720759 NJM720746:NJM720759 NTI720746:NTI720759 ODE720746:ODE720759 ONA720746:ONA720759 OWW720746:OWW720759 PGS720746:PGS720759 PQO720746:PQO720759 QAK720746:QAK720759 QKG720746:QKG720759 QUC720746:QUC720759 RDY720746:RDY720759 RNU720746:RNU720759 RXQ720746:RXQ720759 SHM720746:SHM720759 SRI720746:SRI720759 TBE720746:TBE720759 TLA720746:TLA720759 TUW720746:TUW720759 UES720746:UES720759 UOO720746:UOO720759 UYK720746:UYK720759 VIG720746:VIG720759 VSC720746:VSC720759 WBY720746:WBY720759 WLU720746:WLU720759 WVQ720746:WVQ720759 I786282:I786295 JE786282:JE786295 TA786282:TA786295 ACW786282:ACW786295 AMS786282:AMS786295 AWO786282:AWO786295 BGK786282:BGK786295 BQG786282:BQG786295 CAC786282:CAC786295 CJY786282:CJY786295 CTU786282:CTU786295 DDQ786282:DDQ786295 DNM786282:DNM786295 DXI786282:DXI786295 EHE786282:EHE786295 ERA786282:ERA786295 FAW786282:FAW786295 FKS786282:FKS786295 FUO786282:FUO786295 GEK786282:GEK786295 GOG786282:GOG786295 GYC786282:GYC786295 HHY786282:HHY786295 HRU786282:HRU786295 IBQ786282:IBQ786295 ILM786282:ILM786295 IVI786282:IVI786295 JFE786282:JFE786295 JPA786282:JPA786295 JYW786282:JYW786295 KIS786282:KIS786295 KSO786282:KSO786295 LCK786282:LCK786295 LMG786282:LMG786295 LWC786282:LWC786295 MFY786282:MFY786295 MPU786282:MPU786295 MZQ786282:MZQ786295 NJM786282:NJM786295 NTI786282:NTI786295 ODE786282:ODE786295 ONA786282:ONA786295 OWW786282:OWW786295 PGS786282:PGS786295 PQO786282:PQO786295 QAK786282:QAK786295 QKG786282:QKG786295 QUC786282:QUC786295 RDY786282:RDY786295 RNU786282:RNU786295 RXQ786282:RXQ786295 SHM786282:SHM786295 SRI786282:SRI786295 TBE786282:TBE786295 TLA786282:TLA786295 TUW786282:TUW786295 UES786282:UES786295 UOO786282:UOO786295 UYK786282:UYK786295 VIG786282:VIG786295 VSC786282:VSC786295 WBY786282:WBY786295 WLU786282:WLU786295 WVQ786282:WVQ786295 I851818:I851831 JE851818:JE851831 TA851818:TA851831 ACW851818:ACW851831 AMS851818:AMS851831 AWO851818:AWO851831 BGK851818:BGK851831 BQG851818:BQG851831 CAC851818:CAC851831 CJY851818:CJY851831 CTU851818:CTU851831 DDQ851818:DDQ851831 DNM851818:DNM851831 DXI851818:DXI851831 EHE851818:EHE851831 ERA851818:ERA851831 FAW851818:FAW851831 FKS851818:FKS851831 FUO851818:FUO851831 GEK851818:GEK851831 GOG851818:GOG851831 GYC851818:GYC851831 HHY851818:HHY851831 HRU851818:HRU851831 IBQ851818:IBQ851831 ILM851818:ILM851831 IVI851818:IVI851831 JFE851818:JFE851831 JPA851818:JPA851831 JYW851818:JYW851831 KIS851818:KIS851831 KSO851818:KSO851831 LCK851818:LCK851831 LMG851818:LMG851831 LWC851818:LWC851831 MFY851818:MFY851831 MPU851818:MPU851831 MZQ851818:MZQ851831 NJM851818:NJM851831 NTI851818:NTI851831 ODE851818:ODE851831 ONA851818:ONA851831 OWW851818:OWW851831 PGS851818:PGS851831 PQO851818:PQO851831 QAK851818:QAK851831 QKG851818:QKG851831 QUC851818:QUC851831 RDY851818:RDY851831 RNU851818:RNU851831 RXQ851818:RXQ851831 SHM851818:SHM851831 SRI851818:SRI851831 TBE851818:TBE851831 TLA851818:TLA851831 TUW851818:TUW851831 UES851818:UES851831 UOO851818:UOO851831 UYK851818:UYK851831 VIG851818:VIG851831 VSC851818:VSC851831 WBY851818:WBY851831 WLU851818:WLU851831 WVQ851818:WVQ851831 I917354:I917367 JE917354:JE917367 TA917354:TA917367 ACW917354:ACW917367 AMS917354:AMS917367 AWO917354:AWO917367 BGK917354:BGK917367 BQG917354:BQG917367 CAC917354:CAC917367 CJY917354:CJY917367 CTU917354:CTU917367 DDQ917354:DDQ917367 DNM917354:DNM917367 DXI917354:DXI917367 EHE917354:EHE917367 ERA917354:ERA917367 FAW917354:FAW917367 FKS917354:FKS917367 FUO917354:FUO917367 GEK917354:GEK917367 GOG917354:GOG917367 GYC917354:GYC917367 HHY917354:HHY917367 HRU917354:HRU917367 IBQ917354:IBQ917367 ILM917354:ILM917367 IVI917354:IVI917367 JFE917354:JFE917367 JPA917354:JPA917367 JYW917354:JYW917367 KIS917354:KIS917367 KSO917354:KSO917367 LCK917354:LCK917367 LMG917354:LMG917367 LWC917354:LWC917367 MFY917354:MFY917367 MPU917354:MPU917367 MZQ917354:MZQ917367 NJM917354:NJM917367 NTI917354:NTI917367 ODE917354:ODE917367 ONA917354:ONA917367 OWW917354:OWW917367 PGS917354:PGS917367 PQO917354:PQO917367 QAK917354:QAK917367 QKG917354:QKG917367 QUC917354:QUC917367 RDY917354:RDY917367 RNU917354:RNU917367 RXQ917354:RXQ917367 SHM917354:SHM917367 SRI917354:SRI917367 TBE917354:TBE917367 TLA917354:TLA917367 TUW917354:TUW917367 UES917354:UES917367 UOO917354:UOO917367 UYK917354:UYK917367 VIG917354:VIG917367 VSC917354:VSC917367 WBY917354:WBY917367 WLU917354:WLU917367 WVQ917354:WVQ917367 I982890:I982903 JE982890:JE982903 TA982890:TA982903 ACW982890:ACW982903 AMS982890:AMS982903 AWO982890:AWO982903 BGK982890:BGK982903 BQG982890:BQG982903 CAC982890:CAC982903 CJY982890:CJY982903 CTU982890:CTU982903 DDQ982890:DDQ982903 DNM982890:DNM982903 DXI982890:DXI982903 EHE982890:EHE982903 ERA982890:ERA982903 FAW982890:FAW982903 FKS982890:FKS982903 FUO982890:FUO982903 GEK982890:GEK982903 GOG982890:GOG982903 GYC982890:GYC982903 HHY982890:HHY982903 HRU982890:HRU982903 IBQ982890:IBQ982903 ILM982890:ILM982903 IVI982890:IVI982903 JFE982890:JFE982903 JPA982890:JPA982903 JYW982890:JYW982903 KIS982890:KIS982903 KSO982890:KSO982903 LCK982890:LCK982903 LMG982890:LMG982903 LWC982890:LWC982903 MFY982890:MFY982903 MPU982890:MPU982903 MZQ982890:MZQ982903 NJM982890:NJM982903 NTI982890:NTI982903 ODE982890:ODE982903 ONA982890:ONA982903 OWW982890:OWW982903 PGS982890:PGS982903 PQO982890:PQO982903 QAK982890:QAK982903 QKG982890:QKG982903 QUC982890:QUC982903 RDY982890:RDY982903 RNU982890:RNU982903 RXQ982890:RXQ982903 SHM982890:SHM982903 SRI982890:SRI982903 TBE982890:TBE982903 TLA982890:TLA982903 TUW982890:TUW982903 UES982890:UES982903 UOO982890:UOO982903 UYK982890:UYK982903 VIG982890:VIG982903 VSC982890:VSC982903 WBY982890:WBY982903 WLU982890:WLU982903 WVQ982890:WVQ982903 I88:I101 JE88:JE101 TA88:TA101 ACW88:ACW101 AMS88:AMS101 AWO88:AWO101 BGK88:BGK101 BQG88:BQG101 CAC88:CAC101 CJY88:CJY101 CTU88:CTU101 DDQ88:DDQ101 DNM88:DNM101 DXI88:DXI101 EHE88:EHE101 ERA88:ERA101 FAW88:FAW101 FKS88:FKS101 FUO88:FUO101 GEK88:GEK101 GOG88:GOG101 GYC88:GYC101 HHY88:HHY101 HRU88:HRU101 IBQ88:IBQ101 ILM88:ILM101 IVI88:IVI101 JFE88:JFE101 JPA88:JPA101 JYW88:JYW101 KIS88:KIS101 KSO88:KSO101 LCK88:LCK101 LMG88:LMG101 LWC88:LWC101 MFY88:MFY101 MPU88:MPU101 MZQ88:MZQ101 NJM88:NJM101 NTI88:NTI101 ODE88:ODE101 ONA88:ONA101 OWW88:OWW101 PGS88:PGS101 PQO88:PQO101 QAK88:QAK101 QKG88:QKG101 QUC88:QUC101 RDY88:RDY101 RNU88:RNU101 RXQ88:RXQ101 SHM88:SHM101 SRI88:SRI101 TBE88:TBE101 TLA88:TLA101 TUW88:TUW101 UES88:UES101 UOO88:UOO101 UYK88:UYK101 VIG88:VIG101 VSC88:VSC101 WBY88:WBY101 WLU88:WLU101 WVQ88:WVQ101 I65589:I65616 JE65589:JE65616 TA65589:TA65616 ACW65589:ACW65616 AMS65589:AMS65616 AWO65589:AWO65616 BGK65589:BGK65616 BQG65589:BQG65616 CAC65589:CAC65616 CJY65589:CJY65616 CTU65589:CTU65616 DDQ65589:DDQ65616 DNM65589:DNM65616 DXI65589:DXI65616 EHE65589:EHE65616 ERA65589:ERA65616 FAW65589:FAW65616 FKS65589:FKS65616 FUO65589:FUO65616 GEK65589:GEK65616 GOG65589:GOG65616 GYC65589:GYC65616 HHY65589:HHY65616 HRU65589:HRU65616 IBQ65589:IBQ65616 ILM65589:ILM65616 IVI65589:IVI65616 JFE65589:JFE65616 JPA65589:JPA65616 JYW65589:JYW65616 KIS65589:KIS65616 KSO65589:KSO65616 LCK65589:LCK65616 LMG65589:LMG65616 LWC65589:LWC65616 MFY65589:MFY65616 MPU65589:MPU65616 MZQ65589:MZQ65616 NJM65589:NJM65616 NTI65589:NTI65616 ODE65589:ODE65616 ONA65589:ONA65616 OWW65589:OWW65616 PGS65589:PGS65616 PQO65589:PQO65616 QAK65589:QAK65616 QKG65589:QKG65616 QUC65589:QUC65616 RDY65589:RDY65616 RNU65589:RNU65616 RXQ65589:RXQ65616 SHM65589:SHM65616 SRI65589:SRI65616 TBE65589:TBE65616 TLA65589:TLA65616 TUW65589:TUW65616 UES65589:UES65616 UOO65589:UOO65616 UYK65589:UYK65616 VIG65589:VIG65616 VSC65589:VSC65616 WBY65589:WBY65616 WLU65589:WLU65616 WVQ65589:WVQ65616 I131125:I131152 JE131125:JE131152 TA131125:TA131152 ACW131125:ACW131152 AMS131125:AMS131152 AWO131125:AWO131152 BGK131125:BGK131152 BQG131125:BQG131152 CAC131125:CAC131152 CJY131125:CJY131152 CTU131125:CTU131152 DDQ131125:DDQ131152 DNM131125:DNM131152 DXI131125:DXI131152 EHE131125:EHE131152 ERA131125:ERA131152 FAW131125:FAW131152 FKS131125:FKS131152 FUO131125:FUO131152 GEK131125:GEK131152 GOG131125:GOG131152 GYC131125:GYC131152 HHY131125:HHY131152 HRU131125:HRU131152 IBQ131125:IBQ131152 ILM131125:ILM131152 IVI131125:IVI131152 JFE131125:JFE131152 JPA131125:JPA131152 JYW131125:JYW131152 KIS131125:KIS131152 KSO131125:KSO131152 LCK131125:LCK131152 LMG131125:LMG131152 LWC131125:LWC131152 MFY131125:MFY131152 MPU131125:MPU131152 MZQ131125:MZQ131152 NJM131125:NJM131152 NTI131125:NTI131152 ODE131125:ODE131152 ONA131125:ONA131152 OWW131125:OWW131152 PGS131125:PGS131152 PQO131125:PQO131152 QAK131125:QAK131152 QKG131125:QKG131152 QUC131125:QUC131152 RDY131125:RDY131152 RNU131125:RNU131152 RXQ131125:RXQ131152 SHM131125:SHM131152 SRI131125:SRI131152 TBE131125:TBE131152 TLA131125:TLA131152 TUW131125:TUW131152 UES131125:UES131152 UOO131125:UOO131152 UYK131125:UYK131152 VIG131125:VIG131152 VSC131125:VSC131152 WBY131125:WBY131152 WLU131125:WLU131152 WVQ131125:WVQ131152 I196661:I196688 JE196661:JE196688 TA196661:TA196688 ACW196661:ACW196688 AMS196661:AMS196688 AWO196661:AWO196688 BGK196661:BGK196688 BQG196661:BQG196688 CAC196661:CAC196688 CJY196661:CJY196688 CTU196661:CTU196688 DDQ196661:DDQ196688 DNM196661:DNM196688 DXI196661:DXI196688 EHE196661:EHE196688 ERA196661:ERA196688 FAW196661:FAW196688 FKS196661:FKS196688 FUO196661:FUO196688 GEK196661:GEK196688 GOG196661:GOG196688 GYC196661:GYC196688 HHY196661:HHY196688 HRU196661:HRU196688 IBQ196661:IBQ196688 ILM196661:ILM196688 IVI196661:IVI196688 JFE196661:JFE196688 JPA196661:JPA196688 JYW196661:JYW196688 KIS196661:KIS196688 KSO196661:KSO196688 LCK196661:LCK196688 LMG196661:LMG196688 LWC196661:LWC196688 MFY196661:MFY196688 MPU196661:MPU196688 MZQ196661:MZQ196688 NJM196661:NJM196688 NTI196661:NTI196688 ODE196661:ODE196688 ONA196661:ONA196688 OWW196661:OWW196688 PGS196661:PGS196688 PQO196661:PQO196688 QAK196661:QAK196688 QKG196661:QKG196688 QUC196661:QUC196688 RDY196661:RDY196688 RNU196661:RNU196688 RXQ196661:RXQ196688 SHM196661:SHM196688 SRI196661:SRI196688 TBE196661:TBE196688 TLA196661:TLA196688 TUW196661:TUW196688 UES196661:UES196688 UOO196661:UOO196688 UYK196661:UYK196688 VIG196661:VIG196688 VSC196661:VSC196688 WBY196661:WBY196688 WLU196661:WLU196688 WVQ196661:WVQ196688 I262197:I262224 JE262197:JE262224 TA262197:TA262224 ACW262197:ACW262224 AMS262197:AMS262224 AWO262197:AWO262224 BGK262197:BGK262224 BQG262197:BQG262224 CAC262197:CAC262224 CJY262197:CJY262224 CTU262197:CTU262224 DDQ262197:DDQ262224 DNM262197:DNM262224 DXI262197:DXI262224 EHE262197:EHE262224 ERA262197:ERA262224 FAW262197:FAW262224 FKS262197:FKS262224 FUO262197:FUO262224 GEK262197:GEK262224 GOG262197:GOG262224 GYC262197:GYC262224 HHY262197:HHY262224 HRU262197:HRU262224 IBQ262197:IBQ262224 ILM262197:ILM262224 IVI262197:IVI262224 JFE262197:JFE262224 JPA262197:JPA262224 JYW262197:JYW262224 KIS262197:KIS262224 KSO262197:KSO262224 LCK262197:LCK262224 LMG262197:LMG262224 LWC262197:LWC262224 MFY262197:MFY262224 MPU262197:MPU262224 MZQ262197:MZQ262224 NJM262197:NJM262224 NTI262197:NTI262224 ODE262197:ODE262224 ONA262197:ONA262224 OWW262197:OWW262224 PGS262197:PGS262224 PQO262197:PQO262224 QAK262197:QAK262224 QKG262197:QKG262224 QUC262197:QUC262224 RDY262197:RDY262224 RNU262197:RNU262224 RXQ262197:RXQ262224 SHM262197:SHM262224 SRI262197:SRI262224 TBE262197:TBE262224 TLA262197:TLA262224 TUW262197:TUW262224 UES262197:UES262224 UOO262197:UOO262224 UYK262197:UYK262224 VIG262197:VIG262224 VSC262197:VSC262224 WBY262197:WBY262224 WLU262197:WLU262224 WVQ262197:WVQ262224 I327733:I327760 JE327733:JE327760 TA327733:TA327760 ACW327733:ACW327760 AMS327733:AMS327760 AWO327733:AWO327760 BGK327733:BGK327760 BQG327733:BQG327760 CAC327733:CAC327760 CJY327733:CJY327760 CTU327733:CTU327760 DDQ327733:DDQ327760 DNM327733:DNM327760 DXI327733:DXI327760 EHE327733:EHE327760 ERA327733:ERA327760 FAW327733:FAW327760 FKS327733:FKS327760 FUO327733:FUO327760 GEK327733:GEK327760 GOG327733:GOG327760 GYC327733:GYC327760 HHY327733:HHY327760 HRU327733:HRU327760 IBQ327733:IBQ327760 ILM327733:ILM327760 IVI327733:IVI327760 JFE327733:JFE327760 JPA327733:JPA327760 JYW327733:JYW327760 KIS327733:KIS327760 KSO327733:KSO327760 LCK327733:LCK327760 LMG327733:LMG327760 LWC327733:LWC327760 MFY327733:MFY327760 MPU327733:MPU327760 MZQ327733:MZQ327760 NJM327733:NJM327760 NTI327733:NTI327760 ODE327733:ODE327760 ONA327733:ONA327760 OWW327733:OWW327760 PGS327733:PGS327760 PQO327733:PQO327760 QAK327733:QAK327760 QKG327733:QKG327760 QUC327733:QUC327760 RDY327733:RDY327760 RNU327733:RNU327760 RXQ327733:RXQ327760 SHM327733:SHM327760 SRI327733:SRI327760 TBE327733:TBE327760 TLA327733:TLA327760 TUW327733:TUW327760 UES327733:UES327760 UOO327733:UOO327760 UYK327733:UYK327760 VIG327733:VIG327760 VSC327733:VSC327760 WBY327733:WBY327760 WLU327733:WLU327760 WVQ327733:WVQ327760 I393269:I393296 JE393269:JE393296 TA393269:TA393296 ACW393269:ACW393296 AMS393269:AMS393296 AWO393269:AWO393296 BGK393269:BGK393296 BQG393269:BQG393296 CAC393269:CAC393296 CJY393269:CJY393296 CTU393269:CTU393296 DDQ393269:DDQ393296 DNM393269:DNM393296 DXI393269:DXI393296 EHE393269:EHE393296 ERA393269:ERA393296 FAW393269:FAW393296 FKS393269:FKS393296 FUO393269:FUO393296 GEK393269:GEK393296 GOG393269:GOG393296 GYC393269:GYC393296 HHY393269:HHY393296 HRU393269:HRU393296 IBQ393269:IBQ393296 ILM393269:ILM393296 IVI393269:IVI393296 JFE393269:JFE393296 JPA393269:JPA393296 JYW393269:JYW393296 KIS393269:KIS393296 KSO393269:KSO393296 LCK393269:LCK393296 LMG393269:LMG393296 LWC393269:LWC393296 MFY393269:MFY393296 MPU393269:MPU393296 MZQ393269:MZQ393296 NJM393269:NJM393296 NTI393269:NTI393296 ODE393269:ODE393296 ONA393269:ONA393296 OWW393269:OWW393296 PGS393269:PGS393296 PQO393269:PQO393296 QAK393269:QAK393296 QKG393269:QKG393296 QUC393269:QUC393296 RDY393269:RDY393296 RNU393269:RNU393296 RXQ393269:RXQ393296 SHM393269:SHM393296 SRI393269:SRI393296 TBE393269:TBE393296 TLA393269:TLA393296 TUW393269:TUW393296 UES393269:UES393296 UOO393269:UOO393296 UYK393269:UYK393296 VIG393269:VIG393296 VSC393269:VSC393296 WBY393269:WBY393296 WLU393269:WLU393296 WVQ393269:WVQ393296 I458805:I458832 JE458805:JE458832 TA458805:TA458832 ACW458805:ACW458832 AMS458805:AMS458832 AWO458805:AWO458832 BGK458805:BGK458832 BQG458805:BQG458832 CAC458805:CAC458832 CJY458805:CJY458832 CTU458805:CTU458832 DDQ458805:DDQ458832 DNM458805:DNM458832 DXI458805:DXI458832 EHE458805:EHE458832 ERA458805:ERA458832 FAW458805:FAW458832 FKS458805:FKS458832 FUO458805:FUO458832 GEK458805:GEK458832 GOG458805:GOG458832 GYC458805:GYC458832 HHY458805:HHY458832 HRU458805:HRU458832 IBQ458805:IBQ458832 ILM458805:ILM458832 IVI458805:IVI458832 JFE458805:JFE458832 JPA458805:JPA458832 JYW458805:JYW458832 KIS458805:KIS458832 KSO458805:KSO458832 LCK458805:LCK458832 LMG458805:LMG458832 LWC458805:LWC458832 MFY458805:MFY458832 MPU458805:MPU458832 MZQ458805:MZQ458832 NJM458805:NJM458832 NTI458805:NTI458832 ODE458805:ODE458832 ONA458805:ONA458832 OWW458805:OWW458832 PGS458805:PGS458832 PQO458805:PQO458832 QAK458805:QAK458832 QKG458805:QKG458832 QUC458805:QUC458832 RDY458805:RDY458832 RNU458805:RNU458832 RXQ458805:RXQ458832 SHM458805:SHM458832 SRI458805:SRI458832 TBE458805:TBE458832 TLA458805:TLA458832 TUW458805:TUW458832 UES458805:UES458832 UOO458805:UOO458832 UYK458805:UYK458832 VIG458805:VIG458832 VSC458805:VSC458832 WBY458805:WBY458832 WLU458805:WLU458832 WVQ458805:WVQ458832 I524341:I524368 JE524341:JE524368 TA524341:TA524368 ACW524341:ACW524368 AMS524341:AMS524368 AWO524341:AWO524368 BGK524341:BGK524368 BQG524341:BQG524368 CAC524341:CAC524368 CJY524341:CJY524368 CTU524341:CTU524368 DDQ524341:DDQ524368 DNM524341:DNM524368 DXI524341:DXI524368 EHE524341:EHE524368 ERA524341:ERA524368 FAW524341:FAW524368 FKS524341:FKS524368 FUO524341:FUO524368 GEK524341:GEK524368 GOG524341:GOG524368 GYC524341:GYC524368 HHY524341:HHY524368 HRU524341:HRU524368 IBQ524341:IBQ524368 ILM524341:ILM524368 IVI524341:IVI524368 JFE524341:JFE524368 JPA524341:JPA524368 JYW524341:JYW524368 KIS524341:KIS524368 KSO524341:KSO524368 LCK524341:LCK524368 LMG524341:LMG524368 LWC524341:LWC524368 MFY524341:MFY524368 MPU524341:MPU524368 MZQ524341:MZQ524368 NJM524341:NJM524368 NTI524341:NTI524368 ODE524341:ODE524368 ONA524341:ONA524368 OWW524341:OWW524368 PGS524341:PGS524368 PQO524341:PQO524368 QAK524341:QAK524368 QKG524341:QKG524368 QUC524341:QUC524368 RDY524341:RDY524368 RNU524341:RNU524368 RXQ524341:RXQ524368 SHM524341:SHM524368 SRI524341:SRI524368 TBE524341:TBE524368 TLA524341:TLA524368 TUW524341:TUW524368 UES524341:UES524368 UOO524341:UOO524368 UYK524341:UYK524368 VIG524341:VIG524368 VSC524341:VSC524368 WBY524341:WBY524368 WLU524341:WLU524368 WVQ524341:WVQ524368 I589877:I589904 JE589877:JE589904 TA589877:TA589904 ACW589877:ACW589904 AMS589877:AMS589904 AWO589877:AWO589904 BGK589877:BGK589904 BQG589877:BQG589904 CAC589877:CAC589904 CJY589877:CJY589904 CTU589877:CTU589904 DDQ589877:DDQ589904 DNM589877:DNM589904 DXI589877:DXI589904 EHE589877:EHE589904 ERA589877:ERA589904 FAW589877:FAW589904 FKS589877:FKS589904 FUO589877:FUO589904 GEK589877:GEK589904 GOG589877:GOG589904 GYC589877:GYC589904 HHY589877:HHY589904 HRU589877:HRU589904 IBQ589877:IBQ589904 ILM589877:ILM589904 IVI589877:IVI589904 JFE589877:JFE589904 JPA589877:JPA589904 JYW589877:JYW589904 KIS589877:KIS589904 KSO589877:KSO589904 LCK589877:LCK589904 LMG589877:LMG589904 LWC589877:LWC589904 MFY589877:MFY589904 MPU589877:MPU589904 MZQ589877:MZQ589904 NJM589877:NJM589904 NTI589877:NTI589904 ODE589877:ODE589904 ONA589877:ONA589904 OWW589877:OWW589904 PGS589877:PGS589904 PQO589877:PQO589904 QAK589877:QAK589904 QKG589877:QKG589904 QUC589877:QUC589904 RDY589877:RDY589904 RNU589877:RNU589904 RXQ589877:RXQ589904 SHM589877:SHM589904 SRI589877:SRI589904 TBE589877:TBE589904 TLA589877:TLA589904 TUW589877:TUW589904 UES589877:UES589904 UOO589877:UOO589904 UYK589877:UYK589904 VIG589877:VIG589904 VSC589877:VSC589904 WBY589877:WBY589904 WLU589877:WLU589904 WVQ589877:WVQ589904 I655413:I655440 JE655413:JE655440 TA655413:TA655440 ACW655413:ACW655440 AMS655413:AMS655440 AWO655413:AWO655440 BGK655413:BGK655440 BQG655413:BQG655440 CAC655413:CAC655440 CJY655413:CJY655440 CTU655413:CTU655440 DDQ655413:DDQ655440 DNM655413:DNM655440 DXI655413:DXI655440 EHE655413:EHE655440 ERA655413:ERA655440 FAW655413:FAW655440 FKS655413:FKS655440 FUO655413:FUO655440 GEK655413:GEK655440 GOG655413:GOG655440 GYC655413:GYC655440 HHY655413:HHY655440 HRU655413:HRU655440 IBQ655413:IBQ655440 ILM655413:ILM655440 IVI655413:IVI655440 JFE655413:JFE655440 JPA655413:JPA655440 JYW655413:JYW655440 KIS655413:KIS655440 KSO655413:KSO655440 LCK655413:LCK655440 LMG655413:LMG655440 LWC655413:LWC655440 MFY655413:MFY655440 MPU655413:MPU655440 MZQ655413:MZQ655440 NJM655413:NJM655440 NTI655413:NTI655440 ODE655413:ODE655440 ONA655413:ONA655440 OWW655413:OWW655440 PGS655413:PGS655440 PQO655413:PQO655440 QAK655413:QAK655440 QKG655413:QKG655440 QUC655413:QUC655440 RDY655413:RDY655440 RNU655413:RNU655440 RXQ655413:RXQ655440 SHM655413:SHM655440 SRI655413:SRI655440 TBE655413:TBE655440 TLA655413:TLA655440 TUW655413:TUW655440 UES655413:UES655440 UOO655413:UOO655440 UYK655413:UYK655440 VIG655413:VIG655440 VSC655413:VSC655440 WBY655413:WBY655440 WLU655413:WLU655440 WVQ655413:WVQ655440 I720949:I720976 JE720949:JE720976 TA720949:TA720976 ACW720949:ACW720976 AMS720949:AMS720976 AWO720949:AWO720976 BGK720949:BGK720976 BQG720949:BQG720976 CAC720949:CAC720976 CJY720949:CJY720976 CTU720949:CTU720976 DDQ720949:DDQ720976 DNM720949:DNM720976 DXI720949:DXI720976 EHE720949:EHE720976 ERA720949:ERA720976 FAW720949:FAW720976 FKS720949:FKS720976 FUO720949:FUO720976 GEK720949:GEK720976 GOG720949:GOG720976 GYC720949:GYC720976 HHY720949:HHY720976 HRU720949:HRU720976 IBQ720949:IBQ720976 ILM720949:ILM720976 IVI720949:IVI720976 JFE720949:JFE720976 JPA720949:JPA720976 JYW720949:JYW720976 KIS720949:KIS720976 KSO720949:KSO720976 LCK720949:LCK720976 LMG720949:LMG720976 LWC720949:LWC720976 MFY720949:MFY720976 MPU720949:MPU720976 MZQ720949:MZQ720976 NJM720949:NJM720976 NTI720949:NTI720976 ODE720949:ODE720976 ONA720949:ONA720976 OWW720949:OWW720976 PGS720949:PGS720976 PQO720949:PQO720976 QAK720949:QAK720976 QKG720949:QKG720976 QUC720949:QUC720976 RDY720949:RDY720976 RNU720949:RNU720976 RXQ720949:RXQ720976 SHM720949:SHM720976 SRI720949:SRI720976 TBE720949:TBE720976 TLA720949:TLA720976 TUW720949:TUW720976 UES720949:UES720976 UOO720949:UOO720976 UYK720949:UYK720976 VIG720949:VIG720976 VSC720949:VSC720976 WBY720949:WBY720976 WLU720949:WLU720976 WVQ720949:WVQ720976 I786485:I786512 JE786485:JE786512 TA786485:TA786512 ACW786485:ACW786512 AMS786485:AMS786512 AWO786485:AWO786512 BGK786485:BGK786512 BQG786485:BQG786512 CAC786485:CAC786512 CJY786485:CJY786512 CTU786485:CTU786512 DDQ786485:DDQ786512 DNM786485:DNM786512 DXI786485:DXI786512 EHE786485:EHE786512 ERA786485:ERA786512 FAW786485:FAW786512 FKS786485:FKS786512 FUO786485:FUO786512 GEK786485:GEK786512 GOG786485:GOG786512 GYC786485:GYC786512 HHY786485:HHY786512 HRU786485:HRU786512 IBQ786485:IBQ786512 ILM786485:ILM786512 IVI786485:IVI786512 JFE786485:JFE786512 JPA786485:JPA786512 JYW786485:JYW786512 KIS786485:KIS786512 KSO786485:KSO786512 LCK786485:LCK786512 LMG786485:LMG786512 LWC786485:LWC786512 MFY786485:MFY786512 MPU786485:MPU786512 MZQ786485:MZQ786512 NJM786485:NJM786512 NTI786485:NTI786512 ODE786485:ODE786512 ONA786485:ONA786512 OWW786485:OWW786512 PGS786485:PGS786512 PQO786485:PQO786512 QAK786485:QAK786512 QKG786485:QKG786512 QUC786485:QUC786512 RDY786485:RDY786512 RNU786485:RNU786512 RXQ786485:RXQ786512 SHM786485:SHM786512 SRI786485:SRI786512 TBE786485:TBE786512 TLA786485:TLA786512 TUW786485:TUW786512 UES786485:UES786512 UOO786485:UOO786512 UYK786485:UYK786512 VIG786485:VIG786512 VSC786485:VSC786512 WBY786485:WBY786512 WLU786485:WLU786512 WVQ786485:WVQ786512 I852021:I852048 JE852021:JE852048 TA852021:TA852048 ACW852021:ACW852048 AMS852021:AMS852048 AWO852021:AWO852048 BGK852021:BGK852048 BQG852021:BQG852048 CAC852021:CAC852048 CJY852021:CJY852048 CTU852021:CTU852048 DDQ852021:DDQ852048 DNM852021:DNM852048 DXI852021:DXI852048 EHE852021:EHE852048 ERA852021:ERA852048 FAW852021:FAW852048 FKS852021:FKS852048 FUO852021:FUO852048 GEK852021:GEK852048 GOG852021:GOG852048 GYC852021:GYC852048 HHY852021:HHY852048 HRU852021:HRU852048 IBQ852021:IBQ852048 ILM852021:ILM852048 IVI852021:IVI852048 JFE852021:JFE852048 JPA852021:JPA852048 JYW852021:JYW852048 KIS852021:KIS852048 KSO852021:KSO852048 LCK852021:LCK852048 LMG852021:LMG852048 LWC852021:LWC852048 MFY852021:MFY852048 MPU852021:MPU852048 MZQ852021:MZQ852048 NJM852021:NJM852048 NTI852021:NTI852048 ODE852021:ODE852048 ONA852021:ONA852048 OWW852021:OWW852048 PGS852021:PGS852048 PQO852021:PQO852048 QAK852021:QAK852048 QKG852021:QKG852048 QUC852021:QUC852048 RDY852021:RDY852048 RNU852021:RNU852048 RXQ852021:RXQ852048 SHM852021:SHM852048 SRI852021:SRI852048 TBE852021:TBE852048 TLA852021:TLA852048 TUW852021:TUW852048 UES852021:UES852048 UOO852021:UOO852048 UYK852021:UYK852048 VIG852021:VIG852048 VSC852021:VSC852048 WBY852021:WBY852048 WLU852021:WLU852048 WVQ852021:WVQ852048 I917557:I917584 JE917557:JE917584 TA917557:TA917584 ACW917557:ACW917584 AMS917557:AMS917584 AWO917557:AWO917584 BGK917557:BGK917584 BQG917557:BQG917584 CAC917557:CAC917584 CJY917557:CJY917584 CTU917557:CTU917584 DDQ917557:DDQ917584 DNM917557:DNM917584 DXI917557:DXI917584 EHE917557:EHE917584 ERA917557:ERA917584 FAW917557:FAW917584 FKS917557:FKS917584 FUO917557:FUO917584 GEK917557:GEK917584 GOG917557:GOG917584 GYC917557:GYC917584 HHY917557:HHY917584 HRU917557:HRU917584 IBQ917557:IBQ917584 ILM917557:ILM917584 IVI917557:IVI917584 JFE917557:JFE917584 JPA917557:JPA917584 JYW917557:JYW917584 KIS917557:KIS917584 KSO917557:KSO917584 LCK917557:LCK917584 LMG917557:LMG917584 LWC917557:LWC917584 MFY917557:MFY917584 MPU917557:MPU917584 MZQ917557:MZQ917584 NJM917557:NJM917584 NTI917557:NTI917584 ODE917557:ODE917584 ONA917557:ONA917584 OWW917557:OWW917584 PGS917557:PGS917584 PQO917557:PQO917584 QAK917557:QAK917584 QKG917557:QKG917584 QUC917557:QUC917584 RDY917557:RDY917584 RNU917557:RNU917584 RXQ917557:RXQ917584 SHM917557:SHM917584 SRI917557:SRI917584 TBE917557:TBE917584 TLA917557:TLA917584 TUW917557:TUW917584 UES917557:UES917584 UOO917557:UOO917584 UYK917557:UYK917584 VIG917557:VIG917584 VSC917557:VSC917584 WBY917557:WBY917584 WLU917557:WLU917584 WVQ917557:WVQ917584 I983093:I983120 JE983093:JE983120 TA983093:TA983120 ACW983093:ACW983120 AMS983093:AMS983120 AWO983093:AWO983120 BGK983093:BGK983120 BQG983093:BQG983120 CAC983093:CAC983120 CJY983093:CJY983120 CTU983093:CTU983120 DDQ983093:DDQ983120 DNM983093:DNM983120 DXI983093:DXI983120 EHE983093:EHE983120 ERA983093:ERA983120 FAW983093:FAW983120 FKS983093:FKS983120 FUO983093:FUO983120 GEK983093:GEK983120 GOG983093:GOG983120 GYC983093:GYC983120 HHY983093:HHY983120 HRU983093:HRU983120 IBQ983093:IBQ983120 ILM983093:ILM983120 IVI983093:IVI983120 JFE983093:JFE983120 JPA983093:JPA983120 JYW983093:JYW983120 KIS983093:KIS983120 KSO983093:KSO983120 LCK983093:LCK983120 LMG983093:LMG983120 LWC983093:LWC983120 MFY983093:MFY983120 MPU983093:MPU983120 MZQ983093:MZQ983120 NJM983093:NJM983120 NTI983093:NTI983120 ODE983093:ODE983120 ONA983093:ONA983120 OWW983093:OWW983120 PGS983093:PGS983120 PQO983093:PQO983120 QAK983093:QAK983120 QKG983093:QKG983120 QUC983093:QUC983120 RDY983093:RDY983120 RNU983093:RNU983120 RXQ983093:RXQ983120 SHM983093:SHM983120 SRI983093:SRI983120 TBE983093:TBE983120 TLA983093:TLA983120 TUW983093:TUW983120 UES983093:UES983120 UOO983093:UOO983120 UYK983093:UYK983120 VIG983093:VIG983120 VSC983093:VSC983120 WBY983093:WBY983120 WLU983093:WLU983120 WVQ983093:WVQ983120 I65549:I65586 JE65549:JE65586 TA65549:TA65586 ACW65549:ACW65586 AMS65549:AMS65586 AWO65549:AWO65586 BGK65549:BGK65586 BQG65549:BQG65586 CAC65549:CAC65586 CJY65549:CJY65586 CTU65549:CTU65586 DDQ65549:DDQ65586 DNM65549:DNM65586 DXI65549:DXI65586 EHE65549:EHE65586 ERA65549:ERA65586 FAW65549:FAW65586 FKS65549:FKS65586 FUO65549:FUO65586 GEK65549:GEK65586 GOG65549:GOG65586 GYC65549:GYC65586 HHY65549:HHY65586 HRU65549:HRU65586 IBQ65549:IBQ65586 ILM65549:ILM65586 IVI65549:IVI65586 JFE65549:JFE65586 JPA65549:JPA65586 JYW65549:JYW65586 KIS65549:KIS65586 KSO65549:KSO65586 LCK65549:LCK65586 LMG65549:LMG65586 LWC65549:LWC65586 MFY65549:MFY65586 MPU65549:MPU65586 MZQ65549:MZQ65586 NJM65549:NJM65586 NTI65549:NTI65586 ODE65549:ODE65586 ONA65549:ONA65586 OWW65549:OWW65586 PGS65549:PGS65586 PQO65549:PQO65586 QAK65549:QAK65586 QKG65549:QKG65586 QUC65549:QUC65586 RDY65549:RDY65586 RNU65549:RNU65586 RXQ65549:RXQ65586 SHM65549:SHM65586 SRI65549:SRI65586 TBE65549:TBE65586 TLA65549:TLA65586 TUW65549:TUW65586 UES65549:UES65586 UOO65549:UOO65586 UYK65549:UYK65586 VIG65549:VIG65586 VSC65549:VSC65586 WBY65549:WBY65586 WLU65549:WLU65586 WVQ65549:WVQ65586 I131085:I131122 JE131085:JE131122 TA131085:TA131122 ACW131085:ACW131122 AMS131085:AMS131122 AWO131085:AWO131122 BGK131085:BGK131122 BQG131085:BQG131122 CAC131085:CAC131122 CJY131085:CJY131122 CTU131085:CTU131122 DDQ131085:DDQ131122 DNM131085:DNM131122 DXI131085:DXI131122 EHE131085:EHE131122 ERA131085:ERA131122 FAW131085:FAW131122 FKS131085:FKS131122 FUO131085:FUO131122 GEK131085:GEK131122 GOG131085:GOG131122 GYC131085:GYC131122 HHY131085:HHY131122 HRU131085:HRU131122 IBQ131085:IBQ131122 ILM131085:ILM131122 IVI131085:IVI131122 JFE131085:JFE131122 JPA131085:JPA131122 JYW131085:JYW131122 KIS131085:KIS131122 KSO131085:KSO131122 LCK131085:LCK131122 LMG131085:LMG131122 LWC131085:LWC131122 MFY131085:MFY131122 MPU131085:MPU131122 MZQ131085:MZQ131122 NJM131085:NJM131122 NTI131085:NTI131122 ODE131085:ODE131122 ONA131085:ONA131122 OWW131085:OWW131122 PGS131085:PGS131122 PQO131085:PQO131122 QAK131085:QAK131122 QKG131085:QKG131122 QUC131085:QUC131122 RDY131085:RDY131122 RNU131085:RNU131122 RXQ131085:RXQ131122 SHM131085:SHM131122 SRI131085:SRI131122 TBE131085:TBE131122 TLA131085:TLA131122 TUW131085:TUW131122 UES131085:UES131122 UOO131085:UOO131122 UYK131085:UYK131122 VIG131085:VIG131122 VSC131085:VSC131122 WBY131085:WBY131122 WLU131085:WLU131122 WVQ131085:WVQ131122 I196621:I196658 JE196621:JE196658 TA196621:TA196658 ACW196621:ACW196658 AMS196621:AMS196658 AWO196621:AWO196658 BGK196621:BGK196658 BQG196621:BQG196658 CAC196621:CAC196658 CJY196621:CJY196658 CTU196621:CTU196658 DDQ196621:DDQ196658 DNM196621:DNM196658 DXI196621:DXI196658 EHE196621:EHE196658 ERA196621:ERA196658 FAW196621:FAW196658 FKS196621:FKS196658 FUO196621:FUO196658 GEK196621:GEK196658 GOG196621:GOG196658 GYC196621:GYC196658 HHY196621:HHY196658 HRU196621:HRU196658 IBQ196621:IBQ196658 ILM196621:ILM196658 IVI196621:IVI196658 JFE196621:JFE196658 JPA196621:JPA196658 JYW196621:JYW196658 KIS196621:KIS196658 KSO196621:KSO196658 LCK196621:LCK196658 LMG196621:LMG196658 LWC196621:LWC196658 MFY196621:MFY196658 MPU196621:MPU196658 MZQ196621:MZQ196658 NJM196621:NJM196658 NTI196621:NTI196658 ODE196621:ODE196658 ONA196621:ONA196658 OWW196621:OWW196658 PGS196621:PGS196658 PQO196621:PQO196658 QAK196621:QAK196658 QKG196621:QKG196658 QUC196621:QUC196658 RDY196621:RDY196658 RNU196621:RNU196658 RXQ196621:RXQ196658 SHM196621:SHM196658 SRI196621:SRI196658 TBE196621:TBE196658 TLA196621:TLA196658 TUW196621:TUW196658 UES196621:UES196658 UOO196621:UOO196658 UYK196621:UYK196658 VIG196621:VIG196658 VSC196621:VSC196658 WBY196621:WBY196658 WLU196621:WLU196658 WVQ196621:WVQ196658 I262157:I262194 JE262157:JE262194 TA262157:TA262194 ACW262157:ACW262194 AMS262157:AMS262194 AWO262157:AWO262194 BGK262157:BGK262194 BQG262157:BQG262194 CAC262157:CAC262194 CJY262157:CJY262194 CTU262157:CTU262194 DDQ262157:DDQ262194 DNM262157:DNM262194 DXI262157:DXI262194 EHE262157:EHE262194 ERA262157:ERA262194 FAW262157:FAW262194 FKS262157:FKS262194 FUO262157:FUO262194 GEK262157:GEK262194 GOG262157:GOG262194 GYC262157:GYC262194 HHY262157:HHY262194 HRU262157:HRU262194 IBQ262157:IBQ262194 ILM262157:ILM262194 IVI262157:IVI262194 JFE262157:JFE262194 JPA262157:JPA262194 JYW262157:JYW262194 KIS262157:KIS262194 KSO262157:KSO262194 LCK262157:LCK262194 LMG262157:LMG262194 LWC262157:LWC262194 MFY262157:MFY262194 MPU262157:MPU262194 MZQ262157:MZQ262194 NJM262157:NJM262194 NTI262157:NTI262194 ODE262157:ODE262194 ONA262157:ONA262194 OWW262157:OWW262194 PGS262157:PGS262194 PQO262157:PQO262194 QAK262157:QAK262194 QKG262157:QKG262194 QUC262157:QUC262194 RDY262157:RDY262194 RNU262157:RNU262194 RXQ262157:RXQ262194 SHM262157:SHM262194 SRI262157:SRI262194 TBE262157:TBE262194 TLA262157:TLA262194 TUW262157:TUW262194 UES262157:UES262194 UOO262157:UOO262194 UYK262157:UYK262194 VIG262157:VIG262194 VSC262157:VSC262194 WBY262157:WBY262194 WLU262157:WLU262194 WVQ262157:WVQ262194 I327693:I327730 JE327693:JE327730 TA327693:TA327730 ACW327693:ACW327730 AMS327693:AMS327730 AWO327693:AWO327730 BGK327693:BGK327730 BQG327693:BQG327730 CAC327693:CAC327730 CJY327693:CJY327730 CTU327693:CTU327730 DDQ327693:DDQ327730 DNM327693:DNM327730 DXI327693:DXI327730 EHE327693:EHE327730 ERA327693:ERA327730 FAW327693:FAW327730 FKS327693:FKS327730 FUO327693:FUO327730 GEK327693:GEK327730 GOG327693:GOG327730 GYC327693:GYC327730 HHY327693:HHY327730 HRU327693:HRU327730 IBQ327693:IBQ327730 ILM327693:ILM327730 IVI327693:IVI327730 JFE327693:JFE327730 JPA327693:JPA327730 JYW327693:JYW327730 KIS327693:KIS327730 KSO327693:KSO327730 LCK327693:LCK327730 LMG327693:LMG327730 LWC327693:LWC327730 MFY327693:MFY327730 MPU327693:MPU327730 MZQ327693:MZQ327730 NJM327693:NJM327730 NTI327693:NTI327730 ODE327693:ODE327730 ONA327693:ONA327730 OWW327693:OWW327730 PGS327693:PGS327730 PQO327693:PQO327730 QAK327693:QAK327730 QKG327693:QKG327730 QUC327693:QUC327730 RDY327693:RDY327730 RNU327693:RNU327730 RXQ327693:RXQ327730 SHM327693:SHM327730 SRI327693:SRI327730 TBE327693:TBE327730 TLA327693:TLA327730 TUW327693:TUW327730 UES327693:UES327730 UOO327693:UOO327730 UYK327693:UYK327730 VIG327693:VIG327730 VSC327693:VSC327730 WBY327693:WBY327730 WLU327693:WLU327730 WVQ327693:WVQ327730 I393229:I393266 JE393229:JE393266 TA393229:TA393266 ACW393229:ACW393266 AMS393229:AMS393266 AWO393229:AWO393266 BGK393229:BGK393266 BQG393229:BQG393266 CAC393229:CAC393266 CJY393229:CJY393266 CTU393229:CTU393266 DDQ393229:DDQ393266 DNM393229:DNM393266 DXI393229:DXI393266 EHE393229:EHE393266 ERA393229:ERA393266 FAW393229:FAW393266 FKS393229:FKS393266 FUO393229:FUO393266 GEK393229:GEK393266 GOG393229:GOG393266 GYC393229:GYC393266 HHY393229:HHY393266 HRU393229:HRU393266 IBQ393229:IBQ393266 ILM393229:ILM393266 IVI393229:IVI393266 JFE393229:JFE393266 JPA393229:JPA393266 JYW393229:JYW393266 KIS393229:KIS393266 KSO393229:KSO393266 LCK393229:LCK393266 LMG393229:LMG393266 LWC393229:LWC393266 MFY393229:MFY393266 MPU393229:MPU393266 MZQ393229:MZQ393266 NJM393229:NJM393266 NTI393229:NTI393266 ODE393229:ODE393266 ONA393229:ONA393266 OWW393229:OWW393266 PGS393229:PGS393266 PQO393229:PQO393266 QAK393229:QAK393266 QKG393229:QKG393266 QUC393229:QUC393266 RDY393229:RDY393266 RNU393229:RNU393266 RXQ393229:RXQ393266 SHM393229:SHM393266 SRI393229:SRI393266 TBE393229:TBE393266 TLA393229:TLA393266 TUW393229:TUW393266 UES393229:UES393266 UOO393229:UOO393266 UYK393229:UYK393266 VIG393229:VIG393266 VSC393229:VSC393266 WBY393229:WBY393266 WLU393229:WLU393266 WVQ393229:WVQ393266 I458765:I458802 JE458765:JE458802 TA458765:TA458802 ACW458765:ACW458802 AMS458765:AMS458802 AWO458765:AWO458802 BGK458765:BGK458802 BQG458765:BQG458802 CAC458765:CAC458802 CJY458765:CJY458802 CTU458765:CTU458802 DDQ458765:DDQ458802 DNM458765:DNM458802 DXI458765:DXI458802 EHE458765:EHE458802 ERA458765:ERA458802 FAW458765:FAW458802 FKS458765:FKS458802 FUO458765:FUO458802 GEK458765:GEK458802 GOG458765:GOG458802 GYC458765:GYC458802 HHY458765:HHY458802 HRU458765:HRU458802 IBQ458765:IBQ458802 ILM458765:ILM458802 IVI458765:IVI458802 JFE458765:JFE458802 JPA458765:JPA458802 JYW458765:JYW458802 KIS458765:KIS458802 KSO458765:KSO458802 LCK458765:LCK458802 LMG458765:LMG458802 LWC458765:LWC458802 MFY458765:MFY458802 MPU458765:MPU458802 MZQ458765:MZQ458802 NJM458765:NJM458802 NTI458765:NTI458802 ODE458765:ODE458802 ONA458765:ONA458802 OWW458765:OWW458802 PGS458765:PGS458802 PQO458765:PQO458802 QAK458765:QAK458802 QKG458765:QKG458802 QUC458765:QUC458802 RDY458765:RDY458802 RNU458765:RNU458802 RXQ458765:RXQ458802 SHM458765:SHM458802 SRI458765:SRI458802 TBE458765:TBE458802 TLA458765:TLA458802 TUW458765:TUW458802 UES458765:UES458802 UOO458765:UOO458802 UYK458765:UYK458802 VIG458765:VIG458802 VSC458765:VSC458802 WBY458765:WBY458802 WLU458765:WLU458802 WVQ458765:WVQ458802 I524301:I524338 JE524301:JE524338 TA524301:TA524338 ACW524301:ACW524338 AMS524301:AMS524338 AWO524301:AWO524338 BGK524301:BGK524338 BQG524301:BQG524338 CAC524301:CAC524338 CJY524301:CJY524338 CTU524301:CTU524338 DDQ524301:DDQ524338 DNM524301:DNM524338 DXI524301:DXI524338 EHE524301:EHE524338 ERA524301:ERA524338 FAW524301:FAW524338 FKS524301:FKS524338 FUO524301:FUO524338 GEK524301:GEK524338 GOG524301:GOG524338 GYC524301:GYC524338 HHY524301:HHY524338 HRU524301:HRU524338 IBQ524301:IBQ524338 ILM524301:ILM524338 IVI524301:IVI524338 JFE524301:JFE524338 JPA524301:JPA524338 JYW524301:JYW524338 KIS524301:KIS524338 KSO524301:KSO524338 LCK524301:LCK524338 LMG524301:LMG524338 LWC524301:LWC524338 MFY524301:MFY524338 MPU524301:MPU524338 MZQ524301:MZQ524338 NJM524301:NJM524338 NTI524301:NTI524338 ODE524301:ODE524338 ONA524301:ONA524338 OWW524301:OWW524338 PGS524301:PGS524338 PQO524301:PQO524338 QAK524301:QAK524338 QKG524301:QKG524338 QUC524301:QUC524338 RDY524301:RDY524338 RNU524301:RNU524338 RXQ524301:RXQ524338 SHM524301:SHM524338 SRI524301:SRI524338 TBE524301:TBE524338 TLA524301:TLA524338 TUW524301:TUW524338 UES524301:UES524338 UOO524301:UOO524338 UYK524301:UYK524338 VIG524301:VIG524338 VSC524301:VSC524338 WBY524301:WBY524338 WLU524301:WLU524338 WVQ524301:WVQ524338 I589837:I589874 JE589837:JE589874 TA589837:TA589874 ACW589837:ACW589874 AMS589837:AMS589874 AWO589837:AWO589874 BGK589837:BGK589874 BQG589837:BQG589874 CAC589837:CAC589874 CJY589837:CJY589874 CTU589837:CTU589874 DDQ589837:DDQ589874 DNM589837:DNM589874 DXI589837:DXI589874 EHE589837:EHE589874 ERA589837:ERA589874 FAW589837:FAW589874 FKS589837:FKS589874 FUO589837:FUO589874 GEK589837:GEK589874 GOG589837:GOG589874 GYC589837:GYC589874 HHY589837:HHY589874 HRU589837:HRU589874 IBQ589837:IBQ589874 ILM589837:ILM589874 IVI589837:IVI589874 JFE589837:JFE589874 JPA589837:JPA589874 JYW589837:JYW589874 KIS589837:KIS589874 KSO589837:KSO589874 LCK589837:LCK589874 LMG589837:LMG589874 LWC589837:LWC589874 MFY589837:MFY589874 MPU589837:MPU589874 MZQ589837:MZQ589874 NJM589837:NJM589874 NTI589837:NTI589874 ODE589837:ODE589874 ONA589837:ONA589874 OWW589837:OWW589874 PGS589837:PGS589874 PQO589837:PQO589874 QAK589837:QAK589874 QKG589837:QKG589874 QUC589837:QUC589874 RDY589837:RDY589874 RNU589837:RNU589874 RXQ589837:RXQ589874 SHM589837:SHM589874 SRI589837:SRI589874 TBE589837:TBE589874 TLA589837:TLA589874 TUW589837:TUW589874 UES589837:UES589874 UOO589837:UOO589874 UYK589837:UYK589874 VIG589837:VIG589874 VSC589837:VSC589874 WBY589837:WBY589874 WLU589837:WLU589874 WVQ589837:WVQ589874 I655373:I655410 JE655373:JE655410 TA655373:TA655410 ACW655373:ACW655410 AMS655373:AMS655410 AWO655373:AWO655410 BGK655373:BGK655410 BQG655373:BQG655410 CAC655373:CAC655410 CJY655373:CJY655410 CTU655373:CTU655410 DDQ655373:DDQ655410 DNM655373:DNM655410 DXI655373:DXI655410 EHE655373:EHE655410 ERA655373:ERA655410 FAW655373:FAW655410 FKS655373:FKS655410 FUO655373:FUO655410 GEK655373:GEK655410 GOG655373:GOG655410 GYC655373:GYC655410 HHY655373:HHY655410 HRU655373:HRU655410 IBQ655373:IBQ655410 ILM655373:ILM655410 IVI655373:IVI655410 JFE655373:JFE655410 JPA655373:JPA655410 JYW655373:JYW655410 KIS655373:KIS655410 KSO655373:KSO655410 LCK655373:LCK655410 LMG655373:LMG655410 LWC655373:LWC655410 MFY655373:MFY655410 MPU655373:MPU655410 MZQ655373:MZQ655410 NJM655373:NJM655410 NTI655373:NTI655410 ODE655373:ODE655410 ONA655373:ONA655410 OWW655373:OWW655410 PGS655373:PGS655410 PQO655373:PQO655410 QAK655373:QAK655410 QKG655373:QKG655410 QUC655373:QUC655410 RDY655373:RDY655410 RNU655373:RNU655410 RXQ655373:RXQ655410 SHM655373:SHM655410 SRI655373:SRI655410 TBE655373:TBE655410 TLA655373:TLA655410 TUW655373:TUW655410 UES655373:UES655410 UOO655373:UOO655410 UYK655373:UYK655410 VIG655373:VIG655410 VSC655373:VSC655410 WBY655373:WBY655410 WLU655373:WLU655410 WVQ655373:WVQ655410 I720909:I720946 JE720909:JE720946 TA720909:TA720946 ACW720909:ACW720946 AMS720909:AMS720946 AWO720909:AWO720946 BGK720909:BGK720946 BQG720909:BQG720946 CAC720909:CAC720946 CJY720909:CJY720946 CTU720909:CTU720946 DDQ720909:DDQ720946 DNM720909:DNM720946 DXI720909:DXI720946 EHE720909:EHE720946 ERA720909:ERA720946 FAW720909:FAW720946 FKS720909:FKS720946 FUO720909:FUO720946 GEK720909:GEK720946 GOG720909:GOG720946 GYC720909:GYC720946 HHY720909:HHY720946 HRU720909:HRU720946 IBQ720909:IBQ720946 ILM720909:ILM720946 IVI720909:IVI720946 JFE720909:JFE720946 JPA720909:JPA720946 JYW720909:JYW720946 KIS720909:KIS720946 KSO720909:KSO720946 LCK720909:LCK720946 LMG720909:LMG720946 LWC720909:LWC720946 MFY720909:MFY720946 MPU720909:MPU720946 MZQ720909:MZQ720946 NJM720909:NJM720946 NTI720909:NTI720946 ODE720909:ODE720946 ONA720909:ONA720946 OWW720909:OWW720946 PGS720909:PGS720946 PQO720909:PQO720946 QAK720909:QAK720946 QKG720909:QKG720946 QUC720909:QUC720946 RDY720909:RDY720946 RNU720909:RNU720946 RXQ720909:RXQ720946 SHM720909:SHM720946 SRI720909:SRI720946 TBE720909:TBE720946 TLA720909:TLA720946 TUW720909:TUW720946 UES720909:UES720946 UOO720909:UOO720946 UYK720909:UYK720946 VIG720909:VIG720946 VSC720909:VSC720946 WBY720909:WBY720946 WLU720909:WLU720946 WVQ720909:WVQ720946 I786445:I786482 JE786445:JE786482 TA786445:TA786482 ACW786445:ACW786482 AMS786445:AMS786482 AWO786445:AWO786482 BGK786445:BGK786482 BQG786445:BQG786482 CAC786445:CAC786482 CJY786445:CJY786482 CTU786445:CTU786482 DDQ786445:DDQ786482 DNM786445:DNM786482 DXI786445:DXI786482 EHE786445:EHE786482 ERA786445:ERA786482 FAW786445:FAW786482 FKS786445:FKS786482 FUO786445:FUO786482 GEK786445:GEK786482 GOG786445:GOG786482 GYC786445:GYC786482 HHY786445:HHY786482 HRU786445:HRU786482 IBQ786445:IBQ786482 ILM786445:ILM786482 IVI786445:IVI786482 JFE786445:JFE786482 JPA786445:JPA786482 JYW786445:JYW786482 KIS786445:KIS786482 KSO786445:KSO786482 LCK786445:LCK786482 LMG786445:LMG786482 LWC786445:LWC786482 MFY786445:MFY786482 MPU786445:MPU786482 MZQ786445:MZQ786482 NJM786445:NJM786482 NTI786445:NTI786482 ODE786445:ODE786482 ONA786445:ONA786482 OWW786445:OWW786482 PGS786445:PGS786482 PQO786445:PQO786482 QAK786445:QAK786482 QKG786445:QKG786482 QUC786445:QUC786482 RDY786445:RDY786482 RNU786445:RNU786482 RXQ786445:RXQ786482 SHM786445:SHM786482 SRI786445:SRI786482 TBE786445:TBE786482 TLA786445:TLA786482 TUW786445:TUW786482 UES786445:UES786482 UOO786445:UOO786482 UYK786445:UYK786482 VIG786445:VIG786482 VSC786445:VSC786482 WBY786445:WBY786482 WLU786445:WLU786482 WVQ786445:WVQ786482 I851981:I852018 JE851981:JE852018 TA851981:TA852018 ACW851981:ACW852018 AMS851981:AMS852018 AWO851981:AWO852018 BGK851981:BGK852018 BQG851981:BQG852018 CAC851981:CAC852018 CJY851981:CJY852018 CTU851981:CTU852018 DDQ851981:DDQ852018 DNM851981:DNM852018 DXI851981:DXI852018 EHE851981:EHE852018 ERA851981:ERA852018 FAW851981:FAW852018 FKS851981:FKS852018 FUO851981:FUO852018 GEK851981:GEK852018 GOG851981:GOG852018 GYC851981:GYC852018 HHY851981:HHY852018 HRU851981:HRU852018 IBQ851981:IBQ852018 ILM851981:ILM852018 IVI851981:IVI852018 JFE851981:JFE852018 JPA851981:JPA852018 JYW851981:JYW852018 KIS851981:KIS852018 KSO851981:KSO852018 LCK851981:LCK852018 LMG851981:LMG852018 LWC851981:LWC852018 MFY851981:MFY852018 MPU851981:MPU852018 MZQ851981:MZQ852018 NJM851981:NJM852018 NTI851981:NTI852018 ODE851981:ODE852018 ONA851981:ONA852018 OWW851981:OWW852018 PGS851981:PGS852018 PQO851981:PQO852018 QAK851981:QAK852018 QKG851981:QKG852018 QUC851981:QUC852018 RDY851981:RDY852018 RNU851981:RNU852018 RXQ851981:RXQ852018 SHM851981:SHM852018 SRI851981:SRI852018 TBE851981:TBE852018 TLA851981:TLA852018 TUW851981:TUW852018 UES851981:UES852018 UOO851981:UOO852018 UYK851981:UYK852018 VIG851981:VIG852018 VSC851981:VSC852018 WBY851981:WBY852018 WLU851981:WLU852018 WVQ851981:WVQ852018 I917517:I917554 JE917517:JE917554 TA917517:TA917554 ACW917517:ACW917554 AMS917517:AMS917554 AWO917517:AWO917554 BGK917517:BGK917554 BQG917517:BQG917554 CAC917517:CAC917554 CJY917517:CJY917554 CTU917517:CTU917554 DDQ917517:DDQ917554 DNM917517:DNM917554 DXI917517:DXI917554 EHE917517:EHE917554 ERA917517:ERA917554 FAW917517:FAW917554 FKS917517:FKS917554 FUO917517:FUO917554 GEK917517:GEK917554 GOG917517:GOG917554 GYC917517:GYC917554 HHY917517:HHY917554 HRU917517:HRU917554 IBQ917517:IBQ917554 ILM917517:ILM917554 IVI917517:IVI917554 JFE917517:JFE917554 JPA917517:JPA917554 JYW917517:JYW917554 KIS917517:KIS917554 KSO917517:KSO917554 LCK917517:LCK917554 LMG917517:LMG917554 LWC917517:LWC917554 MFY917517:MFY917554 MPU917517:MPU917554 MZQ917517:MZQ917554 NJM917517:NJM917554 NTI917517:NTI917554 ODE917517:ODE917554 ONA917517:ONA917554 OWW917517:OWW917554 PGS917517:PGS917554 PQO917517:PQO917554 QAK917517:QAK917554 QKG917517:QKG917554 QUC917517:QUC917554 RDY917517:RDY917554 RNU917517:RNU917554 RXQ917517:RXQ917554 SHM917517:SHM917554 SRI917517:SRI917554 TBE917517:TBE917554 TLA917517:TLA917554 TUW917517:TUW917554 UES917517:UES917554 UOO917517:UOO917554 UYK917517:UYK917554 VIG917517:VIG917554 VSC917517:VSC917554 WBY917517:WBY917554 WLU917517:WLU917554 WVQ917517:WVQ917554 I983053:I983090 JE983053:JE983090 TA983053:TA983090 ACW983053:ACW983090 AMS983053:AMS983090 AWO983053:AWO983090 BGK983053:BGK983090 BQG983053:BQG983090 CAC983053:CAC983090 CJY983053:CJY983090 CTU983053:CTU983090 DDQ983053:DDQ983090 DNM983053:DNM983090 DXI983053:DXI983090 EHE983053:EHE983090 ERA983053:ERA983090 FAW983053:FAW983090 FKS983053:FKS983090 FUO983053:FUO983090 GEK983053:GEK983090 GOG983053:GOG983090 GYC983053:GYC983090 HHY983053:HHY983090 HRU983053:HRU983090 IBQ983053:IBQ983090 ILM983053:ILM983090 IVI983053:IVI983090 JFE983053:JFE983090 JPA983053:JPA983090 JYW983053:JYW983090 KIS983053:KIS983090 KSO983053:KSO983090 LCK983053:LCK983090 LMG983053:LMG983090 LWC983053:LWC983090 MFY983053:MFY983090 MPU983053:MPU983090 MZQ983053:MZQ983090 NJM983053:NJM983090 NTI983053:NTI983090 ODE983053:ODE983090 ONA983053:ONA983090 OWW983053:OWW983090 PGS983053:PGS983090 PQO983053:PQO983090 QAK983053:QAK983090 QKG983053:QKG983090 QUC983053:QUC983090 RDY983053:RDY983090 RNU983053:RNU983090 RXQ983053:RXQ983090 SHM983053:SHM983090 SRI983053:SRI983090 TBE983053:TBE983090 TLA983053:TLA983090 TUW983053:TUW983090 UES983053:UES983090 UOO983053:UOO983090 UYK983053:UYK983090 VIG983053:VIG983090 VSC983053:VSC983090 WBY983053:WBY983090 WLU983053:WLU983090 WVQ983053:WVQ983090 I65497:I65546 JE65497:JE65546 TA65497:TA65546 ACW65497:ACW65546 AMS65497:AMS65546 AWO65497:AWO65546 BGK65497:BGK65546 BQG65497:BQG65546 CAC65497:CAC65546 CJY65497:CJY65546 CTU65497:CTU65546 DDQ65497:DDQ65546 DNM65497:DNM65546 DXI65497:DXI65546 EHE65497:EHE65546 ERA65497:ERA65546 FAW65497:FAW65546 FKS65497:FKS65546 FUO65497:FUO65546 GEK65497:GEK65546 GOG65497:GOG65546 GYC65497:GYC65546 HHY65497:HHY65546 HRU65497:HRU65546 IBQ65497:IBQ65546 ILM65497:ILM65546 IVI65497:IVI65546 JFE65497:JFE65546 JPA65497:JPA65546 JYW65497:JYW65546 KIS65497:KIS65546 KSO65497:KSO65546 LCK65497:LCK65546 LMG65497:LMG65546 LWC65497:LWC65546 MFY65497:MFY65546 MPU65497:MPU65546 MZQ65497:MZQ65546 NJM65497:NJM65546 NTI65497:NTI65546 ODE65497:ODE65546 ONA65497:ONA65546 OWW65497:OWW65546 PGS65497:PGS65546 PQO65497:PQO65546 QAK65497:QAK65546 QKG65497:QKG65546 QUC65497:QUC65546 RDY65497:RDY65546 RNU65497:RNU65546 RXQ65497:RXQ65546 SHM65497:SHM65546 SRI65497:SRI65546 TBE65497:TBE65546 TLA65497:TLA65546 TUW65497:TUW65546 UES65497:UES65546 UOO65497:UOO65546 UYK65497:UYK65546 VIG65497:VIG65546 VSC65497:VSC65546 WBY65497:WBY65546 WLU65497:WLU65546 WVQ65497:WVQ65546 I131033:I131082 JE131033:JE131082 TA131033:TA131082 ACW131033:ACW131082 AMS131033:AMS131082 AWO131033:AWO131082 BGK131033:BGK131082 BQG131033:BQG131082 CAC131033:CAC131082 CJY131033:CJY131082 CTU131033:CTU131082 DDQ131033:DDQ131082 DNM131033:DNM131082 DXI131033:DXI131082 EHE131033:EHE131082 ERA131033:ERA131082 FAW131033:FAW131082 FKS131033:FKS131082 FUO131033:FUO131082 GEK131033:GEK131082 GOG131033:GOG131082 GYC131033:GYC131082 HHY131033:HHY131082 HRU131033:HRU131082 IBQ131033:IBQ131082 ILM131033:ILM131082 IVI131033:IVI131082 JFE131033:JFE131082 JPA131033:JPA131082 JYW131033:JYW131082 KIS131033:KIS131082 KSO131033:KSO131082 LCK131033:LCK131082 LMG131033:LMG131082 LWC131033:LWC131082 MFY131033:MFY131082 MPU131033:MPU131082 MZQ131033:MZQ131082 NJM131033:NJM131082 NTI131033:NTI131082 ODE131033:ODE131082 ONA131033:ONA131082 OWW131033:OWW131082 PGS131033:PGS131082 PQO131033:PQO131082 QAK131033:QAK131082 QKG131033:QKG131082 QUC131033:QUC131082 RDY131033:RDY131082 RNU131033:RNU131082 RXQ131033:RXQ131082 SHM131033:SHM131082 SRI131033:SRI131082 TBE131033:TBE131082 TLA131033:TLA131082 TUW131033:TUW131082 UES131033:UES131082 UOO131033:UOO131082 UYK131033:UYK131082 VIG131033:VIG131082 VSC131033:VSC131082 WBY131033:WBY131082 WLU131033:WLU131082 WVQ131033:WVQ131082 I196569:I196618 JE196569:JE196618 TA196569:TA196618 ACW196569:ACW196618 AMS196569:AMS196618 AWO196569:AWO196618 BGK196569:BGK196618 BQG196569:BQG196618 CAC196569:CAC196618 CJY196569:CJY196618 CTU196569:CTU196618 DDQ196569:DDQ196618 DNM196569:DNM196618 DXI196569:DXI196618 EHE196569:EHE196618 ERA196569:ERA196618 FAW196569:FAW196618 FKS196569:FKS196618 FUO196569:FUO196618 GEK196569:GEK196618 GOG196569:GOG196618 GYC196569:GYC196618 HHY196569:HHY196618 HRU196569:HRU196618 IBQ196569:IBQ196618 ILM196569:ILM196618 IVI196569:IVI196618 JFE196569:JFE196618 JPA196569:JPA196618 JYW196569:JYW196618 KIS196569:KIS196618 KSO196569:KSO196618 LCK196569:LCK196618 LMG196569:LMG196618 LWC196569:LWC196618 MFY196569:MFY196618 MPU196569:MPU196618 MZQ196569:MZQ196618 NJM196569:NJM196618 NTI196569:NTI196618 ODE196569:ODE196618 ONA196569:ONA196618 OWW196569:OWW196618 PGS196569:PGS196618 PQO196569:PQO196618 QAK196569:QAK196618 QKG196569:QKG196618 QUC196569:QUC196618 RDY196569:RDY196618 RNU196569:RNU196618 RXQ196569:RXQ196618 SHM196569:SHM196618 SRI196569:SRI196618 TBE196569:TBE196618 TLA196569:TLA196618 TUW196569:TUW196618 UES196569:UES196618 UOO196569:UOO196618 UYK196569:UYK196618 VIG196569:VIG196618 VSC196569:VSC196618 WBY196569:WBY196618 WLU196569:WLU196618 WVQ196569:WVQ196618 I262105:I262154 JE262105:JE262154 TA262105:TA262154 ACW262105:ACW262154 AMS262105:AMS262154 AWO262105:AWO262154 BGK262105:BGK262154 BQG262105:BQG262154 CAC262105:CAC262154 CJY262105:CJY262154 CTU262105:CTU262154 DDQ262105:DDQ262154 DNM262105:DNM262154 DXI262105:DXI262154 EHE262105:EHE262154 ERA262105:ERA262154 FAW262105:FAW262154 FKS262105:FKS262154 FUO262105:FUO262154 GEK262105:GEK262154 GOG262105:GOG262154 GYC262105:GYC262154 HHY262105:HHY262154 HRU262105:HRU262154 IBQ262105:IBQ262154 ILM262105:ILM262154 IVI262105:IVI262154 JFE262105:JFE262154 JPA262105:JPA262154 JYW262105:JYW262154 KIS262105:KIS262154 KSO262105:KSO262154 LCK262105:LCK262154 LMG262105:LMG262154 LWC262105:LWC262154 MFY262105:MFY262154 MPU262105:MPU262154 MZQ262105:MZQ262154 NJM262105:NJM262154 NTI262105:NTI262154 ODE262105:ODE262154 ONA262105:ONA262154 OWW262105:OWW262154 PGS262105:PGS262154 PQO262105:PQO262154 QAK262105:QAK262154 QKG262105:QKG262154 QUC262105:QUC262154 RDY262105:RDY262154 RNU262105:RNU262154 RXQ262105:RXQ262154 SHM262105:SHM262154 SRI262105:SRI262154 TBE262105:TBE262154 TLA262105:TLA262154 TUW262105:TUW262154 UES262105:UES262154 UOO262105:UOO262154 UYK262105:UYK262154 VIG262105:VIG262154 VSC262105:VSC262154 WBY262105:WBY262154 WLU262105:WLU262154 WVQ262105:WVQ262154 I327641:I327690 JE327641:JE327690 TA327641:TA327690 ACW327641:ACW327690 AMS327641:AMS327690 AWO327641:AWO327690 BGK327641:BGK327690 BQG327641:BQG327690 CAC327641:CAC327690 CJY327641:CJY327690 CTU327641:CTU327690 DDQ327641:DDQ327690 DNM327641:DNM327690 DXI327641:DXI327690 EHE327641:EHE327690 ERA327641:ERA327690 FAW327641:FAW327690 FKS327641:FKS327690 FUO327641:FUO327690 GEK327641:GEK327690 GOG327641:GOG327690 GYC327641:GYC327690 HHY327641:HHY327690 HRU327641:HRU327690 IBQ327641:IBQ327690 ILM327641:ILM327690 IVI327641:IVI327690 JFE327641:JFE327690 JPA327641:JPA327690 JYW327641:JYW327690 KIS327641:KIS327690 KSO327641:KSO327690 LCK327641:LCK327690 LMG327641:LMG327690 LWC327641:LWC327690 MFY327641:MFY327690 MPU327641:MPU327690 MZQ327641:MZQ327690 NJM327641:NJM327690 NTI327641:NTI327690 ODE327641:ODE327690 ONA327641:ONA327690 OWW327641:OWW327690 PGS327641:PGS327690 PQO327641:PQO327690 QAK327641:QAK327690 QKG327641:QKG327690 QUC327641:QUC327690 RDY327641:RDY327690 RNU327641:RNU327690 RXQ327641:RXQ327690 SHM327641:SHM327690 SRI327641:SRI327690 TBE327641:TBE327690 TLA327641:TLA327690 TUW327641:TUW327690 UES327641:UES327690 UOO327641:UOO327690 UYK327641:UYK327690 VIG327641:VIG327690 VSC327641:VSC327690 WBY327641:WBY327690 WLU327641:WLU327690 WVQ327641:WVQ327690 I393177:I393226 JE393177:JE393226 TA393177:TA393226 ACW393177:ACW393226 AMS393177:AMS393226 AWO393177:AWO393226 BGK393177:BGK393226 BQG393177:BQG393226 CAC393177:CAC393226 CJY393177:CJY393226 CTU393177:CTU393226 DDQ393177:DDQ393226 DNM393177:DNM393226 DXI393177:DXI393226 EHE393177:EHE393226 ERA393177:ERA393226 FAW393177:FAW393226 FKS393177:FKS393226 FUO393177:FUO393226 GEK393177:GEK393226 GOG393177:GOG393226 GYC393177:GYC393226 HHY393177:HHY393226 HRU393177:HRU393226 IBQ393177:IBQ393226 ILM393177:ILM393226 IVI393177:IVI393226 JFE393177:JFE393226 JPA393177:JPA393226 JYW393177:JYW393226 KIS393177:KIS393226 KSO393177:KSO393226 LCK393177:LCK393226 LMG393177:LMG393226 LWC393177:LWC393226 MFY393177:MFY393226 MPU393177:MPU393226 MZQ393177:MZQ393226 NJM393177:NJM393226 NTI393177:NTI393226 ODE393177:ODE393226 ONA393177:ONA393226 OWW393177:OWW393226 PGS393177:PGS393226 PQO393177:PQO393226 QAK393177:QAK393226 QKG393177:QKG393226 QUC393177:QUC393226 RDY393177:RDY393226 RNU393177:RNU393226 RXQ393177:RXQ393226 SHM393177:SHM393226 SRI393177:SRI393226 TBE393177:TBE393226 TLA393177:TLA393226 TUW393177:TUW393226 UES393177:UES393226 UOO393177:UOO393226 UYK393177:UYK393226 VIG393177:VIG393226 VSC393177:VSC393226 WBY393177:WBY393226 WLU393177:WLU393226 WVQ393177:WVQ393226 I458713:I458762 JE458713:JE458762 TA458713:TA458762 ACW458713:ACW458762 AMS458713:AMS458762 AWO458713:AWO458762 BGK458713:BGK458762 BQG458713:BQG458762 CAC458713:CAC458762 CJY458713:CJY458762 CTU458713:CTU458762 DDQ458713:DDQ458762 DNM458713:DNM458762 DXI458713:DXI458762 EHE458713:EHE458762 ERA458713:ERA458762 FAW458713:FAW458762 FKS458713:FKS458762 FUO458713:FUO458762 GEK458713:GEK458762 GOG458713:GOG458762 GYC458713:GYC458762 HHY458713:HHY458762 HRU458713:HRU458762 IBQ458713:IBQ458762 ILM458713:ILM458762 IVI458713:IVI458762 JFE458713:JFE458762 JPA458713:JPA458762 JYW458713:JYW458762 KIS458713:KIS458762 KSO458713:KSO458762 LCK458713:LCK458762 LMG458713:LMG458762 LWC458713:LWC458762 MFY458713:MFY458762 MPU458713:MPU458762 MZQ458713:MZQ458762 NJM458713:NJM458762 NTI458713:NTI458762 ODE458713:ODE458762 ONA458713:ONA458762 OWW458713:OWW458762 PGS458713:PGS458762 PQO458713:PQO458762 QAK458713:QAK458762 QKG458713:QKG458762 QUC458713:QUC458762 RDY458713:RDY458762 RNU458713:RNU458762 RXQ458713:RXQ458762 SHM458713:SHM458762 SRI458713:SRI458762 TBE458713:TBE458762 TLA458713:TLA458762 TUW458713:TUW458762 UES458713:UES458762 UOO458713:UOO458762 UYK458713:UYK458762 VIG458713:VIG458762 VSC458713:VSC458762 WBY458713:WBY458762 WLU458713:WLU458762 WVQ458713:WVQ458762 I524249:I524298 JE524249:JE524298 TA524249:TA524298 ACW524249:ACW524298 AMS524249:AMS524298 AWO524249:AWO524298 BGK524249:BGK524298 BQG524249:BQG524298 CAC524249:CAC524298 CJY524249:CJY524298 CTU524249:CTU524298 DDQ524249:DDQ524298 DNM524249:DNM524298 DXI524249:DXI524298 EHE524249:EHE524298 ERA524249:ERA524298 FAW524249:FAW524298 FKS524249:FKS524298 FUO524249:FUO524298 GEK524249:GEK524298 GOG524249:GOG524298 GYC524249:GYC524298 HHY524249:HHY524298 HRU524249:HRU524298 IBQ524249:IBQ524298 ILM524249:ILM524298 IVI524249:IVI524298 JFE524249:JFE524298 JPA524249:JPA524298 JYW524249:JYW524298 KIS524249:KIS524298 KSO524249:KSO524298 LCK524249:LCK524298 LMG524249:LMG524298 LWC524249:LWC524298 MFY524249:MFY524298 MPU524249:MPU524298 MZQ524249:MZQ524298 NJM524249:NJM524298 NTI524249:NTI524298 ODE524249:ODE524298 ONA524249:ONA524298 OWW524249:OWW524298 PGS524249:PGS524298 PQO524249:PQO524298 QAK524249:QAK524298 QKG524249:QKG524298 QUC524249:QUC524298 RDY524249:RDY524298 RNU524249:RNU524298 RXQ524249:RXQ524298 SHM524249:SHM524298 SRI524249:SRI524298 TBE524249:TBE524298 TLA524249:TLA524298 TUW524249:TUW524298 UES524249:UES524298 UOO524249:UOO524298 UYK524249:UYK524298 VIG524249:VIG524298 VSC524249:VSC524298 WBY524249:WBY524298 WLU524249:WLU524298 WVQ524249:WVQ524298 I589785:I589834 JE589785:JE589834 TA589785:TA589834 ACW589785:ACW589834 AMS589785:AMS589834 AWO589785:AWO589834 BGK589785:BGK589834 BQG589785:BQG589834 CAC589785:CAC589834 CJY589785:CJY589834 CTU589785:CTU589834 DDQ589785:DDQ589834 DNM589785:DNM589834 DXI589785:DXI589834 EHE589785:EHE589834 ERA589785:ERA589834 FAW589785:FAW589834 FKS589785:FKS589834 FUO589785:FUO589834 GEK589785:GEK589834 GOG589785:GOG589834 GYC589785:GYC589834 HHY589785:HHY589834 HRU589785:HRU589834 IBQ589785:IBQ589834 ILM589785:ILM589834 IVI589785:IVI589834 JFE589785:JFE589834 JPA589785:JPA589834 JYW589785:JYW589834 KIS589785:KIS589834 KSO589785:KSO589834 LCK589785:LCK589834 LMG589785:LMG589834 LWC589785:LWC589834 MFY589785:MFY589834 MPU589785:MPU589834 MZQ589785:MZQ589834 NJM589785:NJM589834 NTI589785:NTI589834 ODE589785:ODE589834 ONA589785:ONA589834 OWW589785:OWW589834 PGS589785:PGS589834 PQO589785:PQO589834 QAK589785:QAK589834 QKG589785:QKG589834 QUC589785:QUC589834 RDY589785:RDY589834 RNU589785:RNU589834 RXQ589785:RXQ589834 SHM589785:SHM589834 SRI589785:SRI589834 TBE589785:TBE589834 TLA589785:TLA589834 TUW589785:TUW589834 UES589785:UES589834 UOO589785:UOO589834 UYK589785:UYK589834 VIG589785:VIG589834 VSC589785:VSC589834 WBY589785:WBY589834 WLU589785:WLU589834 WVQ589785:WVQ589834 I655321:I655370 JE655321:JE655370 TA655321:TA655370 ACW655321:ACW655370 AMS655321:AMS655370 AWO655321:AWO655370 BGK655321:BGK655370 BQG655321:BQG655370 CAC655321:CAC655370 CJY655321:CJY655370 CTU655321:CTU655370 DDQ655321:DDQ655370 DNM655321:DNM655370 DXI655321:DXI655370 EHE655321:EHE655370 ERA655321:ERA655370 FAW655321:FAW655370 FKS655321:FKS655370 FUO655321:FUO655370 GEK655321:GEK655370 GOG655321:GOG655370 GYC655321:GYC655370 HHY655321:HHY655370 HRU655321:HRU655370 IBQ655321:IBQ655370 ILM655321:ILM655370 IVI655321:IVI655370 JFE655321:JFE655370 JPA655321:JPA655370 JYW655321:JYW655370 KIS655321:KIS655370 KSO655321:KSO655370 LCK655321:LCK655370 LMG655321:LMG655370 LWC655321:LWC655370 MFY655321:MFY655370 MPU655321:MPU655370 MZQ655321:MZQ655370 NJM655321:NJM655370 NTI655321:NTI655370 ODE655321:ODE655370 ONA655321:ONA655370 OWW655321:OWW655370 PGS655321:PGS655370 PQO655321:PQO655370 QAK655321:QAK655370 QKG655321:QKG655370 QUC655321:QUC655370 RDY655321:RDY655370 RNU655321:RNU655370 RXQ655321:RXQ655370 SHM655321:SHM655370 SRI655321:SRI655370 TBE655321:TBE655370 TLA655321:TLA655370 TUW655321:TUW655370 UES655321:UES655370 UOO655321:UOO655370 UYK655321:UYK655370 VIG655321:VIG655370 VSC655321:VSC655370 WBY655321:WBY655370 WLU655321:WLU655370 WVQ655321:WVQ655370 I720857:I720906 JE720857:JE720906 TA720857:TA720906 ACW720857:ACW720906 AMS720857:AMS720906 AWO720857:AWO720906 BGK720857:BGK720906 BQG720857:BQG720906 CAC720857:CAC720906 CJY720857:CJY720906 CTU720857:CTU720906 DDQ720857:DDQ720906 DNM720857:DNM720906 DXI720857:DXI720906 EHE720857:EHE720906 ERA720857:ERA720906 FAW720857:FAW720906 FKS720857:FKS720906 FUO720857:FUO720906 GEK720857:GEK720906 GOG720857:GOG720906 GYC720857:GYC720906 HHY720857:HHY720906 HRU720857:HRU720906 IBQ720857:IBQ720906 ILM720857:ILM720906 IVI720857:IVI720906 JFE720857:JFE720906 JPA720857:JPA720906 JYW720857:JYW720906 KIS720857:KIS720906 KSO720857:KSO720906 LCK720857:LCK720906 LMG720857:LMG720906 LWC720857:LWC720906 MFY720857:MFY720906 MPU720857:MPU720906 MZQ720857:MZQ720906 NJM720857:NJM720906 NTI720857:NTI720906 ODE720857:ODE720906 ONA720857:ONA720906 OWW720857:OWW720906 PGS720857:PGS720906 PQO720857:PQO720906 QAK720857:QAK720906 QKG720857:QKG720906 QUC720857:QUC720906 RDY720857:RDY720906 RNU720857:RNU720906 RXQ720857:RXQ720906 SHM720857:SHM720906 SRI720857:SRI720906 TBE720857:TBE720906 TLA720857:TLA720906 TUW720857:TUW720906 UES720857:UES720906 UOO720857:UOO720906 UYK720857:UYK720906 VIG720857:VIG720906 VSC720857:VSC720906 WBY720857:WBY720906 WLU720857:WLU720906 WVQ720857:WVQ720906 I786393:I786442 JE786393:JE786442 TA786393:TA786442 ACW786393:ACW786442 AMS786393:AMS786442 AWO786393:AWO786442 BGK786393:BGK786442 BQG786393:BQG786442 CAC786393:CAC786442 CJY786393:CJY786442 CTU786393:CTU786442 DDQ786393:DDQ786442 DNM786393:DNM786442 DXI786393:DXI786442 EHE786393:EHE786442 ERA786393:ERA786442 FAW786393:FAW786442 FKS786393:FKS786442 FUO786393:FUO786442 GEK786393:GEK786442 GOG786393:GOG786442 GYC786393:GYC786442 HHY786393:HHY786442 HRU786393:HRU786442 IBQ786393:IBQ786442 ILM786393:ILM786442 IVI786393:IVI786442 JFE786393:JFE786442 JPA786393:JPA786442 JYW786393:JYW786442 KIS786393:KIS786442 KSO786393:KSO786442 LCK786393:LCK786442 LMG786393:LMG786442 LWC786393:LWC786442 MFY786393:MFY786442 MPU786393:MPU786442 MZQ786393:MZQ786442 NJM786393:NJM786442 NTI786393:NTI786442 ODE786393:ODE786442 ONA786393:ONA786442 OWW786393:OWW786442 PGS786393:PGS786442 PQO786393:PQO786442 QAK786393:QAK786442 QKG786393:QKG786442 QUC786393:QUC786442 RDY786393:RDY786442 RNU786393:RNU786442 RXQ786393:RXQ786442 SHM786393:SHM786442 SRI786393:SRI786442 TBE786393:TBE786442 TLA786393:TLA786442 TUW786393:TUW786442 UES786393:UES786442 UOO786393:UOO786442 UYK786393:UYK786442 VIG786393:VIG786442 VSC786393:VSC786442 WBY786393:WBY786442 WLU786393:WLU786442 WVQ786393:WVQ786442 I851929:I851978 JE851929:JE851978 TA851929:TA851978 ACW851929:ACW851978 AMS851929:AMS851978 AWO851929:AWO851978 BGK851929:BGK851978 BQG851929:BQG851978 CAC851929:CAC851978 CJY851929:CJY851978 CTU851929:CTU851978 DDQ851929:DDQ851978 DNM851929:DNM851978 DXI851929:DXI851978 EHE851929:EHE851978 ERA851929:ERA851978 FAW851929:FAW851978 FKS851929:FKS851978 FUO851929:FUO851978 GEK851929:GEK851978 GOG851929:GOG851978 GYC851929:GYC851978 HHY851929:HHY851978 HRU851929:HRU851978 IBQ851929:IBQ851978 ILM851929:ILM851978 IVI851929:IVI851978 JFE851929:JFE851978 JPA851929:JPA851978 JYW851929:JYW851978 KIS851929:KIS851978 KSO851929:KSO851978 LCK851929:LCK851978 LMG851929:LMG851978 LWC851929:LWC851978 MFY851929:MFY851978 MPU851929:MPU851978 MZQ851929:MZQ851978 NJM851929:NJM851978 NTI851929:NTI851978 ODE851929:ODE851978 ONA851929:ONA851978 OWW851929:OWW851978 PGS851929:PGS851978 PQO851929:PQO851978 QAK851929:QAK851978 QKG851929:QKG851978 QUC851929:QUC851978 RDY851929:RDY851978 RNU851929:RNU851978 RXQ851929:RXQ851978 SHM851929:SHM851978 SRI851929:SRI851978 TBE851929:TBE851978 TLA851929:TLA851978 TUW851929:TUW851978 UES851929:UES851978 UOO851929:UOO851978 UYK851929:UYK851978 VIG851929:VIG851978 VSC851929:VSC851978 WBY851929:WBY851978 WLU851929:WLU851978 WVQ851929:WVQ851978 I917465:I917514 JE917465:JE917514 TA917465:TA917514 ACW917465:ACW917514 AMS917465:AMS917514 AWO917465:AWO917514 BGK917465:BGK917514 BQG917465:BQG917514 CAC917465:CAC917514 CJY917465:CJY917514 CTU917465:CTU917514 DDQ917465:DDQ917514 DNM917465:DNM917514 DXI917465:DXI917514 EHE917465:EHE917514 ERA917465:ERA917514 FAW917465:FAW917514 FKS917465:FKS917514 FUO917465:FUO917514 GEK917465:GEK917514 GOG917465:GOG917514 GYC917465:GYC917514 HHY917465:HHY917514 HRU917465:HRU917514 IBQ917465:IBQ917514 ILM917465:ILM917514 IVI917465:IVI917514 JFE917465:JFE917514 JPA917465:JPA917514 JYW917465:JYW917514 KIS917465:KIS917514 KSO917465:KSO917514 LCK917465:LCK917514 LMG917465:LMG917514 LWC917465:LWC917514 MFY917465:MFY917514 MPU917465:MPU917514 MZQ917465:MZQ917514 NJM917465:NJM917514 NTI917465:NTI917514 ODE917465:ODE917514 ONA917465:ONA917514 OWW917465:OWW917514 PGS917465:PGS917514 PQO917465:PQO917514 QAK917465:QAK917514 QKG917465:QKG917514 QUC917465:QUC917514 RDY917465:RDY917514 RNU917465:RNU917514 RXQ917465:RXQ917514 SHM917465:SHM917514 SRI917465:SRI917514 TBE917465:TBE917514 TLA917465:TLA917514 TUW917465:TUW917514 UES917465:UES917514 UOO917465:UOO917514 UYK917465:UYK917514 VIG917465:VIG917514 VSC917465:VSC917514 WBY917465:WBY917514 WLU917465:WLU917514 WVQ917465:WVQ917514 I983001:I983050 JE983001:JE983050 TA983001:TA983050 ACW983001:ACW983050 AMS983001:AMS983050 AWO983001:AWO983050 BGK983001:BGK983050 BQG983001:BQG983050 CAC983001:CAC983050 CJY983001:CJY983050 CTU983001:CTU983050 DDQ983001:DDQ983050 DNM983001:DNM983050 DXI983001:DXI983050 EHE983001:EHE983050 ERA983001:ERA983050 FAW983001:FAW983050 FKS983001:FKS983050 FUO983001:FUO983050 GEK983001:GEK983050 GOG983001:GOG983050 GYC983001:GYC983050 HHY983001:HHY983050 HRU983001:HRU983050 IBQ983001:IBQ983050 ILM983001:ILM983050 IVI983001:IVI983050 JFE983001:JFE983050 JPA983001:JPA983050 JYW983001:JYW983050 KIS983001:KIS983050 KSO983001:KSO983050 LCK983001:LCK983050 LMG983001:LMG983050 LWC983001:LWC983050 MFY983001:MFY983050 MPU983001:MPU983050 MZQ983001:MZQ983050 NJM983001:NJM983050 NTI983001:NTI983050 ODE983001:ODE983050 ONA983001:ONA983050 OWW983001:OWW983050 PGS983001:PGS983050 PQO983001:PQO983050 QAK983001:QAK983050 QKG983001:QKG983050 QUC983001:QUC983050 RDY983001:RDY983050 RNU983001:RNU983050 RXQ983001:RXQ983050 SHM983001:SHM983050 SRI983001:SRI983050 TBE983001:TBE983050 TLA983001:TLA983050 TUW983001:TUW983050 UES983001:UES983050 UOO983001:UOO983050 UYK983001:UYK983050 VIG983001:VIG983050 VSC983001:VSC983050 WBY983001:WBY983050 WLU983001:WLU983050 WVQ983001:WVQ983050 WVQ9:WVQ19 I65619:I65626 JE65619:JE65626 TA65619:TA65626 ACW65619:ACW65626 AMS65619:AMS65626 AWO65619:AWO65626 BGK65619:BGK65626 BQG65619:BQG65626 CAC65619:CAC65626 CJY65619:CJY65626 CTU65619:CTU65626 DDQ65619:DDQ65626 DNM65619:DNM65626 DXI65619:DXI65626 EHE65619:EHE65626 ERA65619:ERA65626 FAW65619:FAW65626 FKS65619:FKS65626 FUO65619:FUO65626 GEK65619:GEK65626 GOG65619:GOG65626 GYC65619:GYC65626 HHY65619:HHY65626 HRU65619:HRU65626 IBQ65619:IBQ65626 ILM65619:ILM65626 IVI65619:IVI65626 JFE65619:JFE65626 JPA65619:JPA65626 JYW65619:JYW65626 KIS65619:KIS65626 KSO65619:KSO65626 LCK65619:LCK65626 LMG65619:LMG65626 LWC65619:LWC65626 MFY65619:MFY65626 MPU65619:MPU65626 MZQ65619:MZQ65626 NJM65619:NJM65626 NTI65619:NTI65626 ODE65619:ODE65626 ONA65619:ONA65626 OWW65619:OWW65626 PGS65619:PGS65626 PQO65619:PQO65626 QAK65619:QAK65626 QKG65619:QKG65626 QUC65619:QUC65626 RDY65619:RDY65626 RNU65619:RNU65626 RXQ65619:RXQ65626 SHM65619:SHM65626 SRI65619:SRI65626 TBE65619:TBE65626 TLA65619:TLA65626 TUW65619:TUW65626 UES65619:UES65626 UOO65619:UOO65626 UYK65619:UYK65626 VIG65619:VIG65626 VSC65619:VSC65626 WBY65619:WBY65626 WLU65619:WLU65626 WVQ65619:WVQ65626 I131155:I131162 JE131155:JE131162 TA131155:TA131162 ACW131155:ACW131162 AMS131155:AMS131162 AWO131155:AWO131162 BGK131155:BGK131162 BQG131155:BQG131162 CAC131155:CAC131162 CJY131155:CJY131162 CTU131155:CTU131162 DDQ131155:DDQ131162 DNM131155:DNM131162 DXI131155:DXI131162 EHE131155:EHE131162 ERA131155:ERA131162 FAW131155:FAW131162 FKS131155:FKS131162 FUO131155:FUO131162 GEK131155:GEK131162 GOG131155:GOG131162 GYC131155:GYC131162 HHY131155:HHY131162 HRU131155:HRU131162 IBQ131155:IBQ131162 ILM131155:ILM131162 IVI131155:IVI131162 JFE131155:JFE131162 JPA131155:JPA131162 JYW131155:JYW131162 KIS131155:KIS131162 KSO131155:KSO131162 LCK131155:LCK131162 LMG131155:LMG131162 LWC131155:LWC131162 MFY131155:MFY131162 MPU131155:MPU131162 MZQ131155:MZQ131162 NJM131155:NJM131162 NTI131155:NTI131162 ODE131155:ODE131162 ONA131155:ONA131162 OWW131155:OWW131162 PGS131155:PGS131162 PQO131155:PQO131162 QAK131155:QAK131162 QKG131155:QKG131162 QUC131155:QUC131162 RDY131155:RDY131162 RNU131155:RNU131162 RXQ131155:RXQ131162 SHM131155:SHM131162 SRI131155:SRI131162 TBE131155:TBE131162 TLA131155:TLA131162 TUW131155:TUW131162 UES131155:UES131162 UOO131155:UOO131162 UYK131155:UYK131162 VIG131155:VIG131162 VSC131155:VSC131162 WBY131155:WBY131162 WLU131155:WLU131162 WVQ131155:WVQ131162 I196691:I196698 JE196691:JE196698 TA196691:TA196698 ACW196691:ACW196698 AMS196691:AMS196698 AWO196691:AWO196698 BGK196691:BGK196698 BQG196691:BQG196698 CAC196691:CAC196698 CJY196691:CJY196698 CTU196691:CTU196698 DDQ196691:DDQ196698 DNM196691:DNM196698 DXI196691:DXI196698 EHE196691:EHE196698 ERA196691:ERA196698 FAW196691:FAW196698 FKS196691:FKS196698 FUO196691:FUO196698 GEK196691:GEK196698 GOG196691:GOG196698 GYC196691:GYC196698 HHY196691:HHY196698 HRU196691:HRU196698 IBQ196691:IBQ196698 ILM196691:ILM196698 IVI196691:IVI196698 JFE196691:JFE196698 JPA196691:JPA196698 JYW196691:JYW196698 KIS196691:KIS196698 KSO196691:KSO196698 LCK196691:LCK196698 LMG196691:LMG196698 LWC196691:LWC196698 MFY196691:MFY196698 MPU196691:MPU196698 MZQ196691:MZQ196698 NJM196691:NJM196698 NTI196691:NTI196698 ODE196691:ODE196698 ONA196691:ONA196698 OWW196691:OWW196698 PGS196691:PGS196698 PQO196691:PQO196698 QAK196691:QAK196698 QKG196691:QKG196698 QUC196691:QUC196698 RDY196691:RDY196698 RNU196691:RNU196698 RXQ196691:RXQ196698 SHM196691:SHM196698 SRI196691:SRI196698 TBE196691:TBE196698 TLA196691:TLA196698 TUW196691:TUW196698 UES196691:UES196698 UOO196691:UOO196698 UYK196691:UYK196698 VIG196691:VIG196698 VSC196691:VSC196698 WBY196691:WBY196698 WLU196691:WLU196698 WVQ196691:WVQ196698 I262227:I262234 JE262227:JE262234 TA262227:TA262234 ACW262227:ACW262234 AMS262227:AMS262234 AWO262227:AWO262234 BGK262227:BGK262234 BQG262227:BQG262234 CAC262227:CAC262234 CJY262227:CJY262234 CTU262227:CTU262234 DDQ262227:DDQ262234 DNM262227:DNM262234 DXI262227:DXI262234 EHE262227:EHE262234 ERA262227:ERA262234 FAW262227:FAW262234 FKS262227:FKS262234 FUO262227:FUO262234 GEK262227:GEK262234 GOG262227:GOG262234 GYC262227:GYC262234 HHY262227:HHY262234 HRU262227:HRU262234 IBQ262227:IBQ262234 ILM262227:ILM262234 IVI262227:IVI262234 JFE262227:JFE262234 JPA262227:JPA262234 JYW262227:JYW262234 KIS262227:KIS262234 KSO262227:KSO262234 LCK262227:LCK262234 LMG262227:LMG262234 LWC262227:LWC262234 MFY262227:MFY262234 MPU262227:MPU262234 MZQ262227:MZQ262234 NJM262227:NJM262234 NTI262227:NTI262234 ODE262227:ODE262234 ONA262227:ONA262234 OWW262227:OWW262234 PGS262227:PGS262234 PQO262227:PQO262234 QAK262227:QAK262234 QKG262227:QKG262234 QUC262227:QUC262234 RDY262227:RDY262234 RNU262227:RNU262234 RXQ262227:RXQ262234 SHM262227:SHM262234 SRI262227:SRI262234 TBE262227:TBE262234 TLA262227:TLA262234 TUW262227:TUW262234 UES262227:UES262234 UOO262227:UOO262234 UYK262227:UYK262234 VIG262227:VIG262234 VSC262227:VSC262234 WBY262227:WBY262234 WLU262227:WLU262234 WVQ262227:WVQ262234 I327763:I327770 JE327763:JE327770 TA327763:TA327770 ACW327763:ACW327770 AMS327763:AMS327770 AWO327763:AWO327770 BGK327763:BGK327770 BQG327763:BQG327770 CAC327763:CAC327770 CJY327763:CJY327770 CTU327763:CTU327770 DDQ327763:DDQ327770 DNM327763:DNM327770 DXI327763:DXI327770 EHE327763:EHE327770 ERA327763:ERA327770 FAW327763:FAW327770 FKS327763:FKS327770 FUO327763:FUO327770 GEK327763:GEK327770 GOG327763:GOG327770 GYC327763:GYC327770 HHY327763:HHY327770 HRU327763:HRU327770 IBQ327763:IBQ327770 ILM327763:ILM327770 IVI327763:IVI327770 JFE327763:JFE327770 JPA327763:JPA327770 JYW327763:JYW327770 KIS327763:KIS327770 KSO327763:KSO327770 LCK327763:LCK327770 LMG327763:LMG327770 LWC327763:LWC327770 MFY327763:MFY327770 MPU327763:MPU327770 MZQ327763:MZQ327770 NJM327763:NJM327770 NTI327763:NTI327770 ODE327763:ODE327770 ONA327763:ONA327770 OWW327763:OWW327770 PGS327763:PGS327770 PQO327763:PQO327770 QAK327763:QAK327770 QKG327763:QKG327770 QUC327763:QUC327770 RDY327763:RDY327770 RNU327763:RNU327770 RXQ327763:RXQ327770 SHM327763:SHM327770 SRI327763:SRI327770 TBE327763:TBE327770 TLA327763:TLA327770 TUW327763:TUW327770 UES327763:UES327770 UOO327763:UOO327770 UYK327763:UYK327770 VIG327763:VIG327770 VSC327763:VSC327770 WBY327763:WBY327770 WLU327763:WLU327770 WVQ327763:WVQ327770 I393299:I393306 JE393299:JE393306 TA393299:TA393306 ACW393299:ACW393306 AMS393299:AMS393306 AWO393299:AWO393306 BGK393299:BGK393306 BQG393299:BQG393306 CAC393299:CAC393306 CJY393299:CJY393306 CTU393299:CTU393306 DDQ393299:DDQ393306 DNM393299:DNM393306 DXI393299:DXI393306 EHE393299:EHE393306 ERA393299:ERA393306 FAW393299:FAW393306 FKS393299:FKS393306 FUO393299:FUO393306 GEK393299:GEK393306 GOG393299:GOG393306 GYC393299:GYC393306 HHY393299:HHY393306 HRU393299:HRU393306 IBQ393299:IBQ393306 ILM393299:ILM393306 IVI393299:IVI393306 JFE393299:JFE393306 JPA393299:JPA393306 JYW393299:JYW393306 KIS393299:KIS393306 KSO393299:KSO393306 LCK393299:LCK393306 LMG393299:LMG393306 LWC393299:LWC393306 MFY393299:MFY393306 MPU393299:MPU393306 MZQ393299:MZQ393306 NJM393299:NJM393306 NTI393299:NTI393306 ODE393299:ODE393306 ONA393299:ONA393306 OWW393299:OWW393306 PGS393299:PGS393306 PQO393299:PQO393306 QAK393299:QAK393306 QKG393299:QKG393306 QUC393299:QUC393306 RDY393299:RDY393306 RNU393299:RNU393306 RXQ393299:RXQ393306 SHM393299:SHM393306 SRI393299:SRI393306 TBE393299:TBE393306 TLA393299:TLA393306 TUW393299:TUW393306 UES393299:UES393306 UOO393299:UOO393306 UYK393299:UYK393306 VIG393299:VIG393306 VSC393299:VSC393306 WBY393299:WBY393306 WLU393299:WLU393306 WVQ393299:WVQ393306 I458835:I458842 JE458835:JE458842 TA458835:TA458842 ACW458835:ACW458842 AMS458835:AMS458842 AWO458835:AWO458842 BGK458835:BGK458842 BQG458835:BQG458842 CAC458835:CAC458842 CJY458835:CJY458842 CTU458835:CTU458842 DDQ458835:DDQ458842 DNM458835:DNM458842 DXI458835:DXI458842 EHE458835:EHE458842 ERA458835:ERA458842 FAW458835:FAW458842 FKS458835:FKS458842 FUO458835:FUO458842 GEK458835:GEK458842 GOG458835:GOG458842 GYC458835:GYC458842 HHY458835:HHY458842 HRU458835:HRU458842 IBQ458835:IBQ458842 ILM458835:ILM458842 IVI458835:IVI458842 JFE458835:JFE458842 JPA458835:JPA458842 JYW458835:JYW458842 KIS458835:KIS458842 KSO458835:KSO458842 LCK458835:LCK458842 LMG458835:LMG458842 LWC458835:LWC458842 MFY458835:MFY458842 MPU458835:MPU458842 MZQ458835:MZQ458842 NJM458835:NJM458842 NTI458835:NTI458842 ODE458835:ODE458842 ONA458835:ONA458842 OWW458835:OWW458842 PGS458835:PGS458842 PQO458835:PQO458842 QAK458835:QAK458842 QKG458835:QKG458842 QUC458835:QUC458842 RDY458835:RDY458842 RNU458835:RNU458842 RXQ458835:RXQ458842 SHM458835:SHM458842 SRI458835:SRI458842 TBE458835:TBE458842 TLA458835:TLA458842 TUW458835:TUW458842 UES458835:UES458842 UOO458835:UOO458842 UYK458835:UYK458842 VIG458835:VIG458842 VSC458835:VSC458842 WBY458835:WBY458842 WLU458835:WLU458842 WVQ458835:WVQ458842 I524371:I524378 JE524371:JE524378 TA524371:TA524378 ACW524371:ACW524378 AMS524371:AMS524378 AWO524371:AWO524378 BGK524371:BGK524378 BQG524371:BQG524378 CAC524371:CAC524378 CJY524371:CJY524378 CTU524371:CTU524378 DDQ524371:DDQ524378 DNM524371:DNM524378 DXI524371:DXI524378 EHE524371:EHE524378 ERA524371:ERA524378 FAW524371:FAW524378 FKS524371:FKS524378 FUO524371:FUO524378 GEK524371:GEK524378 GOG524371:GOG524378 GYC524371:GYC524378 HHY524371:HHY524378 HRU524371:HRU524378 IBQ524371:IBQ524378 ILM524371:ILM524378 IVI524371:IVI524378 JFE524371:JFE524378 JPA524371:JPA524378 JYW524371:JYW524378 KIS524371:KIS524378 KSO524371:KSO524378 LCK524371:LCK524378 LMG524371:LMG524378 LWC524371:LWC524378 MFY524371:MFY524378 MPU524371:MPU524378 MZQ524371:MZQ524378 NJM524371:NJM524378 NTI524371:NTI524378 ODE524371:ODE524378 ONA524371:ONA524378 OWW524371:OWW524378 PGS524371:PGS524378 PQO524371:PQO524378 QAK524371:QAK524378 QKG524371:QKG524378 QUC524371:QUC524378 RDY524371:RDY524378 RNU524371:RNU524378 RXQ524371:RXQ524378 SHM524371:SHM524378 SRI524371:SRI524378 TBE524371:TBE524378 TLA524371:TLA524378 TUW524371:TUW524378 UES524371:UES524378 UOO524371:UOO524378 UYK524371:UYK524378 VIG524371:VIG524378 VSC524371:VSC524378 WBY524371:WBY524378 WLU524371:WLU524378 WVQ524371:WVQ524378 I589907:I589914 JE589907:JE589914 TA589907:TA589914 ACW589907:ACW589914 AMS589907:AMS589914 AWO589907:AWO589914 BGK589907:BGK589914 BQG589907:BQG589914 CAC589907:CAC589914 CJY589907:CJY589914 CTU589907:CTU589914 DDQ589907:DDQ589914 DNM589907:DNM589914 DXI589907:DXI589914 EHE589907:EHE589914 ERA589907:ERA589914 FAW589907:FAW589914 FKS589907:FKS589914 FUO589907:FUO589914 GEK589907:GEK589914 GOG589907:GOG589914 GYC589907:GYC589914 HHY589907:HHY589914 HRU589907:HRU589914 IBQ589907:IBQ589914 ILM589907:ILM589914 IVI589907:IVI589914 JFE589907:JFE589914 JPA589907:JPA589914 JYW589907:JYW589914 KIS589907:KIS589914 KSO589907:KSO589914 LCK589907:LCK589914 LMG589907:LMG589914 LWC589907:LWC589914 MFY589907:MFY589914 MPU589907:MPU589914 MZQ589907:MZQ589914 NJM589907:NJM589914 NTI589907:NTI589914 ODE589907:ODE589914 ONA589907:ONA589914 OWW589907:OWW589914 PGS589907:PGS589914 PQO589907:PQO589914 QAK589907:QAK589914 QKG589907:QKG589914 QUC589907:QUC589914 RDY589907:RDY589914 RNU589907:RNU589914 RXQ589907:RXQ589914 SHM589907:SHM589914 SRI589907:SRI589914 TBE589907:TBE589914 TLA589907:TLA589914 TUW589907:TUW589914 UES589907:UES589914 UOO589907:UOO589914 UYK589907:UYK589914 VIG589907:VIG589914 VSC589907:VSC589914 WBY589907:WBY589914 WLU589907:WLU589914 WVQ589907:WVQ589914 I655443:I655450 JE655443:JE655450 TA655443:TA655450 ACW655443:ACW655450 AMS655443:AMS655450 AWO655443:AWO655450 BGK655443:BGK655450 BQG655443:BQG655450 CAC655443:CAC655450 CJY655443:CJY655450 CTU655443:CTU655450 DDQ655443:DDQ655450 DNM655443:DNM655450 DXI655443:DXI655450 EHE655443:EHE655450 ERA655443:ERA655450 FAW655443:FAW655450 FKS655443:FKS655450 FUO655443:FUO655450 GEK655443:GEK655450 GOG655443:GOG655450 GYC655443:GYC655450 HHY655443:HHY655450 HRU655443:HRU655450 IBQ655443:IBQ655450 ILM655443:ILM655450 IVI655443:IVI655450 JFE655443:JFE655450 JPA655443:JPA655450 JYW655443:JYW655450 KIS655443:KIS655450 KSO655443:KSO655450 LCK655443:LCK655450 LMG655443:LMG655450 LWC655443:LWC655450 MFY655443:MFY655450 MPU655443:MPU655450 MZQ655443:MZQ655450 NJM655443:NJM655450 NTI655443:NTI655450 ODE655443:ODE655450 ONA655443:ONA655450 OWW655443:OWW655450 PGS655443:PGS655450 PQO655443:PQO655450 QAK655443:QAK655450 QKG655443:QKG655450 QUC655443:QUC655450 RDY655443:RDY655450 RNU655443:RNU655450 RXQ655443:RXQ655450 SHM655443:SHM655450 SRI655443:SRI655450 TBE655443:TBE655450 TLA655443:TLA655450 TUW655443:TUW655450 UES655443:UES655450 UOO655443:UOO655450 UYK655443:UYK655450 VIG655443:VIG655450 VSC655443:VSC655450 WBY655443:WBY655450 WLU655443:WLU655450 WVQ655443:WVQ655450 I720979:I720986 JE720979:JE720986 TA720979:TA720986 ACW720979:ACW720986 AMS720979:AMS720986 AWO720979:AWO720986 BGK720979:BGK720986 BQG720979:BQG720986 CAC720979:CAC720986 CJY720979:CJY720986 CTU720979:CTU720986 DDQ720979:DDQ720986 DNM720979:DNM720986 DXI720979:DXI720986 EHE720979:EHE720986 ERA720979:ERA720986 FAW720979:FAW720986 FKS720979:FKS720986 FUO720979:FUO720986 GEK720979:GEK720986 GOG720979:GOG720986 GYC720979:GYC720986 HHY720979:HHY720986 HRU720979:HRU720986 IBQ720979:IBQ720986 ILM720979:ILM720986 IVI720979:IVI720986 JFE720979:JFE720986 JPA720979:JPA720986 JYW720979:JYW720986 KIS720979:KIS720986 KSO720979:KSO720986 LCK720979:LCK720986 LMG720979:LMG720986 LWC720979:LWC720986 MFY720979:MFY720986 MPU720979:MPU720986 MZQ720979:MZQ720986 NJM720979:NJM720986 NTI720979:NTI720986 ODE720979:ODE720986 ONA720979:ONA720986 OWW720979:OWW720986 PGS720979:PGS720986 PQO720979:PQO720986 QAK720979:QAK720986 QKG720979:QKG720986 QUC720979:QUC720986 RDY720979:RDY720986 RNU720979:RNU720986 RXQ720979:RXQ720986 SHM720979:SHM720986 SRI720979:SRI720986 TBE720979:TBE720986 TLA720979:TLA720986 TUW720979:TUW720986 UES720979:UES720986 UOO720979:UOO720986 UYK720979:UYK720986 VIG720979:VIG720986 VSC720979:VSC720986 WBY720979:WBY720986 WLU720979:WLU720986 WVQ720979:WVQ720986 I786515:I786522 JE786515:JE786522 TA786515:TA786522 ACW786515:ACW786522 AMS786515:AMS786522 AWO786515:AWO786522 BGK786515:BGK786522 BQG786515:BQG786522 CAC786515:CAC786522 CJY786515:CJY786522 CTU786515:CTU786522 DDQ786515:DDQ786522 DNM786515:DNM786522 DXI786515:DXI786522 EHE786515:EHE786522 ERA786515:ERA786522 FAW786515:FAW786522 FKS786515:FKS786522 FUO786515:FUO786522 GEK786515:GEK786522 GOG786515:GOG786522 GYC786515:GYC786522 HHY786515:HHY786522 HRU786515:HRU786522 IBQ786515:IBQ786522 ILM786515:ILM786522 IVI786515:IVI786522 JFE786515:JFE786522 JPA786515:JPA786522 JYW786515:JYW786522 KIS786515:KIS786522 KSO786515:KSO786522 LCK786515:LCK786522 LMG786515:LMG786522 LWC786515:LWC786522 MFY786515:MFY786522 MPU786515:MPU786522 MZQ786515:MZQ786522 NJM786515:NJM786522 NTI786515:NTI786522 ODE786515:ODE786522 ONA786515:ONA786522 OWW786515:OWW786522 PGS786515:PGS786522 PQO786515:PQO786522 QAK786515:QAK786522 QKG786515:QKG786522 QUC786515:QUC786522 RDY786515:RDY786522 RNU786515:RNU786522 RXQ786515:RXQ786522 SHM786515:SHM786522 SRI786515:SRI786522 TBE786515:TBE786522 TLA786515:TLA786522 TUW786515:TUW786522 UES786515:UES786522 UOO786515:UOO786522 UYK786515:UYK786522 VIG786515:VIG786522 VSC786515:VSC786522 WBY786515:WBY786522 WLU786515:WLU786522 WVQ786515:WVQ786522 I852051:I852058 JE852051:JE852058 TA852051:TA852058 ACW852051:ACW852058 AMS852051:AMS852058 AWO852051:AWO852058 BGK852051:BGK852058 BQG852051:BQG852058 CAC852051:CAC852058 CJY852051:CJY852058 CTU852051:CTU852058 DDQ852051:DDQ852058 DNM852051:DNM852058 DXI852051:DXI852058 EHE852051:EHE852058 ERA852051:ERA852058 FAW852051:FAW852058 FKS852051:FKS852058 FUO852051:FUO852058 GEK852051:GEK852058 GOG852051:GOG852058 GYC852051:GYC852058 HHY852051:HHY852058 HRU852051:HRU852058 IBQ852051:IBQ852058 ILM852051:ILM852058 IVI852051:IVI852058 JFE852051:JFE852058 JPA852051:JPA852058 JYW852051:JYW852058 KIS852051:KIS852058 KSO852051:KSO852058 LCK852051:LCK852058 LMG852051:LMG852058 LWC852051:LWC852058 MFY852051:MFY852058 MPU852051:MPU852058 MZQ852051:MZQ852058 NJM852051:NJM852058 NTI852051:NTI852058 ODE852051:ODE852058 ONA852051:ONA852058 OWW852051:OWW852058 PGS852051:PGS852058 PQO852051:PQO852058 QAK852051:QAK852058 QKG852051:QKG852058 QUC852051:QUC852058 RDY852051:RDY852058 RNU852051:RNU852058 RXQ852051:RXQ852058 SHM852051:SHM852058 SRI852051:SRI852058 TBE852051:TBE852058 TLA852051:TLA852058 TUW852051:TUW852058 UES852051:UES852058 UOO852051:UOO852058 UYK852051:UYK852058 VIG852051:VIG852058 VSC852051:VSC852058 WBY852051:WBY852058 WLU852051:WLU852058 WVQ852051:WVQ852058 I917587:I917594 JE917587:JE917594 TA917587:TA917594 ACW917587:ACW917594 AMS917587:AMS917594 AWO917587:AWO917594 BGK917587:BGK917594 BQG917587:BQG917594 CAC917587:CAC917594 CJY917587:CJY917594 CTU917587:CTU917594 DDQ917587:DDQ917594 DNM917587:DNM917594 DXI917587:DXI917594 EHE917587:EHE917594 ERA917587:ERA917594 FAW917587:FAW917594 FKS917587:FKS917594 FUO917587:FUO917594 GEK917587:GEK917594 GOG917587:GOG917594 GYC917587:GYC917594 HHY917587:HHY917594 HRU917587:HRU917594 IBQ917587:IBQ917594 ILM917587:ILM917594 IVI917587:IVI917594 JFE917587:JFE917594 JPA917587:JPA917594 JYW917587:JYW917594 KIS917587:KIS917594 KSO917587:KSO917594 LCK917587:LCK917594 LMG917587:LMG917594 LWC917587:LWC917594 MFY917587:MFY917594 MPU917587:MPU917594 MZQ917587:MZQ917594 NJM917587:NJM917594 NTI917587:NTI917594 ODE917587:ODE917594 ONA917587:ONA917594 OWW917587:OWW917594 PGS917587:PGS917594 PQO917587:PQO917594 QAK917587:QAK917594 QKG917587:QKG917594 QUC917587:QUC917594 RDY917587:RDY917594 RNU917587:RNU917594 RXQ917587:RXQ917594 SHM917587:SHM917594 SRI917587:SRI917594 TBE917587:TBE917594 TLA917587:TLA917594 TUW917587:TUW917594 UES917587:UES917594 UOO917587:UOO917594 UYK917587:UYK917594 VIG917587:VIG917594 VSC917587:VSC917594 WBY917587:WBY917594 WLU917587:WLU917594 WVQ917587:WVQ917594 I983123:I983130 JE983123:JE983130 TA983123:TA983130 ACW983123:ACW983130 AMS983123:AMS983130 AWO983123:AWO983130 BGK983123:BGK983130 BQG983123:BQG983130 CAC983123:CAC983130 CJY983123:CJY983130 CTU983123:CTU983130 DDQ983123:DDQ983130 DNM983123:DNM983130 DXI983123:DXI983130 EHE983123:EHE983130 ERA983123:ERA983130 FAW983123:FAW983130 FKS983123:FKS983130 FUO983123:FUO983130 GEK983123:GEK983130 GOG983123:GOG983130 GYC983123:GYC983130 HHY983123:HHY983130 HRU983123:HRU983130 IBQ983123:IBQ983130 ILM983123:ILM983130 IVI983123:IVI983130 JFE983123:JFE983130 JPA983123:JPA983130 JYW983123:JYW983130 KIS983123:KIS983130 KSO983123:KSO983130 LCK983123:LCK983130 LMG983123:LMG983130 LWC983123:LWC983130 MFY983123:MFY983130 MPU983123:MPU983130 MZQ983123:MZQ983130 NJM983123:NJM983130 NTI983123:NTI983130 ODE983123:ODE983130 ONA983123:ONA983130 OWW983123:OWW983130 PGS983123:PGS983130 PQO983123:PQO983130 QAK983123:QAK983130 QKG983123:QKG983130 QUC983123:QUC983130 RDY983123:RDY983130 RNU983123:RNU983130 RXQ983123:RXQ983130 SHM983123:SHM983130 SRI983123:SRI983130 TBE983123:TBE983130 TLA983123:TLA983130 TUW983123:TUW983130 UES983123:UES983130 UOO983123:UOO983130 UYK983123:UYK983130 VIG983123:VIG983130 VSC983123:VSC983130 WBY983123:WBY983130 WLU983123:WLU983130 WVQ983123:WVQ983130 I65427:I65495 JE65427:JE65495 TA65427:TA65495 ACW65427:ACW65495 AMS65427:AMS65495 AWO65427:AWO65495 BGK65427:BGK65495 BQG65427:BQG65495 CAC65427:CAC65495 CJY65427:CJY65495 CTU65427:CTU65495 DDQ65427:DDQ65495 DNM65427:DNM65495 DXI65427:DXI65495 EHE65427:EHE65495 ERA65427:ERA65495 FAW65427:FAW65495 FKS65427:FKS65495 FUO65427:FUO65495 GEK65427:GEK65495 GOG65427:GOG65495 GYC65427:GYC65495 HHY65427:HHY65495 HRU65427:HRU65495 IBQ65427:IBQ65495 ILM65427:ILM65495 IVI65427:IVI65495 JFE65427:JFE65495 JPA65427:JPA65495 JYW65427:JYW65495 KIS65427:KIS65495 KSO65427:KSO65495 LCK65427:LCK65495 LMG65427:LMG65495 LWC65427:LWC65495 MFY65427:MFY65495 MPU65427:MPU65495 MZQ65427:MZQ65495 NJM65427:NJM65495 NTI65427:NTI65495 ODE65427:ODE65495 ONA65427:ONA65495 OWW65427:OWW65495 PGS65427:PGS65495 PQO65427:PQO65495 QAK65427:QAK65495 QKG65427:QKG65495 QUC65427:QUC65495 RDY65427:RDY65495 RNU65427:RNU65495 RXQ65427:RXQ65495 SHM65427:SHM65495 SRI65427:SRI65495 TBE65427:TBE65495 TLA65427:TLA65495 TUW65427:TUW65495 UES65427:UES65495 UOO65427:UOO65495 UYK65427:UYK65495 VIG65427:VIG65495 VSC65427:VSC65495 WBY65427:WBY65495 WLU65427:WLU65495 WVQ65427:WVQ65495 I130963:I131031 JE130963:JE131031 TA130963:TA131031 ACW130963:ACW131031 AMS130963:AMS131031 AWO130963:AWO131031 BGK130963:BGK131031 BQG130963:BQG131031 CAC130963:CAC131031 CJY130963:CJY131031 CTU130963:CTU131031 DDQ130963:DDQ131031 DNM130963:DNM131031 DXI130963:DXI131031 EHE130963:EHE131031 ERA130963:ERA131031 FAW130963:FAW131031 FKS130963:FKS131031 FUO130963:FUO131031 GEK130963:GEK131031 GOG130963:GOG131031 GYC130963:GYC131031 HHY130963:HHY131031 HRU130963:HRU131031 IBQ130963:IBQ131031 ILM130963:ILM131031 IVI130963:IVI131031 JFE130963:JFE131031 JPA130963:JPA131031 JYW130963:JYW131031 KIS130963:KIS131031 KSO130963:KSO131031 LCK130963:LCK131031 LMG130963:LMG131031 LWC130963:LWC131031 MFY130963:MFY131031 MPU130963:MPU131031 MZQ130963:MZQ131031 NJM130963:NJM131031 NTI130963:NTI131031 ODE130963:ODE131031 ONA130963:ONA131031 OWW130963:OWW131031 PGS130963:PGS131031 PQO130963:PQO131031 QAK130963:QAK131031 QKG130963:QKG131031 QUC130963:QUC131031 RDY130963:RDY131031 RNU130963:RNU131031 RXQ130963:RXQ131031 SHM130963:SHM131031 SRI130963:SRI131031 TBE130963:TBE131031 TLA130963:TLA131031 TUW130963:TUW131031 UES130963:UES131031 UOO130963:UOO131031 UYK130963:UYK131031 VIG130963:VIG131031 VSC130963:VSC131031 WBY130963:WBY131031 WLU130963:WLU131031 WVQ130963:WVQ131031 I196499:I196567 JE196499:JE196567 TA196499:TA196567 ACW196499:ACW196567 AMS196499:AMS196567 AWO196499:AWO196567 BGK196499:BGK196567 BQG196499:BQG196567 CAC196499:CAC196567 CJY196499:CJY196567 CTU196499:CTU196567 DDQ196499:DDQ196567 DNM196499:DNM196567 DXI196499:DXI196567 EHE196499:EHE196567 ERA196499:ERA196567 FAW196499:FAW196567 FKS196499:FKS196567 FUO196499:FUO196567 GEK196499:GEK196567 GOG196499:GOG196567 GYC196499:GYC196567 HHY196499:HHY196567 HRU196499:HRU196567 IBQ196499:IBQ196567 ILM196499:ILM196567 IVI196499:IVI196567 JFE196499:JFE196567 JPA196499:JPA196567 JYW196499:JYW196567 KIS196499:KIS196567 KSO196499:KSO196567 LCK196499:LCK196567 LMG196499:LMG196567 LWC196499:LWC196567 MFY196499:MFY196567 MPU196499:MPU196567 MZQ196499:MZQ196567 NJM196499:NJM196567 NTI196499:NTI196567 ODE196499:ODE196567 ONA196499:ONA196567 OWW196499:OWW196567 PGS196499:PGS196567 PQO196499:PQO196567 QAK196499:QAK196567 QKG196499:QKG196567 QUC196499:QUC196567 RDY196499:RDY196567 RNU196499:RNU196567 RXQ196499:RXQ196567 SHM196499:SHM196567 SRI196499:SRI196567 TBE196499:TBE196567 TLA196499:TLA196567 TUW196499:TUW196567 UES196499:UES196567 UOO196499:UOO196567 UYK196499:UYK196567 VIG196499:VIG196567 VSC196499:VSC196567 WBY196499:WBY196567 WLU196499:WLU196567 WVQ196499:WVQ196567 I262035:I262103 JE262035:JE262103 TA262035:TA262103 ACW262035:ACW262103 AMS262035:AMS262103 AWO262035:AWO262103 BGK262035:BGK262103 BQG262035:BQG262103 CAC262035:CAC262103 CJY262035:CJY262103 CTU262035:CTU262103 DDQ262035:DDQ262103 DNM262035:DNM262103 DXI262035:DXI262103 EHE262035:EHE262103 ERA262035:ERA262103 FAW262035:FAW262103 FKS262035:FKS262103 FUO262035:FUO262103 GEK262035:GEK262103 GOG262035:GOG262103 GYC262035:GYC262103 HHY262035:HHY262103 HRU262035:HRU262103 IBQ262035:IBQ262103 ILM262035:ILM262103 IVI262035:IVI262103 JFE262035:JFE262103 JPA262035:JPA262103 JYW262035:JYW262103 KIS262035:KIS262103 KSO262035:KSO262103 LCK262035:LCK262103 LMG262035:LMG262103 LWC262035:LWC262103 MFY262035:MFY262103 MPU262035:MPU262103 MZQ262035:MZQ262103 NJM262035:NJM262103 NTI262035:NTI262103 ODE262035:ODE262103 ONA262035:ONA262103 OWW262035:OWW262103 PGS262035:PGS262103 PQO262035:PQO262103 QAK262035:QAK262103 QKG262035:QKG262103 QUC262035:QUC262103 RDY262035:RDY262103 RNU262035:RNU262103 RXQ262035:RXQ262103 SHM262035:SHM262103 SRI262035:SRI262103 TBE262035:TBE262103 TLA262035:TLA262103 TUW262035:TUW262103 UES262035:UES262103 UOO262035:UOO262103 UYK262035:UYK262103 VIG262035:VIG262103 VSC262035:VSC262103 WBY262035:WBY262103 WLU262035:WLU262103 WVQ262035:WVQ262103 I327571:I327639 JE327571:JE327639 TA327571:TA327639 ACW327571:ACW327639 AMS327571:AMS327639 AWO327571:AWO327639 BGK327571:BGK327639 BQG327571:BQG327639 CAC327571:CAC327639 CJY327571:CJY327639 CTU327571:CTU327639 DDQ327571:DDQ327639 DNM327571:DNM327639 DXI327571:DXI327639 EHE327571:EHE327639 ERA327571:ERA327639 FAW327571:FAW327639 FKS327571:FKS327639 FUO327571:FUO327639 GEK327571:GEK327639 GOG327571:GOG327639 GYC327571:GYC327639 HHY327571:HHY327639 HRU327571:HRU327639 IBQ327571:IBQ327639 ILM327571:ILM327639 IVI327571:IVI327639 JFE327571:JFE327639 JPA327571:JPA327639 JYW327571:JYW327639 KIS327571:KIS327639 KSO327571:KSO327639 LCK327571:LCK327639 LMG327571:LMG327639 LWC327571:LWC327639 MFY327571:MFY327639 MPU327571:MPU327639 MZQ327571:MZQ327639 NJM327571:NJM327639 NTI327571:NTI327639 ODE327571:ODE327639 ONA327571:ONA327639 OWW327571:OWW327639 PGS327571:PGS327639 PQO327571:PQO327639 QAK327571:QAK327639 QKG327571:QKG327639 QUC327571:QUC327639 RDY327571:RDY327639 RNU327571:RNU327639 RXQ327571:RXQ327639 SHM327571:SHM327639 SRI327571:SRI327639 TBE327571:TBE327639 TLA327571:TLA327639 TUW327571:TUW327639 UES327571:UES327639 UOO327571:UOO327639 UYK327571:UYK327639 VIG327571:VIG327639 VSC327571:VSC327639 WBY327571:WBY327639 WLU327571:WLU327639 WVQ327571:WVQ327639 I393107:I393175 JE393107:JE393175 TA393107:TA393175 ACW393107:ACW393175 AMS393107:AMS393175 AWO393107:AWO393175 BGK393107:BGK393175 BQG393107:BQG393175 CAC393107:CAC393175 CJY393107:CJY393175 CTU393107:CTU393175 DDQ393107:DDQ393175 DNM393107:DNM393175 DXI393107:DXI393175 EHE393107:EHE393175 ERA393107:ERA393175 FAW393107:FAW393175 FKS393107:FKS393175 FUO393107:FUO393175 GEK393107:GEK393175 GOG393107:GOG393175 GYC393107:GYC393175 HHY393107:HHY393175 HRU393107:HRU393175 IBQ393107:IBQ393175 ILM393107:ILM393175 IVI393107:IVI393175 JFE393107:JFE393175 JPA393107:JPA393175 JYW393107:JYW393175 KIS393107:KIS393175 KSO393107:KSO393175 LCK393107:LCK393175 LMG393107:LMG393175 LWC393107:LWC393175 MFY393107:MFY393175 MPU393107:MPU393175 MZQ393107:MZQ393175 NJM393107:NJM393175 NTI393107:NTI393175 ODE393107:ODE393175 ONA393107:ONA393175 OWW393107:OWW393175 PGS393107:PGS393175 PQO393107:PQO393175 QAK393107:QAK393175 QKG393107:QKG393175 QUC393107:QUC393175 RDY393107:RDY393175 RNU393107:RNU393175 RXQ393107:RXQ393175 SHM393107:SHM393175 SRI393107:SRI393175 TBE393107:TBE393175 TLA393107:TLA393175 TUW393107:TUW393175 UES393107:UES393175 UOO393107:UOO393175 UYK393107:UYK393175 VIG393107:VIG393175 VSC393107:VSC393175 WBY393107:WBY393175 WLU393107:WLU393175 WVQ393107:WVQ393175 I458643:I458711 JE458643:JE458711 TA458643:TA458711 ACW458643:ACW458711 AMS458643:AMS458711 AWO458643:AWO458711 BGK458643:BGK458711 BQG458643:BQG458711 CAC458643:CAC458711 CJY458643:CJY458711 CTU458643:CTU458711 DDQ458643:DDQ458711 DNM458643:DNM458711 DXI458643:DXI458711 EHE458643:EHE458711 ERA458643:ERA458711 FAW458643:FAW458711 FKS458643:FKS458711 FUO458643:FUO458711 GEK458643:GEK458711 GOG458643:GOG458711 GYC458643:GYC458711 HHY458643:HHY458711 HRU458643:HRU458711 IBQ458643:IBQ458711 ILM458643:ILM458711 IVI458643:IVI458711 JFE458643:JFE458711 JPA458643:JPA458711 JYW458643:JYW458711 KIS458643:KIS458711 KSO458643:KSO458711 LCK458643:LCK458711 LMG458643:LMG458711 LWC458643:LWC458711 MFY458643:MFY458711 MPU458643:MPU458711 MZQ458643:MZQ458711 NJM458643:NJM458711 NTI458643:NTI458711 ODE458643:ODE458711 ONA458643:ONA458711 OWW458643:OWW458711 PGS458643:PGS458711 PQO458643:PQO458711 QAK458643:QAK458711 QKG458643:QKG458711 QUC458643:QUC458711 RDY458643:RDY458711 RNU458643:RNU458711 RXQ458643:RXQ458711 SHM458643:SHM458711 SRI458643:SRI458711 TBE458643:TBE458711 TLA458643:TLA458711 TUW458643:TUW458711 UES458643:UES458711 UOO458643:UOO458711 UYK458643:UYK458711 VIG458643:VIG458711 VSC458643:VSC458711 WBY458643:WBY458711 WLU458643:WLU458711 WVQ458643:WVQ458711 I524179:I524247 JE524179:JE524247 TA524179:TA524247 ACW524179:ACW524247 AMS524179:AMS524247 AWO524179:AWO524247 BGK524179:BGK524247 BQG524179:BQG524247 CAC524179:CAC524247 CJY524179:CJY524247 CTU524179:CTU524247 DDQ524179:DDQ524247 DNM524179:DNM524247 DXI524179:DXI524247 EHE524179:EHE524247 ERA524179:ERA524247 FAW524179:FAW524247 FKS524179:FKS524247 FUO524179:FUO524247 GEK524179:GEK524247 GOG524179:GOG524247 GYC524179:GYC524247 HHY524179:HHY524247 HRU524179:HRU524247 IBQ524179:IBQ524247 ILM524179:ILM524247 IVI524179:IVI524247 JFE524179:JFE524247 JPA524179:JPA524247 JYW524179:JYW524247 KIS524179:KIS524247 KSO524179:KSO524247 LCK524179:LCK524247 LMG524179:LMG524247 LWC524179:LWC524247 MFY524179:MFY524247 MPU524179:MPU524247 MZQ524179:MZQ524247 NJM524179:NJM524247 NTI524179:NTI524247 ODE524179:ODE524247 ONA524179:ONA524247 OWW524179:OWW524247 PGS524179:PGS524247 PQO524179:PQO524247 QAK524179:QAK524247 QKG524179:QKG524247 QUC524179:QUC524247 RDY524179:RDY524247 RNU524179:RNU524247 RXQ524179:RXQ524247 SHM524179:SHM524247 SRI524179:SRI524247 TBE524179:TBE524247 TLA524179:TLA524247 TUW524179:TUW524247 UES524179:UES524247 UOO524179:UOO524247 UYK524179:UYK524247 VIG524179:VIG524247 VSC524179:VSC524247 WBY524179:WBY524247 WLU524179:WLU524247 WVQ524179:WVQ524247 I589715:I589783 JE589715:JE589783 TA589715:TA589783 ACW589715:ACW589783 AMS589715:AMS589783 AWO589715:AWO589783 BGK589715:BGK589783 BQG589715:BQG589783 CAC589715:CAC589783 CJY589715:CJY589783 CTU589715:CTU589783 DDQ589715:DDQ589783 DNM589715:DNM589783 DXI589715:DXI589783 EHE589715:EHE589783 ERA589715:ERA589783 FAW589715:FAW589783 FKS589715:FKS589783 FUO589715:FUO589783 GEK589715:GEK589783 GOG589715:GOG589783 GYC589715:GYC589783 HHY589715:HHY589783 HRU589715:HRU589783 IBQ589715:IBQ589783 ILM589715:ILM589783 IVI589715:IVI589783 JFE589715:JFE589783 JPA589715:JPA589783 JYW589715:JYW589783 KIS589715:KIS589783 KSO589715:KSO589783 LCK589715:LCK589783 LMG589715:LMG589783 LWC589715:LWC589783 MFY589715:MFY589783 MPU589715:MPU589783 MZQ589715:MZQ589783 NJM589715:NJM589783 NTI589715:NTI589783 ODE589715:ODE589783 ONA589715:ONA589783 OWW589715:OWW589783 PGS589715:PGS589783 PQO589715:PQO589783 QAK589715:QAK589783 QKG589715:QKG589783 QUC589715:QUC589783 RDY589715:RDY589783 RNU589715:RNU589783 RXQ589715:RXQ589783 SHM589715:SHM589783 SRI589715:SRI589783 TBE589715:TBE589783 TLA589715:TLA589783 TUW589715:TUW589783 UES589715:UES589783 UOO589715:UOO589783 UYK589715:UYK589783 VIG589715:VIG589783 VSC589715:VSC589783 WBY589715:WBY589783 WLU589715:WLU589783 WVQ589715:WVQ589783 I655251:I655319 JE655251:JE655319 TA655251:TA655319 ACW655251:ACW655319 AMS655251:AMS655319 AWO655251:AWO655319 BGK655251:BGK655319 BQG655251:BQG655319 CAC655251:CAC655319 CJY655251:CJY655319 CTU655251:CTU655319 DDQ655251:DDQ655319 DNM655251:DNM655319 DXI655251:DXI655319 EHE655251:EHE655319 ERA655251:ERA655319 FAW655251:FAW655319 FKS655251:FKS655319 FUO655251:FUO655319 GEK655251:GEK655319 GOG655251:GOG655319 GYC655251:GYC655319 HHY655251:HHY655319 HRU655251:HRU655319 IBQ655251:IBQ655319 ILM655251:ILM655319 IVI655251:IVI655319 JFE655251:JFE655319 JPA655251:JPA655319 JYW655251:JYW655319 KIS655251:KIS655319 KSO655251:KSO655319 LCK655251:LCK655319 LMG655251:LMG655319 LWC655251:LWC655319 MFY655251:MFY655319 MPU655251:MPU655319 MZQ655251:MZQ655319 NJM655251:NJM655319 NTI655251:NTI655319 ODE655251:ODE655319 ONA655251:ONA655319 OWW655251:OWW655319 PGS655251:PGS655319 PQO655251:PQO655319 QAK655251:QAK655319 QKG655251:QKG655319 QUC655251:QUC655319 RDY655251:RDY655319 RNU655251:RNU655319 RXQ655251:RXQ655319 SHM655251:SHM655319 SRI655251:SRI655319 TBE655251:TBE655319 TLA655251:TLA655319 TUW655251:TUW655319 UES655251:UES655319 UOO655251:UOO655319 UYK655251:UYK655319 VIG655251:VIG655319 VSC655251:VSC655319 WBY655251:WBY655319 WLU655251:WLU655319 WVQ655251:WVQ655319 I720787:I720855 JE720787:JE720855 TA720787:TA720855 ACW720787:ACW720855 AMS720787:AMS720855 AWO720787:AWO720855 BGK720787:BGK720855 BQG720787:BQG720855 CAC720787:CAC720855 CJY720787:CJY720855 CTU720787:CTU720855 DDQ720787:DDQ720855 DNM720787:DNM720855 DXI720787:DXI720855 EHE720787:EHE720855 ERA720787:ERA720855 FAW720787:FAW720855 FKS720787:FKS720855 FUO720787:FUO720855 GEK720787:GEK720855 GOG720787:GOG720855 GYC720787:GYC720855 HHY720787:HHY720855 HRU720787:HRU720855 IBQ720787:IBQ720855 ILM720787:ILM720855 IVI720787:IVI720855 JFE720787:JFE720855 JPA720787:JPA720855 JYW720787:JYW720855 KIS720787:KIS720855 KSO720787:KSO720855 LCK720787:LCK720855 LMG720787:LMG720855 LWC720787:LWC720855 MFY720787:MFY720855 MPU720787:MPU720855 MZQ720787:MZQ720855 NJM720787:NJM720855 NTI720787:NTI720855 ODE720787:ODE720855 ONA720787:ONA720855 OWW720787:OWW720855 PGS720787:PGS720855 PQO720787:PQO720855 QAK720787:QAK720855 QKG720787:QKG720855 QUC720787:QUC720855 RDY720787:RDY720855 RNU720787:RNU720855 RXQ720787:RXQ720855 SHM720787:SHM720855 SRI720787:SRI720855 TBE720787:TBE720855 TLA720787:TLA720855 TUW720787:TUW720855 UES720787:UES720855 UOO720787:UOO720855 UYK720787:UYK720855 VIG720787:VIG720855 VSC720787:VSC720855 WBY720787:WBY720855 WLU720787:WLU720855 WVQ720787:WVQ720855 I786323:I786391 JE786323:JE786391 TA786323:TA786391 ACW786323:ACW786391 AMS786323:AMS786391 AWO786323:AWO786391 BGK786323:BGK786391 BQG786323:BQG786391 CAC786323:CAC786391 CJY786323:CJY786391 CTU786323:CTU786391 DDQ786323:DDQ786391 DNM786323:DNM786391 DXI786323:DXI786391 EHE786323:EHE786391 ERA786323:ERA786391 FAW786323:FAW786391 FKS786323:FKS786391 FUO786323:FUO786391 GEK786323:GEK786391 GOG786323:GOG786391 GYC786323:GYC786391 HHY786323:HHY786391 HRU786323:HRU786391 IBQ786323:IBQ786391 ILM786323:ILM786391 IVI786323:IVI786391 JFE786323:JFE786391 JPA786323:JPA786391 JYW786323:JYW786391 KIS786323:KIS786391 KSO786323:KSO786391 LCK786323:LCK786391 LMG786323:LMG786391 LWC786323:LWC786391 MFY786323:MFY786391 MPU786323:MPU786391 MZQ786323:MZQ786391 NJM786323:NJM786391 NTI786323:NTI786391 ODE786323:ODE786391 ONA786323:ONA786391 OWW786323:OWW786391 PGS786323:PGS786391 PQO786323:PQO786391 QAK786323:QAK786391 QKG786323:QKG786391 QUC786323:QUC786391 RDY786323:RDY786391 RNU786323:RNU786391 RXQ786323:RXQ786391 SHM786323:SHM786391 SRI786323:SRI786391 TBE786323:TBE786391 TLA786323:TLA786391 TUW786323:TUW786391 UES786323:UES786391 UOO786323:UOO786391 UYK786323:UYK786391 VIG786323:VIG786391 VSC786323:VSC786391 WBY786323:WBY786391 WLU786323:WLU786391 WVQ786323:WVQ786391 I851859:I851927 JE851859:JE851927 TA851859:TA851927 ACW851859:ACW851927 AMS851859:AMS851927 AWO851859:AWO851927 BGK851859:BGK851927 BQG851859:BQG851927 CAC851859:CAC851927 CJY851859:CJY851927 CTU851859:CTU851927 DDQ851859:DDQ851927 DNM851859:DNM851927 DXI851859:DXI851927 EHE851859:EHE851927 ERA851859:ERA851927 FAW851859:FAW851927 FKS851859:FKS851927 FUO851859:FUO851927 GEK851859:GEK851927 GOG851859:GOG851927 GYC851859:GYC851927 HHY851859:HHY851927 HRU851859:HRU851927 IBQ851859:IBQ851927 ILM851859:ILM851927 IVI851859:IVI851927 JFE851859:JFE851927 JPA851859:JPA851927 JYW851859:JYW851927 KIS851859:KIS851927 KSO851859:KSO851927 LCK851859:LCK851927 LMG851859:LMG851927 LWC851859:LWC851927 MFY851859:MFY851927 MPU851859:MPU851927 MZQ851859:MZQ851927 NJM851859:NJM851927 NTI851859:NTI851927 ODE851859:ODE851927 ONA851859:ONA851927 OWW851859:OWW851927 PGS851859:PGS851927 PQO851859:PQO851927 QAK851859:QAK851927 QKG851859:QKG851927 QUC851859:QUC851927 RDY851859:RDY851927 RNU851859:RNU851927 RXQ851859:RXQ851927 SHM851859:SHM851927 SRI851859:SRI851927 TBE851859:TBE851927 TLA851859:TLA851927 TUW851859:TUW851927 UES851859:UES851927 UOO851859:UOO851927 UYK851859:UYK851927 VIG851859:VIG851927 VSC851859:VSC851927 WBY851859:WBY851927 WLU851859:WLU851927 WVQ851859:WVQ851927 I917395:I917463 JE917395:JE917463 TA917395:TA917463 ACW917395:ACW917463 AMS917395:AMS917463 AWO917395:AWO917463 BGK917395:BGK917463 BQG917395:BQG917463 CAC917395:CAC917463 CJY917395:CJY917463 CTU917395:CTU917463 DDQ917395:DDQ917463 DNM917395:DNM917463 DXI917395:DXI917463 EHE917395:EHE917463 ERA917395:ERA917463 FAW917395:FAW917463 FKS917395:FKS917463 FUO917395:FUO917463 GEK917395:GEK917463 GOG917395:GOG917463 GYC917395:GYC917463 HHY917395:HHY917463 HRU917395:HRU917463 IBQ917395:IBQ917463 ILM917395:ILM917463 IVI917395:IVI917463 JFE917395:JFE917463 JPA917395:JPA917463 JYW917395:JYW917463 KIS917395:KIS917463 KSO917395:KSO917463 LCK917395:LCK917463 LMG917395:LMG917463 LWC917395:LWC917463 MFY917395:MFY917463 MPU917395:MPU917463 MZQ917395:MZQ917463 NJM917395:NJM917463 NTI917395:NTI917463 ODE917395:ODE917463 ONA917395:ONA917463 OWW917395:OWW917463 PGS917395:PGS917463 PQO917395:PQO917463 QAK917395:QAK917463 QKG917395:QKG917463 QUC917395:QUC917463 RDY917395:RDY917463 RNU917395:RNU917463 RXQ917395:RXQ917463 SHM917395:SHM917463 SRI917395:SRI917463 TBE917395:TBE917463 TLA917395:TLA917463 TUW917395:TUW917463 UES917395:UES917463 UOO917395:UOO917463 UYK917395:UYK917463 VIG917395:VIG917463 VSC917395:VSC917463 WBY917395:WBY917463 WLU917395:WLU917463 WVQ917395:WVQ917463 I982931:I982999 JE982931:JE982999 TA982931:TA982999 ACW982931:ACW982999 AMS982931:AMS982999 AWO982931:AWO982999 BGK982931:BGK982999 BQG982931:BQG982999 CAC982931:CAC982999 CJY982931:CJY982999 CTU982931:CTU982999 DDQ982931:DDQ982999 DNM982931:DNM982999 DXI982931:DXI982999 EHE982931:EHE982999 ERA982931:ERA982999 FAW982931:FAW982999 FKS982931:FKS982999 FUO982931:FUO982999 GEK982931:GEK982999 GOG982931:GOG982999 GYC982931:GYC982999 HHY982931:HHY982999 HRU982931:HRU982999 IBQ982931:IBQ982999 ILM982931:ILM982999 IVI982931:IVI982999 JFE982931:JFE982999 JPA982931:JPA982999 JYW982931:JYW982999 KIS982931:KIS982999 KSO982931:KSO982999 LCK982931:LCK982999 LMG982931:LMG982999 LWC982931:LWC982999 MFY982931:MFY982999 MPU982931:MPU982999 MZQ982931:MZQ982999 NJM982931:NJM982999 NTI982931:NTI982999 ODE982931:ODE982999 ONA982931:ONA982999 OWW982931:OWW982999 PGS982931:PGS982999 PQO982931:PQO982999 QAK982931:QAK982999 QKG982931:QKG982999 QUC982931:QUC982999 RDY982931:RDY982999 RNU982931:RNU982999 RXQ982931:RXQ982999 SHM982931:SHM982999 SRI982931:SRI982999 TBE982931:TBE982999 TLA982931:TLA982999 TUW982931:TUW982999 UES982931:UES982999 UOO982931:UOO982999 UYK982931:UYK982999 VIG982931:VIG982999 VSC982931:VSC982999 WBY982931:WBY982999 WLU982931:WLU982999 WVQ982931:WVQ982999 I21:I36 JE21:JE36 TA21:TA36 ACW21:ACW36 AMS21:AMS36 AWO21:AWO36 BGK21:BGK36 BQG21:BQG36 CAC21:CAC36 CJY21:CJY36 CTU21:CTU36 DDQ21:DDQ36 DNM21:DNM36 DXI21:DXI36 EHE21:EHE36 ERA21:ERA36 FAW21:FAW36 FKS21:FKS36 FUO21:FUO36 GEK21:GEK36 GOG21:GOG36 GYC21:GYC36 HHY21:HHY36 HRU21:HRU36 IBQ21:IBQ36 ILM21:ILM36 IVI21:IVI36 JFE21:JFE36 JPA21:JPA36 JYW21:JYW36 KIS21:KIS36 KSO21:KSO36 LCK21:LCK36 LMG21:LMG36 LWC21:LWC36 MFY21:MFY36 MPU21:MPU36 MZQ21:MZQ36 NJM21:NJM36 NTI21:NTI36 ODE21:ODE36 ONA21:ONA36 OWW21:OWW36 PGS21:PGS36 PQO21:PQO36 QAK21:QAK36 QKG21:QKG36 QUC21:QUC36 RDY21:RDY36 RNU21:RNU36 RXQ21:RXQ36 SHM21:SHM36 SRI21:SRI36 TBE21:TBE36 TLA21:TLA36 TUW21:TUW36 UES21:UES36 UOO21:UOO36 UYK21:UYK36 VIG21:VIG36 VSC21:VSC36 WBY21:WBY36 WLU21:WLU36 WVQ21:WVQ36 WVQ38:WVQ85 WLU38:WLU85 WBY38:WBY85 VSC38:VSC85 VIG38:VIG85 UYK38:UYK85 UOO38:UOO85 UES38:UES85 TUW38:TUW85 TLA38:TLA85 TBE38:TBE85 SRI38:SRI85 SHM38:SHM85 RXQ38:RXQ85 RNU38:RNU85 RDY38:RDY85 QUC38:QUC85 QKG38:QKG85 QAK38:QAK85 PQO38:PQO85 PGS38:PGS85 OWW38:OWW85 ONA38:ONA85 ODE38:ODE85 NTI38:NTI85 NJM38:NJM85 MZQ38:MZQ85 MPU38:MPU85 MFY38:MFY85 LWC38:LWC85 LMG38:LMG85 LCK38:LCK85 KSO38:KSO85 KIS38:KIS85 JYW38:JYW85 JPA38:JPA85 JFE38:JFE85 IVI38:IVI85 ILM38:ILM85 IBQ38:IBQ85 HRU38:HRU85 HHY38:HHY85 GYC38:GYC85 GOG38:GOG85 GEK38:GEK85 FUO38:FUO85 FKS38:FKS85 FAW38:FAW85 ERA38:ERA85 EHE38:EHE85 DXI38:DXI85 DNM38:DNM85 DDQ38:DDQ85 CTU38:CTU85 CJY38:CJY85 CAC38:CAC85 BQG38:BQG85 BGK38:BGK85 AWO38:AWO85 AMS38:AMS85 ACW38:ACW85 TA38:TA85 JE38:JE85 I9:I19 JE9:JE19 TA9:TA19 ACW9:ACW19 AMS9:AMS19 AWO9:AWO19 BGK9:BGK19 BQG9:BQG19 CAC9:CAC19 CJY9:CJY19 CTU9:CTU19 DDQ9:DDQ19 DNM9:DNM19 DXI9:DXI19 EHE9:EHE19 ERA9:ERA19 FAW9:FAW19 FKS9:FKS19 FUO9:FUO19 GEK9:GEK19 GOG9:GOG19 GYC9:GYC19 HHY9:HHY19 HRU9:HRU19 IBQ9:IBQ19 ILM9:ILM19 IVI9:IVI19 JFE9:JFE19 JPA9:JPA19 JYW9:JYW19 KIS9:KIS19 KSO9:KSO19 LCK9:LCK19 LMG9:LMG19 LWC9:LWC19 MFY9:MFY19 MPU9:MPU19 MZQ9:MZQ19 NJM9:NJM19 NTI9:NTI19 ODE9:ODE19 ONA9:ONA19 OWW9:OWW19 PGS9:PGS19 PQO9:PQO19 QAK9:QAK19 QKG9:QKG19 QUC9:QUC19 RDY9:RDY19 RNU9:RNU19 RXQ9:RXQ19 SHM9:SHM19 SRI9:SRI19 TBE9:TBE19 TLA9:TLA19 TUW9:TUW19 UES9:UES19 UOO9:UOO19 UYK9:UYK19 VIG9:VIG19 VSC9:VSC19 WBY9:WBY19 WLU9:WLU19 I38:I85">
      <formula1>"6,8,10,12,14,16,18,20,22,25,28,32"</formula1>
    </dataValidation>
  </dataValidations>
  <printOptions horizontalCentered="1"/>
  <pageMargins left="0.39370078740157483" right="0.19685039370078741" top="0.51181102362204722" bottom="0.47244094488188981" header="0.35433070866141736" footer="0.19685039370078741"/>
  <pageSetup paperSize="9" scale="98" orientation="landscape" blackAndWhite="1" r:id="rId1"/>
  <colBreaks count="1" manualBreakCount="1">
    <brk id="28" max="1048575" man="1"/>
  </col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P103"/>
  <sheetViews>
    <sheetView topLeftCell="A16" zoomScale="120" zoomScaleNormal="120" workbookViewId="0">
      <selection activeCell="U8" activeCellId="1" sqref="S8 U8"/>
    </sheetView>
  </sheetViews>
  <sheetFormatPr defaultRowHeight="12.75" outlineLevelRow="1" outlineLevelCol="1" x14ac:dyDescent="0.25"/>
  <cols>
    <col min="1" max="1" width="3.5703125" style="50" bestFit="1" customWidth="1"/>
    <col min="2" max="2" width="47.7109375" style="1" customWidth="1"/>
    <col min="3" max="3" width="6.42578125" style="4" customWidth="1" outlineLevel="1"/>
    <col min="4" max="4" width="6.28515625" style="4" bestFit="1" customWidth="1"/>
    <col min="5" max="5" width="6.140625" style="5" customWidth="1" outlineLevel="1"/>
    <col min="6" max="6" width="5.85546875" style="5" customWidth="1" outlineLevel="1"/>
    <col min="7" max="7" width="5.7109375" style="5" customWidth="1" outlineLevel="1"/>
    <col min="8" max="8" width="6" style="5" customWidth="1" outlineLevel="1"/>
    <col min="9" max="9" width="8.28515625" style="5" bestFit="1" customWidth="1"/>
    <col min="10" max="10" width="22.140625" style="6" customWidth="1" outlineLevel="1"/>
    <col min="11" max="11" width="7.5703125" style="1" bestFit="1" customWidth="1"/>
    <col min="12" max="12" width="8" style="1" bestFit="1" customWidth="1"/>
    <col min="13" max="13" width="7.85546875" style="1" bestFit="1" customWidth="1"/>
    <col min="14" max="14" width="4.42578125" style="1" bestFit="1" customWidth="1"/>
    <col min="15" max="15" width="4.7109375" style="1" bestFit="1" customWidth="1"/>
    <col min="16" max="16" width="5.140625" style="1" bestFit="1" customWidth="1"/>
    <col min="17" max="254" width="9.140625" style="1"/>
    <col min="255" max="255" width="3.5703125" style="1" bestFit="1" customWidth="1"/>
    <col min="256" max="256" width="8.7109375" style="1" customWidth="1"/>
    <col min="257" max="257" width="54" style="1" customWidth="1"/>
    <col min="258" max="258" width="6.42578125" style="1" customWidth="1"/>
    <col min="259" max="259" width="7" style="1" customWidth="1"/>
    <col min="260" max="260" width="6.28515625" style="1" bestFit="1" customWidth="1"/>
    <col min="261" max="261" width="4.5703125" style="1" customWidth="1"/>
    <col min="262" max="262" width="7" style="1" customWidth="1"/>
    <col min="263" max="263" width="5.7109375" style="1" customWidth="1"/>
    <col min="264" max="264" width="6" style="1" customWidth="1"/>
    <col min="265" max="265" width="8.28515625" style="1" bestFit="1" customWidth="1"/>
    <col min="266" max="266" width="22.140625" style="1" customWidth="1"/>
    <col min="267" max="268" width="7.5703125" style="1" bestFit="1" customWidth="1"/>
    <col min="269" max="269" width="7.85546875" style="1" bestFit="1" customWidth="1"/>
    <col min="270" max="270" width="4.42578125" style="1" bestFit="1" customWidth="1"/>
    <col min="271" max="271" width="4.7109375" style="1" bestFit="1" customWidth="1"/>
    <col min="272" max="272" width="5.140625" style="1" bestFit="1" customWidth="1"/>
    <col min="273" max="510" width="9.140625" style="1"/>
    <col min="511" max="511" width="3.5703125" style="1" bestFit="1" customWidth="1"/>
    <col min="512" max="512" width="8.7109375" style="1" customWidth="1"/>
    <col min="513" max="513" width="54" style="1" customWidth="1"/>
    <col min="514" max="514" width="6.42578125" style="1" customWidth="1"/>
    <col min="515" max="515" width="7" style="1" customWidth="1"/>
    <col min="516" max="516" width="6.28515625" style="1" bestFit="1" customWidth="1"/>
    <col min="517" max="517" width="4.5703125" style="1" customWidth="1"/>
    <col min="518" max="518" width="7" style="1" customWidth="1"/>
    <col min="519" max="519" width="5.7109375" style="1" customWidth="1"/>
    <col min="520" max="520" width="6" style="1" customWidth="1"/>
    <col min="521" max="521" width="8.28515625" style="1" bestFit="1" customWidth="1"/>
    <col min="522" max="522" width="22.140625" style="1" customWidth="1"/>
    <col min="523" max="524" width="7.5703125" style="1" bestFit="1" customWidth="1"/>
    <col min="525" max="525" width="7.85546875" style="1" bestFit="1" customWidth="1"/>
    <col min="526" max="526" width="4.42578125" style="1" bestFit="1" customWidth="1"/>
    <col min="527" max="527" width="4.7109375" style="1" bestFit="1" customWidth="1"/>
    <col min="528" max="528" width="5.140625" style="1" bestFit="1" customWidth="1"/>
    <col min="529" max="766" width="9.140625" style="1"/>
    <col min="767" max="767" width="3.5703125" style="1" bestFit="1" customWidth="1"/>
    <col min="768" max="768" width="8.7109375" style="1" customWidth="1"/>
    <col min="769" max="769" width="54" style="1" customWidth="1"/>
    <col min="770" max="770" width="6.42578125" style="1" customWidth="1"/>
    <col min="771" max="771" width="7" style="1" customWidth="1"/>
    <col min="772" max="772" width="6.28515625" style="1" bestFit="1" customWidth="1"/>
    <col min="773" max="773" width="4.5703125" style="1" customWidth="1"/>
    <col min="774" max="774" width="7" style="1" customWidth="1"/>
    <col min="775" max="775" width="5.7109375" style="1" customWidth="1"/>
    <col min="776" max="776" width="6" style="1" customWidth="1"/>
    <col min="777" max="777" width="8.28515625" style="1" bestFit="1" customWidth="1"/>
    <col min="778" max="778" width="22.140625" style="1" customWidth="1"/>
    <col min="779" max="780" width="7.5703125" style="1" bestFit="1" customWidth="1"/>
    <col min="781" max="781" width="7.85546875" style="1" bestFit="1" customWidth="1"/>
    <col min="782" max="782" width="4.42578125" style="1" bestFit="1" customWidth="1"/>
    <col min="783" max="783" width="4.7109375" style="1" bestFit="1" customWidth="1"/>
    <col min="784" max="784" width="5.140625" style="1" bestFit="1" customWidth="1"/>
    <col min="785" max="1022" width="9.140625" style="1"/>
    <col min="1023" max="1023" width="3.5703125" style="1" bestFit="1" customWidth="1"/>
    <col min="1024" max="1024" width="8.7109375" style="1" customWidth="1"/>
    <col min="1025" max="1025" width="54" style="1" customWidth="1"/>
    <col min="1026" max="1026" width="6.42578125" style="1" customWidth="1"/>
    <col min="1027" max="1027" width="7" style="1" customWidth="1"/>
    <col min="1028" max="1028" width="6.28515625" style="1" bestFit="1" customWidth="1"/>
    <col min="1029" max="1029" width="4.5703125" style="1" customWidth="1"/>
    <col min="1030" max="1030" width="7" style="1" customWidth="1"/>
    <col min="1031" max="1031" width="5.7109375" style="1" customWidth="1"/>
    <col min="1032" max="1032" width="6" style="1" customWidth="1"/>
    <col min="1033" max="1033" width="8.28515625" style="1" bestFit="1" customWidth="1"/>
    <col min="1034" max="1034" width="22.140625" style="1" customWidth="1"/>
    <col min="1035" max="1036" width="7.5703125" style="1" bestFit="1" customWidth="1"/>
    <col min="1037" max="1037" width="7.85546875" style="1" bestFit="1" customWidth="1"/>
    <col min="1038" max="1038" width="4.42578125" style="1" bestFit="1" customWidth="1"/>
    <col min="1039" max="1039" width="4.7109375" style="1" bestFit="1" customWidth="1"/>
    <col min="1040" max="1040" width="5.140625" style="1" bestFit="1" customWidth="1"/>
    <col min="1041" max="1278" width="9.140625" style="1"/>
    <col min="1279" max="1279" width="3.5703125" style="1" bestFit="1" customWidth="1"/>
    <col min="1280" max="1280" width="8.7109375" style="1" customWidth="1"/>
    <col min="1281" max="1281" width="54" style="1" customWidth="1"/>
    <col min="1282" max="1282" width="6.42578125" style="1" customWidth="1"/>
    <col min="1283" max="1283" width="7" style="1" customWidth="1"/>
    <col min="1284" max="1284" width="6.28515625" style="1" bestFit="1" customWidth="1"/>
    <col min="1285" max="1285" width="4.5703125" style="1" customWidth="1"/>
    <col min="1286" max="1286" width="7" style="1" customWidth="1"/>
    <col min="1287" max="1287" width="5.7109375" style="1" customWidth="1"/>
    <col min="1288" max="1288" width="6" style="1" customWidth="1"/>
    <col min="1289" max="1289" width="8.28515625" style="1" bestFit="1" customWidth="1"/>
    <col min="1290" max="1290" width="22.140625" style="1" customWidth="1"/>
    <col min="1291" max="1292" width="7.5703125" style="1" bestFit="1" customWidth="1"/>
    <col min="1293" max="1293" width="7.85546875" style="1" bestFit="1" customWidth="1"/>
    <col min="1294" max="1294" width="4.42578125" style="1" bestFit="1" customWidth="1"/>
    <col min="1295" max="1295" width="4.7109375" style="1" bestFit="1" customWidth="1"/>
    <col min="1296" max="1296" width="5.140625" style="1" bestFit="1" customWidth="1"/>
    <col min="1297" max="1534" width="9.140625" style="1"/>
    <col min="1535" max="1535" width="3.5703125" style="1" bestFit="1" customWidth="1"/>
    <col min="1536" max="1536" width="8.7109375" style="1" customWidth="1"/>
    <col min="1537" max="1537" width="54" style="1" customWidth="1"/>
    <col min="1538" max="1538" width="6.42578125" style="1" customWidth="1"/>
    <col min="1539" max="1539" width="7" style="1" customWidth="1"/>
    <col min="1540" max="1540" width="6.28515625" style="1" bestFit="1" customWidth="1"/>
    <col min="1541" max="1541" width="4.5703125" style="1" customWidth="1"/>
    <col min="1542" max="1542" width="7" style="1" customWidth="1"/>
    <col min="1543" max="1543" width="5.7109375" style="1" customWidth="1"/>
    <col min="1544" max="1544" width="6" style="1" customWidth="1"/>
    <col min="1545" max="1545" width="8.28515625" style="1" bestFit="1" customWidth="1"/>
    <col min="1546" max="1546" width="22.140625" style="1" customWidth="1"/>
    <col min="1547" max="1548" width="7.5703125" style="1" bestFit="1" customWidth="1"/>
    <col min="1549" max="1549" width="7.85546875" style="1" bestFit="1" customWidth="1"/>
    <col min="1550" max="1550" width="4.42578125" style="1" bestFit="1" customWidth="1"/>
    <col min="1551" max="1551" width="4.7109375" style="1" bestFit="1" customWidth="1"/>
    <col min="1552" max="1552" width="5.140625" style="1" bestFit="1" customWidth="1"/>
    <col min="1553" max="1790" width="9.140625" style="1"/>
    <col min="1791" max="1791" width="3.5703125" style="1" bestFit="1" customWidth="1"/>
    <col min="1792" max="1792" width="8.7109375" style="1" customWidth="1"/>
    <col min="1793" max="1793" width="54" style="1" customWidth="1"/>
    <col min="1794" max="1794" width="6.42578125" style="1" customWidth="1"/>
    <col min="1795" max="1795" width="7" style="1" customWidth="1"/>
    <col min="1796" max="1796" width="6.28515625" style="1" bestFit="1" customWidth="1"/>
    <col min="1797" max="1797" width="4.5703125" style="1" customWidth="1"/>
    <col min="1798" max="1798" width="7" style="1" customWidth="1"/>
    <col min="1799" max="1799" width="5.7109375" style="1" customWidth="1"/>
    <col min="1800" max="1800" width="6" style="1" customWidth="1"/>
    <col min="1801" max="1801" width="8.28515625" style="1" bestFit="1" customWidth="1"/>
    <col min="1802" max="1802" width="22.140625" style="1" customWidth="1"/>
    <col min="1803" max="1804" width="7.5703125" style="1" bestFit="1" customWidth="1"/>
    <col min="1805" max="1805" width="7.85546875" style="1" bestFit="1" customWidth="1"/>
    <col min="1806" max="1806" width="4.42578125" style="1" bestFit="1" customWidth="1"/>
    <col min="1807" max="1807" width="4.7109375" style="1" bestFit="1" customWidth="1"/>
    <col min="1808" max="1808" width="5.140625" style="1" bestFit="1" customWidth="1"/>
    <col min="1809" max="2046" width="9.140625" style="1"/>
    <col min="2047" max="2047" width="3.5703125" style="1" bestFit="1" customWidth="1"/>
    <col min="2048" max="2048" width="8.7109375" style="1" customWidth="1"/>
    <col min="2049" max="2049" width="54" style="1" customWidth="1"/>
    <col min="2050" max="2050" width="6.42578125" style="1" customWidth="1"/>
    <col min="2051" max="2051" width="7" style="1" customWidth="1"/>
    <col min="2052" max="2052" width="6.28515625" style="1" bestFit="1" customWidth="1"/>
    <col min="2053" max="2053" width="4.5703125" style="1" customWidth="1"/>
    <col min="2054" max="2054" width="7" style="1" customWidth="1"/>
    <col min="2055" max="2055" width="5.7109375" style="1" customWidth="1"/>
    <col min="2056" max="2056" width="6" style="1" customWidth="1"/>
    <col min="2057" max="2057" width="8.28515625" style="1" bestFit="1" customWidth="1"/>
    <col min="2058" max="2058" width="22.140625" style="1" customWidth="1"/>
    <col min="2059" max="2060" width="7.5703125" style="1" bestFit="1" customWidth="1"/>
    <col min="2061" max="2061" width="7.85546875" style="1" bestFit="1" customWidth="1"/>
    <col min="2062" max="2062" width="4.42578125" style="1" bestFit="1" customWidth="1"/>
    <col min="2063" max="2063" width="4.7109375" style="1" bestFit="1" customWidth="1"/>
    <col min="2064" max="2064" width="5.140625" style="1" bestFit="1" customWidth="1"/>
    <col min="2065" max="2302" width="9.140625" style="1"/>
    <col min="2303" max="2303" width="3.5703125" style="1" bestFit="1" customWidth="1"/>
    <col min="2304" max="2304" width="8.7109375" style="1" customWidth="1"/>
    <col min="2305" max="2305" width="54" style="1" customWidth="1"/>
    <col min="2306" max="2306" width="6.42578125" style="1" customWidth="1"/>
    <col min="2307" max="2307" width="7" style="1" customWidth="1"/>
    <col min="2308" max="2308" width="6.28515625" style="1" bestFit="1" customWidth="1"/>
    <col min="2309" max="2309" width="4.5703125" style="1" customWidth="1"/>
    <col min="2310" max="2310" width="7" style="1" customWidth="1"/>
    <col min="2311" max="2311" width="5.7109375" style="1" customWidth="1"/>
    <col min="2312" max="2312" width="6" style="1" customWidth="1"/>
    <col min="2313" max="2313" width="8.28515625" style="1" bestFit="1" customWidth="1"/>
    <col min="2314" max="2314" width="22.140625" style="1" customWidth="1"/>
    <col min="2315" max="2316" width="7.5703125" style="1" bestFit="1" customWidth="1"/>
    <col min="2317" max="2317" width="7.85546875" style="1" bestFit="1" customWidth="1"/>
    <col min="2318" max="2318" width="4.42578125" style="1" bestFit="1" customWidth="1"/>
    <col min="2319" max="2319" width="4.7109375" style="1" bestFit="1" customWidth="1"/>
    <col min="2320" max="2320" width="5.140625" style="1" bestFit="1" customWidth="1"/>
    <col min="2321" max="2558" width="9.140625" style="1"/>
    <col min="2559" max="2559" width="3.5703125" style="1" bestFit="1" customWidth="1"/>
    <col min="2560" max="2560" width="8.7109375" style="1" customWidth="1"/>
    <col min="2561" max="2561" width="54" style="1" customWidth="1"/>
    <col min="2562" max="2562" width="6.42578125" style="1" customWidth="1"/>
    <col min="2563" max="2563" width="7" style="1" customWidth="1"/>
    <col min="2564" max="2564" width="6.28515625" style="1" bestFit="1" customWidth="1"/>
    <col min="2565" max="2565" width="4.5703125" style="1" customWidth="1"/>
    <col min="2566" max="2566" width="7" style="1" customWidth="1"/>
    <col min="2567" max="2567" width="5.7109375" style="1" customWidth="1"/>
    <col min="2568" max="2568" width="6" style="1" customWidth="1"/>
    <col min="2569" max="2569" width="8.28515625" style="1" bestFit="1" customWidth="1"/>
    <col min="2570" max="2570" width="22.140625" style="1" customWidth="1"/>
    <col min="2571" max="2572" width="7.5703125" style="1" bestFit="1" customWidth="1"/>
    <col min="2573" max="2573" width="7.85546875" style="1" bestFit="1" customWidth="1"/>
    <col min="2574" max="2574" width="4.42578125" style="1" bestFit="1" customWidth="1"/>
    <col min="2575" max="2575" width="4.7109375" style="1" bestFit="1" customWidth="1"/>
    <col min="2576" max="2576" width="5.140625" style="1" bestFit="1" customWidth="1"/>
    <col min="2577" max="2814" width="9.140625" style="1"/>
    <col min="2815" max="2815" width="3.5703125" style="1" bestFit="1" customWidth="1"/>
    <col min="2816" max="2816" width="8.7109375" style="1" customWidth="1"/>
    <col min="2817" max="2817" width="54" style="1" customWidth="1"/>
    <col min="2818" max="2818" width="6.42578125" style="1" customWidth="1"/>
    <col min="2819" max="2819" width="7" style="1" customWidth="1"/>
    <col min="2820" max="2820" width="6.28515625" style="1" bestFit="1" customWidth="1"/>
    <col min="2821" max="2821" width="4.5703125" style="1" customWidth="1"/>
    <col min="2822" max="2822" width="7" style="1" customWidth="1"/>
    <col min="2823" max="2823" width="5.7109375" style="1" customWidth="1"/>
    <col min="2824" max="2824" width="6" style="1" customWidth="1"/>
    <col min="2825" max="2825" width="8.28515625" style="1" bestFit="1" customWidth="1"/>
    <col min="2826" max="2826" width="22.140625" style="1" customWidth="1"/>
    <col min="2827" max="2828" width="7.5703125" style="1" bestFit="1" customWidth="1"/>
    <col min="2829" max="2829" width="7.85546875" style="1" bestFit="1" customWidth="1"/>
    <col min="2830" max="2830" width="4.42578125" style="1" bestFit="1" customWidth="1"/>
    <col min="2831" max="2831" width="4.7109375" style="1" bestFit="1" customWidth="1"/>
    <col min="2832" max="2832" width="5.140625" style="1" bestFit="1" customWidth="1"/>
    <col min="2833" max="3070" width="9.140625" style="1"/>
    <col min="3071" max="3071" width="3.5703125" style="1" bestFit="1" customWidth="1"/>
    <col min="3072" max="3072" width="8.7109375" style="1" customWidth="1"/>
    <col min="3073" max="3073" width="54" style="1" customWidth="1"/>
    <col min="3074" max="3074" width="6.42578125" style="1" customWidth="1"/>
    <col min="3075" max="3075" width="7" style="1" customWidth="1"/>
    <col min="3076" max="3076" width="6.28515625" style="1" bestFit="1" customWidth="1"/>
    <col min="3077" max="3077" width="4.5703125" style="1" customWidth="1"/>
    <col min="3078" max="3078" width="7" style="1" customWidth="1"/>
    <col min="3079" max="3079" width="5.7109375" style="1" customWidth="1"/>
    <col min="3080" max="3080" width="6" style="1" customWidth="1"/>
    <col min="3081" max="3081" width="8.28515625" style="1" bestFit="1" customWidth="1"/>
    <col min="3082" max="3082" width="22.140625" style="1" customWidth="1"/>
    <col min="3083" max="3084" width="7.5703125" style="1" bestFit="1" customWidth="1"/>
    <col min="3085" max="3085" width="7.85546875" style="1" bestFit="1" customWidth="1"/>
    <col min="3086" max="3086" width="4.42578125" style="1" bestFit="1" customWidth="1"/>
    <col min="3087" max="3087" width="4.7109375" style="1" bestFit="1" customWidth="1"/>
    <col min="3088" max="3088" width="5.140625" style="1" bestFit="1" customWidth="1"/>
    <col min="3089" max="3326" width="9.140625" style="1"/>
    <col min="3327" max="3327" width="3.5703125" style="1" bestFit="1" customWidth="1"/>
    <col min="3328" max="3328" width="8.7109375" style="1" customWidth="1"/>
    <col min="3329" max="3329" width="54" style="1" customWidth="1"/>
    <col min="3330" max="3330" width="6.42578125" style="1" customWidth="1"/>
    <col min="3331" max="3331" width="7" style="1" customWidth="1"/>
    <col min="3332" max="3332" width="6.28515625" style="1" bestFit="1" customWidth="1"/>
    <col min="3333" max="3333" width="4.5703125" style="1" customWidth="1"/>
    <col min="3334" max="3334" width="7" style="1" customWidth="1"/>
    <col min="3335" max="3335" width="5.7109375" style="1" customWidth="1"/>
    <col min="3336" max="3336" width="6" style="1" customWidth="1"/>
    <col min="3337" max="3337" width="8.28515625" style="1" bestFit="1" customWidth="1"/>
    <col min="3338" max="3338" width="22.140625" style="1" customWidth="1"/>
    <col min="3339" max="3340" width="7.5703125" style="1" bestFit="1" customWidth="1"/>
    <col min="3341" max="3341" width="7.85546875" style="1" bestFit="1" customWidth="1"/>
    <col min="3342" max="3342" width="4.42578125" style="1" bestFit="1" customWidth="1"/>
    <col min="3343" max="3343" width="4.7109375" style="1" bestFit="1" customWidth="1"/>
    <col min="3344" max="3344" width="5.140625" style="1" bestFit="1" customWidth="1"/>
    <col min="3345" max="3582" width="9.140625" style="1"/>
    <col min="3583" max="3583" width="3.5703125" style="1" bestFit="1" customWidth="1"/>
    <col min="3584" max="3584" width="8.7109375" style="1" customWidth="1"/>
    <col min="3585" max="3585" width="54" style="1" customWidth="1"/>
    <col min="3586" max="3586" width="6.42578125" style="1" customWidth="1"/>
    <col min="3587" max="3587" width="7" style="1" customWidth="1"/>
    <col min="3588" max="3588" width="6.28515625" style="1" bestFit="1" customWidth="1"/>
    <col min="3589" max="3589" width="4.5703125" style="1" customWidth="1"/>
    <col min="3590" max="3590" width="7" style="1" customWidth="1"/>
    <col min="3591" max="3591" width="5.7109375" style="1" customWidth="1"/>
    <col min="3592" max="3592" width="6" style="1" customWidth="1"/>
    <col min="3593" max="3593" width="8.28515625" style="1" bestFit="1" customWidth="1"/>
    <col min="3594" max="3594" width="22.140625" style="1" customWidth="1"/>
    <col min="3595" max="3596" width="7.5703125" style="1" bestFit="1" customWidth="1"/>
    <col min="3597" max="3597" width="7.85546875" style="1" bestFit="1" customWidth="1"/>
    <col min="3598" max="3598" width="4.42578125" style="1" bestFit="1" customWidth="1"/>
    <col min="3599" max="3599" width="4.7109375" style="1" bestFit="1" customWidth="1"/>
    <col min="3600" max="3600" width="5.140625" style="1" bestFit="1" customWidth="1"/>
    <col min="3601" max="3838" width="9.140625" style="1"/>
    <col min="3839" max="3839" width="3.5703125" style="1" bestFit="1" customWidth="1"/>
    <col min="3840" max="3840" width="8.7109375" style="1" customWidth="1"/>
    <col min="3841" max="3841" width="54" style="1" customWidth="1"/>
    <col min="3842" max="3842" width="6.42578125" style="1" customWidth="1"/>
    <col min="3843" max="3843" width="7" style="1" customWidth="1"/>
    <col min="3844" max="3844" width="6.28515625" style="1" bestFit="1" customWidth="1"/>
    <col min="3845" max="3845" width="4.5703125" style="1" customWidth="1"/>
    <col min="3846" max="3846" width="7" style="1" customWidth="1"/>
    <col min="3847" max="3847" width="5.7109375" style="1" customWidth="1"/>
    <col min="3848" max="3848" width="6" style="1" customWidth="1"/>
    <col min="3849" max="3849" width="8.28515625" style="1" bestFit="1" customWidth="1"/>
    <col min="3850" max="3850" width="22.140625" style="1" customWidth="1"/>
    <col min="3851" max="3852" width="7.5703125" style="1" bestFit="1" customWidth="1"/>
    <col min="3853" max="3853" width="7.85546875" style="1" bestFit="1" customWidth="1"/>
    <col min="3854" max="3854" width="4.42578125" style="1" bestFit="1" customWidth="1"/>
    <col min="3855" max="3855" width="4.7109375" style="1" bestFit="1" customWidth="1"/>
    <col min="3856" max="3856" width="5.140625" style="1" bestFit="1" customWidth="1"/>
    <col min="3857" max="4094" width="9.140625" style="1"/>
    <col min="4095" max="4095" width="3.5703125" style="1" bestFit="1" customWidth="1"/>
    <col min="4096" max="4096" width="8.7109375" style="1" customWidth="1"/>
    <col min="4097" max="4097" width="54" style="1" customWidth="1"/>
    <col min="4098" max="4098" width="6.42578125" style="1" customWidth="1"/>
    <col min="4099" max="4099" width="7" style="1" customWidth="1"/>
    <col min="4100" max="4100" width="6.28515625" style="1" bestFit="1" customWidth="1"/>
    <col min="4101" max="4101" width="4.5703125" style="1" customWidth="1"/>
    <col min="4102" max="4102" width="7" style="1" customWidth="1"/>
    <col min="4103" max="4103" width="5.7109375" style="1" customWidth="1"/>
    <col min="4104" max="4104" width="6" style="1" customWidth="1"/>
    <col min="4105" max="4105" width="8.28515625" style="1" bestFit="1" customWidth="1"/>
    <col min="4106" max="4106" width="22.140625" style="1" customWidth="1"/>
    <col min="4107" max="4108" width="7.5703125" style="1" bestFit="1" customWidth="1"/>
    <col min="4109" max="4109" width="7.85546875" style="1" bestFit="1" customWidth="1"/>
    <col min="4110" max="4110" width="4.42578125" style="1" bestFit="1" customWidth="1"/>
    <col min="4111" max="4111" width="4.7109375" style="1" bestFit="1" customWidth="1"/>
    <col min="4112" max="4112" width="5.140625" style="1" bestFit="1" customWidth="1"/>
    <col min="4113" max="4350" width="9.140625" style="1"/>
    <col min="4351" max="4351" width="3.5703125" style="1" bestFit="1" customWidth="1"/>
    <col min="4352" max="4352" width="8.7109375" style="1" customWidth="1"/>
    <col min="4353" max="4353" width="54" style="1" customWidth="1"/>
    <col min="4354" max="4354" width="6.42578125" style="1" customWidth="1"/>
    <col min="4355" max="4355" width="7" style="1" customWidth="1"/>
    <col min="4356" max="4356" width="6.28515625" style="1" bestFit="1" customWidth="1"/>
    <col min="4357" max="4357" width="4.5703125" style="1" customWidth="1"/>
    <col min="4358" max="4358" width="7" style="1" customWidth="1"/>
    <col min="4359" max="4359" width="5.7109375" style="1" customWidth="1"/>
    <col min="4360" max="4360" width="6" style="1" customWidth="1"/>
    <col min="4361" max="4361" width="8.28515625" style="1" bestFit="1" customWidth="1"/>
    <col min="4362" max="4362" width="22.140625" style="1" customWidth="1"/>
    <col min="4363" max="4364" width="7.5703125" style="1" bestFit="1" customWidth="1"/>
    <col min="4365" max="4365" width="7.85546875" style="1" bestFit="1" customWidth="1"/>
    <col min="4366" max="4366" width="4.42578125" style="1" bestFit="1" customWidth="1"/>
    <col min="4367" max="4367" width="4.7109375" style="1" bestFit="1" customWidth="1"/>
    <col min="4368" max="4368" width="5.140625" style="1" bestFit="1" customWidth="1"/>
    <col min="4369" max="4606" width="9.140625" style="1"/>
    <col min="4607" max="4607" width="3.5703125" style="1" bestFit="1" customWidth="1"/>
    <col min="4608" max="4608" width="8.7109375" style="1" customWidth="1"/>
    <col min="4609" max="4609" width="54" style="1" customWidth="1"/>
    <col min="4610" max="4610" width="6.42578125" style="1" customWidth="1"/>
    <col min="4611" max="4611" width="7" style="1" customWidth="1"/>
    <col min="4612" max="4612" width="6.28515625" style="1" bestFit="1" customWidth="1"/>
    <col min="4613" max="4613" width="4.5703125" style="1" customWidth="1"/>
    <col min="4614" max="4614" width="7" style="1" customWidth="1"/>
    <col min="4615" max="4615" width="5.7109375" style="1" customWidth="1"/>
    <col min="4616" max="4616" width="6" style="1" customWidth="1"/>
    <col min="4617" max="4617" width="8.28515625" style="1" bestFit="1" customWidth="1"/>
    <col min="4618" max="4618" width="22.140625" style="1" customWidth="1"/>
    <col min="4619" max="4620" width="7.5703125" style="1" bestFit="1" customWidth="1"/>
    <col min="4621" max="4621" width="7.85546875" style="1" bestFit="1" customWidth="1"/>
    <col min="4622" max="4622" width="4.42578125" style="1" bestFit="1" customWidth="1"/>
    <col min="4623" max="4623" width="4.7109375" style="1" bestFit="1" customWidth="1"/>
    <col min="4624" max="4624" width="5.140625" style="1" bestFit="1" customWidth="1"/>
    <col min="4625" max="4862" width="9.140625" style="1"/>
    <col min="4863" max="4863" width="3.5703125" style="1" bestFit="1" customWidth="1"/>
    <col min="4864" max="4864" width="8.7109375" style="1" customWidth="1"/>
    <col min="4865" max="4865" width="54" style="1" customWidth="1"/>
    <col min="4866" max="4866" width="6.42578125" style="1" customWidth="1"/>
    <col min="4867" max="4867" width="7" style="1" customWidth="1"/>
    <col min="4868" max="4868" width="6.28515625" style="1" bestFit="1" customWidth="1"/>
    <col min="4869" max="4869" width="4.5703125" style="1" customWidth="1"/>
    <col min="4870" max="4870" width="7" style="1" customWidth="1"/>
    <col min="4871" max="4871" width="5.7109375" style="1" customWidth="1"/>
    <col min="4872" max="4872" width="6" style="1" customWidth="1"/>
    <col min="4873" max="4873" width="8.28515625" style="1" bestFit="1" customWidth="1"/>
    <col min="4874" max="4874" width="22.140625" style="1" customWidth="1"/>
    <col min="4875" max="4876" width="7.5703125" style="1" bestFit="1" customWidth="1"/>
    <col min="4877" max="4877" width="7.85546875" style="1" bestFit="1" customWidth="1"/>
    <col min="4878" max="4878" width="4.42578125" style="1" bestFit="1" customWidth="1"/>
    <col min="4879" max="4879" width="4.7109375" style="1" bestFit="1" customWidth="1"/>
    <col min="4880" max="4880" width="5.140625" style="1" bestFit="1" customWidth="1"/>
    <col min="4881" max="5118" width="9.140625" style="1"/>
    <col min="5119" max="5119" width="3.5703125" style="1" bestFit="1" customWidth="1"/>
    <col min="5120" max="5120" width="8.7109375" style="1" customWidth="1"/>
    <col min="5121" max="5121" width="54" style="1" customWidth="1"/>
    <col min="5122" max="5122" width="6.42578125" style="1" customWidth="1"/>
    <col min="5123" max="5123" width="7" style="1" customWidth="1"/>
    <col min="5124" max="5124" width="6.28515625" style="1" bestFit="1" customWidth="1"/>
    <col min="5125" max="5125" width="4.5703125" style="1" customWidth="1"/>
    <col min="5126" max="5126" width="7" style="1" customWidth="1"/>
    <col min="5127" max="5127" width="5.7109375" style="1" customWidth="1"/>
    <col min="5128" max="5128" width="6" style="1" customWidth="1"/>
    <col min="5129" max="5129" width="8.28515625" style="1" bestFit="1" customWidth="1"/>
    <col min="5130" max="5130" width="22.140625" style="1" customWidth="1"/>
    <col min="5131" max="5132" width="7.5703125" style="1" bestFit="1" customWidth="1"/>
    <col min="5133" max="5133" width="7.85546875" style="1" bestFit="1" customWidth="1"/>
    <col min="5134" max="5134" width="4.42578125" style="1" bestFit="1" customWidth="1"/>
    <col min="5135" max="5135" width="4.7109375" style="1" bestFit="1" customWidth="1"/>
    <col min="5136" max="5136" width="5.140625" style="1" bestFit="1" customWidth="1"/>
    <col min="5137" max="5374" width="9.140625" style="1"/>
    <col min="5375" max="5375" width="3.5703125" style="1" bestFit="1" customWidth="1"/>
    <col min="5376" max="5376" width="8.7109375" style="1" customWidth="1"/>
    <col min="5377" max="5377" width="54" style="1" customWidth="1"/>
    <col min="5378" max="5378" width="6.42578125" style="1" customWidth="1"/>
    <col min="5379" max="5379" width="7" style="1" customWidth="1"/>
    <col min="5380" max="5380" width="6.28515625" style="1" bestFit="1" customWidth="1"/>
    <col min="5381" max="5381" width="4.5703125" style="1" customWidth="1"/>
    <col min="5382" max="5382" width="7" style="1" customWidth="1"/>
    <col min="5383" max="5383" width="5.7109375" style="1" customWidth="1"/>
    <col min="5384" max="5384" width="6" style="1" customWidth="1"/>
    <col min="5385" max="5385" width="8.28515625" style="1" bestFit="1" customWidth="1"/>
    <col min="5386" max="5386" width="22.140625" style="1" customWidth="1"/>
    <col min="5387" max="5388" width="7.5703125" style="1" bestFit="1" customWidth="1"/>
    <col min="5389" max="5389" width="7.85546875" style="1" bestFit="1" customWidth="1"/>
    <col min="5390" max="5390" width="4.42578125" style="1" bestFit="1" customWidth="1"/>
    <col min="5391" max="5391" width="4.7109375" style="1" bestFit="1" customWidth="1"/>
    <col min="5392" max="5392" width="5.140625" style="1" bestFit="1" customWidth="1"/>
    <col min="5393" max="5630" width="9.140625" style="1"/>
    <col min="5631" max="5631" width="3.5703125" style="1" bestFit="1" customWidth="1"/>
    <col min="5632" max="5632" width="8.7109375" style="1" customWidth="1"/>
    <col min="5633" max="5633" width="54" style="1" customWidth="1"/>
    <col min="5634" max="5634" width="6.42578125" style="1" customWidth="1"/>
    <col min="5635" max="5635" width="7" style="1" customWidth="1"/>
    <col min="5636" max="5636" width="6.28515625" style="1" bestFit="1" customWidth="1"/>
    <col min="5637" max="5637" width="4.5703125" style="1" customWidth="1"/>
    <col min="5638" max="5638" width="7" style="1" customWidth="1"/>
    <col min="5639" max="5639" width="5.7109375" style="1" customWidth="1"/>
    <col min="5640" max="5640" width="6" style="1" customWidth="1"/>
    <col min="5641" max="5641" width="8.28515625" style="1" bestFit="1" customWidth="1"/>
    <col min="5642" max="5642" width="22.140625" style="1" customWidth="1"/>
    <col min="5643" max="5644" width="7.5703125" style="1" bestFit="1" customWidth="1"/>
    <col min="5645" max="5645" width="7.85546875" style="1" bestFit="1" customWidth="1"/>
    <col min="5646" max="5646" width="4.42578125" style="1" bestFit="1" customWidth="1"/>
    <col min="5647" max="5647" width="4.7109375" style="1" bestFit="1" customWidth="1"/>
    <col min="5648" max="5648" width="5.140625" style="1" bestFit="1" customWidth="1"/>
    <col min="5649" max="5886" width="9.140625" style="1"/>
    <col min="5887" max="5887" width="3.5703125" style="1" bestFit="1" customWidth="1"/>
    <col min="5888" max="5888" width="8.7109375" style="1" customWidth="1"/>
    <col min="5889" max="5889" width="54" style="1" customWidth="1"/>
    <col min="5890" max="5890" width="6.42578125" style="1" customWidth="1"/>
    <col min="5891" max="5891" width="7" style="1" customWidth="1"/>
    <col min="5892" max="5892" width="6.28515625" style="1" bestFit="1" customWidth="1"/>
    <col min="5893" max="5893" width="4.5703125" style="1" customWidth="1"/>
    <col min="5894" max="5894" width="7" style="1" customWidth="1"/>
    <col min="5895" max="5895" width="5.7109375" style="1" customWidth="1"/>
    <col min="5896" max="5896" width="6" style="1" customWidth="1"/>
    <col min="5897" max="5897" width="8.28515625" style="1" bestFit="1" customWidth="1"/>
    <col min="5898" max="5898" width="22.140625" style="1" customWidth="1"/>
    <col min="5899" max="5900" width="7.5703125" style="1" bestFit="1" customWidth="1"/>
    <col min="5901" max="5901" width="7.85546875" style="1" bestFit="1" customWidth="1"/>
    <col min="5902" max="5902" width="4.42578125" style="1" bestFit="1" customWidth="1"/>
    <col min="5903" max="5903" width="4.7109375" style="1" bestFit="1" customWidth="1"/>
    <col min="5904" max="5904" width="5.140625" style="1" bestFit="1" customWidth="1"/>
    <col min="5905" max="6142" width="9.140625" style="1"/>
    <col min="6143" max="6143" width="3.5703125" style="1" bestFit="1" customWidth="1"/>
    <col min="6144" max="6144" width="8.7109375" style="1" customWidth="1"/>
    <col min="6145" max="6145" width="54" style="1" customWidth="1"/>
    <col min="6146" max="6146" width="6.42578125" style="1" customWidth="1"/>
    <col min="6147" max="6147" width="7" style="1" customWidth="1"/>
    <col min="6148" max="6148" width="6.28515625" style="1" bestFit="1" customWidth="1"/>
    <col min="6149" max="6149" width="4.5703125" style="1" customWidth="1"/>
    <col min="6150" max="6150" width="7" style="1" customWidth="1"/>
    <col min="6151" max="6151" width="5.7109375" style="1" customWidth="1"/>
    <col min="6152" max="6152" width="6" style="1" customWidth="1"/>
    <col min="6153" max="6153" width="8.28515625" style="1" bestFit="1" customWidth="1"/>
    <col min="6154" max="6154" width="22.140625" style="1" customWidth="1"/>
    <col min="6155" max="6156" width="7.5703125" style="1" bestFit="1" customWidth="1"/>
    <col min="6157" max="6157" width="7.85546875" style="1" bestFit="1" customWidth="1"/>
    <col min="6158" max="6158" width="4.42578125" style="1" bestFit="1" customWidth="1"/>
    <col min="6159" max="6159" width="4.7109375" style="1" bestFit="1" customWidth="1"/>
    <col min="6160" max="6160" width="5.140625" style="1" bestFit="1" customWidth="1"/>
    <col min="6161" max="6398" width="9.140625" style="1"/>
    <col min="6399" max="6399" width="3.5703125" style="1" bestFit="1" customWidth="1"/>
    <col min="6400" max="6400" width="8.7109375" style="1" customWidth="1"/>
    <col min="6401" max="6401" width="54" style="1" customWidth="1"/>
    <col min="6402" max="6402" width="6.42578125" style="1" customWidth="1"/>
    <col min="6403" max="6403" width="7" style="1" customWidth="1"/>
    <col min="6404" max="6404" width="6.28515625" style="1" bestFit="1" customWidth="1"/>
    <col min="6405" max="6405" width="4.5703125" style="1" customWidth="1"/>
    <col min="6406" max="6406" width="7" style="1" customWidth="1"/>
    <col min="6407" max="6407" width="5.7109375" style="1" customWidth="1"/>
    <col min="6408" max="6408" width="6" style="1" customWidth="1"/>
    <col min="6409" max="6409" width="8.28515625" style="1" bestFit="1" customWidth="1"/>
    <col min="6410" max="6410" width="22.140625" style="1" customWidth="1"/>
    <col min="6411" max="6412" width="7.5703125" style="1" bestFit="1" customWidth="1"/>
    <col min="6413" max="6413" width="7.85546875" style="1" bestFit="1" customWidth="1"/>
    <col min="6414" max="6414" width="4.42578125" style="1" bestFit="1" customWidth="1"/>
    <col min="6415" max="6415" width="4.7109375" style="1" bestFit="1" customWidth="1"/>
    <col min="6416" max="6416" width="5.140625" style="1" bestFit="1" customWidth="1"/>
    <col min="6417" max="6654" width="9.140625" style="1"/>
    <col min="6655" max="6655" width="3.5703125" style="1" bestFit="1" customWidth="1"/>
    <col min="6656" max="6656" width="8.7109375" style="1" customWidth="1"/>
    <col min="6657" max="6657" width="54" style="1" customWidth="1"/>
    <col min="6658" max="6658" width="6.42578125" style="1" customWidth="1"/>
    <col min="6659" max="6659" width="7" style="1" customWidth="1"/>
    <col min="6660" max="6660" width="6.28515625" style="1" bestFit="1" customWidth="1"/>
    <col min="6661" max="6661" width="4.5703125" style="1" customWidth="1"/>
    <col min="6662" max="6662" width="7" style="1" customWidth="1"/>
    <col min="6663" max="6663" width="5.7109375" style="1" customWidth="1"/>
    <col min="6664" max="6664" width="6" style="1" customWidth="1"/>
    <col min="6665" max="6665" width="8.28515625" style="1" bestFit="1" customWidth="1"/>
    <col min="6666" max="6666" width="22.140625" style="1" customWidth="1"/>
    <col min="6667" max="6668" width="7.5703125" style="1" bestFit="1" customWidth="1"/>
    <col min="6669" max="6669" width="7.85546875" style="1" bestFit="1" customWidth="1"/>
    <col min="6670" max="6670" width="4.42578125" style="1" bestFit="1" customWidth="1"/>
    <col min="6671" max="6671" width="4.7109375" style="1" bestFit="1" customWidth="1"/>
    <col min="6672" max="6672" width="5.140625" style="1" bestFit="1" customWidth="1"/>
    <col min="6673" max="6910" width="9.140625" style="1"/>
    <col min="6911" max="6911" width="3.5703125" style="1" bestFit="1" customWidth="1"/>
    <col min="6912" max="6912" width="8.7109375" style="1" customWidth="1"/>
    <col min="6913" max="6913" width="54" style="1" customWidth="1"/>
    <col min="6914" max="6914" width="6.42578125" style="1" customWidth="1"/>
    <col min="6915" max="6915" width="7" style="1" customWidth="1"/>
    <col min="6916" max="6916" width="6.28515625" style="1" bestFit="1" customWidth="1"/>
    <col min="6917" max="6917" width="4.5703125" style="1" customWidth="1"/>
    <col min="6918" max="6918" width="7" style="1" customWidth="1"/>
    <col min="6919" max="6919" width="5.7109375" style="1" customWidth="1"/>
    <col min="6920" max="6920" width="6" style="1" customWidth="1"/>
    <col min="6921" max="6921" width="8.28515625" style="1" bestFit="1" customWidth="1"/>
    <col min="6922" max="6922" width="22.140625" style="1" customWidth="1"/>
    <col min="6923" max="6924" width="7.5703125" style="1" bestFit="1" customWidth="1"/>
    <col min="6925" max="6925" width="7.85546875" style="1" bestFit="1" customWidth="1"/>
    <col min="6926" max="6926" width="4.42578125" style="1" bestFit="1" customWidth="1"/>
    <col min="6927" max="6927" width="4.7109375" style="1" bestFit="1" customWidth="1"/>
    <col min="6928" max="6928" width="5.140625" style="1" bestFit="1" customWidth="1"/>
    <col min="6929" max="7166" width="9.140625" style="1"/>
    <col min="7167" max="7167" width="3.5703125" style="1" bestFit="1" customWidth="1"/>
    <col min="7168" max="7168" width="8.7109375" style="1" customWidth="1"/>
    <col min="7169" max="7169" width="54" style="1" customWidth="1"/>
    <col min="7170" max="7170" width="6.42578125" style="1" customWidth="1"/>
    <col min="7171" max="7171" width="7" style="1" customWidth="1"/>
    <col min="7172" max="7172" width="6.28515625" style="1" bestFit="1" customWidth="1"/>
    <col min="7173" max="7173" width="4.5703125" style="1" customWidth="1"/>
    <col min="7174" max="7174" width="7" style="1" customWidth="1"/>
    <col min="7175" max="7175" width="5.7109375" style="1" customWidth="1"/>
    <col min="7176" max="7176" width="6" style="1" customWidth="1"/>
    <col min="7177" max="7177" width="8.28515625" style="1" bestFit="1" customWidth="1"/>
    <col min="7178" max="7178" width="22.140625" style="1" customWidth="1"/>
    <col min="7179" max="7180" width="7.5703125" style="1" bestFit="1" customWidth="1"/>
    <col min="7181" max="7181" width="7.85546875" style="1" bestFit="1" customWidth="1"/>
    <col min="7182" max="7182" width="4.42578125" style="1" bestFit="1" customWidth="1"/>
    <col min="7183" max="7183" width="4.7109375" style="1" bestFit="1" customWidth="1"/>
    <col min="7184" max="7184" width="5.140625" style="1" bestFit="1" customWidth="1"/>
    <col min="7185" max="7422" width="9.140625" style="1"/>
    <col min="7423" max="7423" width="3.5703125" style="1" bestFit="1" customWidth="1"/>
    <col min="7424" max="7424" width="8.7109375" style="1" customWidth="1"/>
    <col min="7425" max="7425" width="54" style="1" customWidth="1"/>
    <col min="7426" max="7426" width="6.42578125" style="1" customWidth="1"/>
    <col min="7427" max="7427" width="7" style="1" customWidth="1"/>
    <col min="7428" max="7428" width="6.28515625" style="1" bestFit="1" customWidth="1"/>
    <col min="7429" max="7429" width="4.5703125" style="1" customWidth="1"/>
    <col min="7430" max="7430" width="7" style="1" customWidth="1"/>
    <col min="7431" max="7431" width="5.7109375" style="1" customWidth="1"/>
    <col min="7432" max="7432" width="6" style="1" customWidth="1"/>
    <col min="7433" max="7433" width="8.28515625" style="1" bestFit="1" customWidth="1"/>
    <col min="7434" max="7434" width="22.140625" style="1" customWidth="1"/>
    <col min="7435" max="7436" width="7.5703125" style="1" bestFit="1" customWidth="1"/>
    <col min="7437" max="7437" width="7.85546875" style="1" bestFit="1" customWidth="1"/>
    <col min="7438" max="7438" width="4.42578125" style="1" bestFit="1" customWidth="1"/>
    <col min="7439" max="7439" width="4.7109375" style="1" bestFit="1" customWidth="1"/>
    <col min="7440" max="7440" width="5.140625" style="1" bestFit="1" customWidth="1"/>
    <col min="7441" max="7678" width="9.140625" style="1"/>
    <col min="7679" max="7679" width="3.5703125" style="1" bestFit="1" customWidth="1"/>
    <col min="7680" max="7680" width="8.7109375" style="1" customWidth="1"/>
    <col min="7681" max="7681" width="54" style="1" customWidth="1"/>
    <col min="7682" max="7682" width="6.42578125" style="1" customWidth="1"/>
    <col min="7683" max="7683" width="7" style="1" customWidth="1"/>
    <col min="7684" max="7684" width="6.28515625" style="1" bestFit="1" customWidth="1"/>
    <col min="7685" max="7685" width="4.5703125" style="1" customWidth="1"/>
    <col min="7686" max="7686" width="7" style="1" customWidth="1"/>
    <col min="7687" max="7687" width="5.7109375" style="1" customWidth="1"/>
    <col min="7688" max="7688" width="6" style="1" customWidth="1"/>
    <col min="7689" max="7689" width="8.28515625" style="1" bestFit="1" customWidth="1"/>
    <col min="7690" max="7690" width="22.140625" style="1" customWidth="1"/>
    <col min="7691" max="7692" width="7.5703125" style="1" bestFit="1" customWidth="1"/>
    <col min="7693" max="7693" width="7.85546875" style="1" bestFit="1" customWidth="1"/>
    <col min="7694" max="7694" width="4.42578125" style="1" bestFit="1" customWidth="1"/>
    <col min="7695" max="7695" width="4.7109375" style="1" bestFit="1" customWidth="1"/>
    <col min="7696" max="7696" width="5.140625" style="1" bestFit="1" customWidth="1"/>
    <col min="7697" max="7934" width="9.140625" style="1"/>
    <col min="7935" max="7935" width="3.5703125" style="1" bestFit="1" customWidth="1"/>
    <col min="7936" max="7936" width="8.7109375" style="1" customWidth="1"/>
    <col min="7937" max="7937" width="54" style="1" customWidth="1"/>
    <col min="7938" max="7938" width="6.42578125" style="1" customWidth="1"/>
    <col min="7939" max="7939" width="7" style="1" customWidth="1"/>
    <col min="7940" max="7940" width="6.28515625" style="1" bestFit="1" customWidth="1"/>
    <col min="7941" max="7941" width="4.5703125" style="1" customWidth="1"/>
    <col min="7942" max="7942" width="7" style="1" customWidth="1"/>
    <col min="7943" max="7943" width="5.7109375" style="1" customWidth="1"/>
    <col min="7944" max="7944" width="6" style="1" customWidth="1"/>
    <col min="7945" max="7945" width="8.28515625" style="1" bestFit="1" customWidth="1"/>
    <col min="7946" max="7946" width="22.140625" style="1" customWidth="1"/>
    <col min="7947" max="7948" width="7.5703125" style="1" bestFit="1" customWidth="1"/>
    <col min="7949" max="7949" width="7.85546875" style="1" bestFit="1" customWidth="1"/>
    <col min="7950" max="7950" width="4.42578125" style="1" bestFit="1" customWidth="1"/>
    <col min="7951" max="7951" width="4.7109375" style="1" bestFit="1" customWidth="1"/>
    <col min="7952" max="7952" width="5.140625" style="1" bestFit="1" customWidth="1"/>
    <col min="7953" max="8190" width="9.140625" style="1"/>
    <col min="8191" max="8191" width="3.5703125" style="1" bestFit="1" customWidth="1"/>
    <col min="8192" max="8192" width="8.7109375" style="1" customWidth="1"/>
    <col min="8193" max="8193" width="54" style="1" customWidth="1"/>
    <col min="8194" max="8194" width="6.42578125" style="1" customWidth="1"/>
    <col min="8195" max="8195" width="7" style="1" customWidth="1"/>
    <col min="8196" max="8196" width="6.28515625" style="1" bestFit="1" customWidth="1"/>
    <col min="8197" max="8197" width="4.5703125" style="1" customWidth="1"/>
    <col min="8198" max="8198" width="7" style="1" customWidth="1"/>
    <col min="8199" max="8199" width="5.7109375" style="1" customWidth="1"/>
    <col min="8200" max="8200" width="6" style="1" customWidth="1"/>
    <col min="8201" max="8201" width="8.28515625" style="1" bestFit="1" customWidth="1"/>
    <col min="8202" max="8202" width="22.140625" style="1" customWidth="1"/>
    <col min="8203" max="8204" width="7.5703125" style="1" bestFit="1" customWidth="1"/>
    <col min="8205" max="8205" width="7.85546875" style="1" bestFit="1" customWidth="1"/>
    <col min="8206" max="8206" width="4.42578125" style="1" bestFit="1" customWidth="1"/>
    <col min="8207" max="8207" width="4.7109375" style="1" bestFit="1" customWidth="1"/>
    <col min="8208" max="8208" width="5.140625" style="1" bestFit="1" customWidth="1"/>
    <col min="8209" max="8446" width="9.140625" style="1"/>
    <col min="8447" max="8447" width="3.5703125" style="1" bestFit="1" customWidth="1"/>
    <col min="8448" max="8448" width="8.7109375" style="1" customWidth="1"/>
    <col min="8449" max="8449" width="54" style="1" customWidth="1"/>
    <col min="8450" max="8450" width="6.42578125" style="1" customWidth="1"/>
    <col min="8451" max="8451" width="7" style="1" customWidth="1"/>
    <col min="8452" max="8452" width="6.28515625" style="1" bestFit="1" customWidth="1"/>
    <col min="8453" max="8453" width="4.5703125" style="1" customWidth="1"/>
    <col min="8454" max="8454" width="7" style="1" customWidth="1"/>
    <col min="8455" max="8455" width="5.7109375" style="1" customWidth="1"/>
    <col min="8456" max="8456" width="6" style="1" customWidth="1"/>
    <col min="8457" max="8457" width="8.28515625" style="1" bestFit="1" customWidth="1"/>
    <col min="8458" max="8458" width="22.140625" style="1" customWidth="1"/>
    <col min="8459" max="8460" width="7.5703125" style="1" bestFit="1" customWidth="1"/>
    <col min="8461" max="8461" width="7.85546875" style="1" bestFit="1" customWidth="1"/>
    <col min="8462" max="8462" width="4.42578125" style="1" bestFit="1" customWidth="1"/>
    <col min="8463" max="8463" width="4.7109375" style="1" bestFit="1" customWidth="1"/>
    <col min="8464" max="8464" width="5.140625" style="1" bestFit="1" customWidth="1"/>
    <col min="8465" max="8702" width="9.140625" style="1"/>
    <col min="8703" max="8703" width="3.5703125" style="1" bestFit="1" customWidth="1"/>
    <col min="8704" max="8704" width="8.7109375" style="1" customWidth="1"/>
    <col min="8705" max="8705" width="54" style="1" customWidth="1"/>
    <col min="8706" max="8706" width="6.42578125" style="1" customWidth="1"/>
    <col min="8707" max="8707" width="7" style="1" customWidth="1"/>
    <col min="8708" max="8708" width="6.28515625" style="1" bestFit="1" customWidth="1"/>
    <col min="8709" max="8709" width="4.5703125" style="1" customWidth="1"/>
    <col min="8710" max="8710" width="7" style="1" customWidth="1"/>
    <col min="8711" max="8711" width="5.7109375" style="1" customWidth="1"/>
    <col min="8712" max="8712" width="6" style="1" customWidth="1"/>
    <col min="8713" max="8713" width="8.28515625" style="1" bestFit="1" customWidth="1"/>
    <col min="8714" max="8714" width="22.140625" style="1" customWidth="1"/>
    <col min="8715" max="8716" width="7.5703125" style="1" bestFit="1" customWidth="1"/>
    <col min="8717" max="8717" width="7.85546875" style="1" bestFit="1" customWidth="1"/>
    <col min="8718" max="8718" width="4.42578125" style="1" bestFit="1" customWidth="1"/>
    <col min="8719" max="8719" width="4.7109375" style="1" bestFit="1" customWidth="1"/>
    <col min="8720" max="8720" width="5.140625" style="1" bestFit="1" customWidth="1"/>
    <col min="8721" max="8958" width="9.140625" style="1"/>
    <col min="8959" max="8959" width="3.5703125" style="1" bestFit="1" customWidth="1"/>
    <col min="8960" max="8960" width="8.7109375" style="1" customWidth="1"/>
    <col min="8961" max="8961" width="54" style="1" customWidth="1"/>
    <col min="8962" max="8962" width="6.42578125" style="1" customWidth="1"/>
    <col min="8963" max="8963" width="7" style="1" customWidth="1"/>
    <col min="8964" max="8964" width="6.28515625" style="1" bestFit="1" customWidth="1"/>
    <col min="8965" max="8965" width="4.5703125" style="1" customWidth="1"/>
    <col min="8966" max="8966" width="7" style="1" customWidth="1"/>
    <col min="8967" max="8967" width="5.7109375" style="1" customWidth="1"/>
    <col min="8968" max="8968" width="6" style="1" customWidth="1"/>
    <col min="8969" max="8969" width="8.28515625" style="1" bestFit="1" customWidth="1"/>
    <col min="8970" max="8970" width="22.140625" style="1" customWidth="1"/>
    <col min="8971" max="8972" width="7.5703125" style="1" bestFit="1" customWidth="1"/>
    <col min="8973" max="8973" width="7.85546875" style="1" bestFit="1" customWidth="1"/>
    <col min="8974" max="8974" width="4.42578125" style="1" bestFit="1" customWidth="1"/>
    <col min="8975" max="8975" width="4.7109375" style="1" bestFit="1" customWidth="1"/>
    <col min="8976" max="8976" width="5.140625" style="1" bestFit="1" customWidth="1"/>
    <col min="8977" max="9214" width="9.140625" style="1"/>
    <col min="9215" max="9215" width="3.5703125" style="1" bestFit="1" customWidth="1"/>
    <col min="9216" max="9216" width="8.7109375" style="1" customWidth="1"/>
    <col min="9217" max="9217" width="54" style="1" customWidth="1"/>
    <col min="9218" max="9218" width="6.42578125" style="1" customWidth="1"/>
    <col min="9219" max="9219" width="7" style="1" customWidth="1"/>
    <col min="9220" max="9220" width="6.28515625" style="1" bestFit="1" customWidth="1"/>
    <col min="9221" max="9221" width="4.5703125" style="1" customWidth="1"/>
    <col min="9222" max="9222" width="7" style="1" customWidth="1"/>
    <col min="9223" max="9223" width="5.7109375" style="1" customWidth="1"/>
    <col min="9224" max="9224" width="6" style="1" customWidth="1"/>
    <col min="9225" max="9225" width="8.28515625" style="1" bestFit="1" customWidth="1"/>
    <col min="9226" max="9226" width="22.140625" style="1" customWidth="1"/>
    <col min="9227" max="9228" width="7.5703125" style="1" bestFit="1" customWidth="1"/>
    <col min="9229" max="9229" width="7.85546875" style="1" bestFit="1" customWidth="1"/>
    <col min="9230" max="9230" width="4.42578125" style="1" bestFit="1" customWidth="1"/>
    <col min="9231" max="9231" width="4.7109375" style="1" bestFit="1" customWidth="1"/>
    <col min="9232" max="9232" width="5.140625" style="1" bestFit="1" customWidth="1"/>
    <col min="9233" max="9470" width="9.140625" style="1"/>
    <col min="9471" max="9471" width="3.5703125" style="1" bestFit="1" customWidth="1"/>
    <col min="9472" max="9472" width="8.7109375" style="1" customWidth="1"/>
    <col min="9473" max="9473" width="54" style="1" customWidth="1"/>
    <col min="9474" max="9474" width="6.42578125" style="1" customWidth="1"/>
    <col min="9475" max="9475" width="7" style="1" customWidth="1"/>
    <col min="9476" max="9476" width="6.28515625" style="1" bestFit="1" customWidth="1"/>
    <col min="9477" max="9477" width="4.5703125" style="1" customWidth="1"/>
    <col min="9478" max="9478" width="7" style="1" customWidth="1"/>
    <col min="9479" max="9479" width="5.7109375" style="1" customWidth="1"/>
    <col min="9480" max="9480" width="6" style="1" customWidth="1"/>
    <col min="9481" max="9481" width="8.28515625" style="1" bestFit="1" customWidth="1"/>
    <col min="9482" max="9482" width="22.140625" style="1" customWidth="1"/>
    <col min="9483" max="9484" width="7.5703125" style="1" bestFit="1" customWidth="1"/>
    <col min="9485" max="9485" width="7.85546875" style="1" bestFit="1" customWidth="1"/>
    <col min="9486" max="9486" width="4.42578125" style="1" bestFit="1" customWidth="1"/>
    <col min="9487" max="9487" width="4.7109375" style="1" bestFit="1" customWidth="1"/>
    <col min="9488" max="9488" width="5.140625" style="1" bestFit="1" customWidth="1"/>
    <col min="9489" max="9726" width="9.140625" style="1"/>
    <col min="9727" max="9727" width="3.5703125" style="1" bestFit="1" customWidth="1"/>
    <col min="9728" max="9728" width="8.7109375" style="1" customWidth="1"/>
    <col min="9729" max="9729" width="54" style="1" customWidth="1"/>
    <col min="9730" max="9730" width="6.42578125" style="1" customWidth="1"/>
    <col min="9731" max="9731" width="7" style="1" customWidth="1"/>
    <col min="9732" max="9732" width="6.28515625" style="1" bestFit="1" customWidth="1"/>
    <col min="9733" max="9733" width="4.5703125" style="1" customWidth="1"/>
    <col min="9734" max="9734" width="7" style="1" customWidth="1"/>
    <col min="9735" max="9735" width="5.7109375" style="1" customWidth="1"/>
    <col min="9736" max="9736" width="6" style="1" customWidth="1"/>
    <col min="9737" max="9737" width="8.28515625" style="1" bestFit="1" customWidth="1"/>
    <col min="9738" max="9738" width="22.140625" style="1" customWidth="1"/>
    <col min="9739" max="9740" width="7.5703125" style="1" bestFit="1" customWidth="1"/>
    <col min="9741" max="9741" width="7.85546875" style="1" bestFit="1" customWidth="1"/>
    <col min="9742" max="9742" width="4.42578125" style="1" bestFit="1" customWidth="1"/>
    <col min="9743" max="9743" width="4.7109375" style="1" bestFit="1" customWidth="1"/>
    <col min="9744" max="9744" width="5.140625" style="1" bestFit="1" customWidth="1"/>
    <col min="9745" max="9982" width="9.140625" style="1"/>
    <col min="9983" max="9983" width="3.5703125" style="1" bestFit="1" customWidth="1"/>
    <col min="9984" max="9984" width="8.7109375" style="1" customWidth="1"/>
    <col min="9985" max="9985" width="54" style="1" customWidth="1"/>
    <col min="9986" max="9986" width="6.42578125" style="1" customWidth="1"/>
    <col min="9987" max="9987" width="7" style="1" customWidth="1"/>
    <col min="9988" max="9988" width="6.28515625" style="1" bestFit="1" customWidth="1"/>
    <col min="9989" max="9989" width="4.5703125" style="1" customWidth="1"/>
    <col min="9990" max="9990" width="7" style="1" customWidth="1"/>
    <col min="9991" max="9991" width="5.7109375" style="1" customWidth="1"/>
    <col min="9992" max="9992" width="6" style="1" customWidth="1"/>
    <col min="9993" max="9993" width="8.28515625" style="1" bestFit="1" customWidth="1"/>
    <col min="9994" max="9994" width="22.140625" style="1" customWidth="1"/>
    <col min="9995" max="9996" width="7.5703125" style="1" bestFit="1" customWidth="1"/>
    <col min="9997" max="9997" width="7.85546875" style="1" bestFit="1" customWidth="1"/>
    <col min="9998" max="9998" width="4.42578125" style="1" bestFit="1" customWidth="1"/>
    <col min="9999" max="9999" width="4.7109375" style="1" bestFit="1" customWidth="1"/>
    <col min="10000" max="10000" width="5.140625" style="1" bestFit="1" customWidth="1"/>
    <col min="10001" max="10238" width="9.140625" style="1"/>
    <col min="10239" max="10239" width="3.5703125" style="1" bestFit="1" customWidth="1"/>
    <col min="10240" max="10240" width="8.7109375" style="1" customWidth="1"/>
    <col min="10241" max="10241" width="54" style="1" customWidth="1"/>
    <col min="10242" max="10242" width="6.42578125" style="1" customWidth="1"/>
    <col min="10243" max="10243" width="7" style="1" customWidth="1"/>
    <col min="10244" max="10244" width="6.28515625" style="1" bestFit="1" customWidth="1"/>
    <col min="10245" max="10245" width="4.5703125" style="1" customWidth="1"/>
    <col min="10246" max="10246" width="7" style="1" customWidth="1"/>
    <col min="10247" max="10247" width="5.7109375" style="1" customWidth="1"/>
    <col min="10248" max="10248" width="6" style="1" customWidth="1"/>
    <col min="10249" max="10249" width="8.28515625" style="1" bestFit="1" customWidth="1"/>
    <col min="10250" max="10250" width="22.140625" style="1" customWidth="1"/>
    <col min="10251" max="10252" width="7.5703125" style="1" bestFit="1" customWidth="1"/>
    <col min="10253" max="10253" width="7.85546875" style="1" bestFit="1" customWidth="1"/>
    <col min="10254" max="10254" width="4.42578125" style="1" bestFit="1" customWidth="1"/>
    <col min="10255" max="10255" width="4.7109375" style="1" bestFit="1" customWidth="1"/>
    <col min="10256" max="10256" width="5.140625" style="1" bestFit="1" customWidth="1"/>
    <col min="10257" max="10494" width="9.140625" style="1"/>
    <col min="10495" max="10495" width="3.5703125" style="1" bestFit="1" customWidth="1"/>
    <col min="10496" max="10496" width="8.7109375" style="1" customWidth="1"/>
    <col min="10497" max="10497" width="54" style="1" customWidth="1"/>
    <col min="10498" max="10498" width="6.42578125" style="1" customWidth="1"/>
    <col min="10499" max="10499" width="7" style="1" customWidth="1"/>
    <col min="10500" max="10500" width="6.28515625" style="1" bestFit="1" customWidth="1"/>
    <col min="10501" max="10501" width="4.5703125" style="1" customWidth="1"/>
    <col min="10502" max="10502" width="7" style="1" customWidth="1"/>
    <col min="10503" max="10503" width="5.7109375" style="1" customWidth="1"/>
    <col min="10504" max="10504" width="6" style="1" customWidth="1"/>
    <col min="10505" max="10505" width="8.28515625" style="1" bestFit="1" customWidth="1"/>
    <col min="10506" max="10506" width="22.140625" style="1" customWidth="1"/>
    <col min="10507" max="10508" width="7.5703125" style="1" bestFit="1" customWidth="1"/>
    <col min="10509" max="10509" width="7.85546875" style="1" bestFit="1" customWidth="1"/>
    <col min="10510" max="10510" width="4.42578125" style="1" bestFit="1" customWidth="1"/>
    <col min="10511" max="10511" width="4.7109375" style="1" bestFit="1" customWidth="1"/>
    <col min="10512" max="10512" width="5.140625" style="1" bestFit="1" customWidth="1"/>
    <col min="10513" max="10750" width="9.140625" style="1"/>
    <col min="10751" max="10751" width="3.5703125" style="1" bestFit="1" customWidth="1"/>
    <col min="10752" max="10752" width="8.7109375" style="1" customWidth="1"/>
    <col min="10753" max="10753" width="54" style="1" customWidth="1"/>
    <col min="10754" max="10754" width="6.42578125" style="1" customWidth="1"/>
    <col min="10755" max="10755" width="7" style="1" customWidth="1"/>
    <col min="10756" max="10756" width="6.28515625" style="1" bestFit="1" customWidth="1"/>
    <col min="10757" max="10757" width="4.5703125" style="1" customWidth="1"/>
    <col min="10758" max="10758" width="7" style="1" customWidth="1"/>
    <col min="10759" max="10759" width="5.7109375" style="1" customWidth="1"/>
    <col min="10760" max="10760" width="6" style="1" customWidth="1"/>
    <col min="10761" max="10761" width="8.28515625" style="1" bestFit="1" customWidth="1"/>
    <col min="10762" max="10762" width="22.140625" style="1" customWidth="1"/>
    <col min="10763" max="10764" width="7.5703125" style="1" bestFit="1" customWidth="1"/>
    <col min="10765" max="10765" width="7.85546875" style="1" bestFit="1" customWidth="1"/>
    <col min="10766" max="10766" width="4.42578125" style="1" bestFit="1" customWidth="1"/>
    <col min="10767" max="10767" width="4.7109375" style="1" bestFit="1" customWidth="1"/>
    <col min="10768" max="10768" width="5.140625" style="1" bestFit="1" customWidth="1"/>
    <col min="10769" max="11006" width="9.140625" style="1"/>
    <col min="11007" max="11007" width="3.5703125" style="1" bestFit="1" customWidth="1"/>
    <col min="11008" max="11008" width="8.7109375" style="1" customWidth="1"/>
    <col min="11009" max="11009" width="54" style="1" customWidth="1"/>
    <col min="11010" max="11010" width="6.42578125" style="1" customWidth="1"/>
    <col min="11011" max="11011" width="7" style="1" customWidth="1"/>
    <col min="11012" max="11012" width="6.28515625" style="1" bestFit="1" customWidth="1"/>
    <col min="11013" max="11013" width="4.5703125" style="1" customWidth="1"/>
    <col min="11014" max="11014" width="7" style="1" customWidth="1"/>
    <col min="11015" max="11015" width="5.7109375" style="1" customWidth="1"/>
    <col min="11016" max="11016" width="6" style="1" customWidth="1"/>
    <col min="11017" max="11017" width="8.28515625" style="1" bestFit="1" customWidth="1"/>
    <col min="11018" max="11018" width="22.140625" style="1" customWidth="1"/>
    <col min="11019" max="11020" width="7.5703125" style="1" bestFit="1" customWidth="1"/>
    <col min="11021" max="11021" width="7.85546875" style="1" bestFit="1" customWidth="1"/>
    <col min="11022" max="11022" width="4.42578125" style="1" bestFit="1" customWidth="1"/>
    <col min="11023" max="11023" width="4.7109375" style="1" bestFit="1" customWidth="1"/>
    <col min="11024" max="11024" width="5.140625" style="1" bestFit="1" customWidth="1"/>
    <col min="11025" max="11262" width="9.140625" style="1"/>
    <col min="11263" max="11263" width="3.5703125" style="1" bestFit="1" customWidth="1"/>
    <col min="11264" max="11264" width="8.7109375" style="1" customWidth="1"/>
    <col min="11265" max="11265" width="54" style="1" customWidth="1"/>
    <col min="11266" max="11266" width="6.42578125" style="1" customWidth="1"/>
    <col min="11267" max="11267" width="7" style="1" customWidth="1"/>
    <col min="11268" max="11268" width="6.28515625" style="1" bestFit="1" customWidth="1"/>
    <col min="11269" max="11269" width="4.5703125" style="1" customWidth="1"/>
    <col min="11270" max="11270" width="7" style="1" customWidth="1"/>
    <col min="11271" max="11271" width="5.7109375" style="1" customWidth="1"/>
    <col min="11272" max="11272" width="6" style="1" customWidth="1"/>
    <col min="11273" max="11273" width="8.28515625" style="1" bestFit="1" customWidth="1"/>
    <col min="11274" max="11274" width="22.140625" style="1" customWidth="1"/>
    <col min="11275" max="11276" width="7.5703125" style="1" bestFit="1" customWidth="1"/>
    <col min="11277" max="11277" width="7.85546875" style="1" bestFit="1" customWidth="1"/>
    <col min="11278" max="11278" width="4.42578125" style="1" bestFit="1" customWidth="1"/>
    <col min="11279" max="11279" width="4.7109375" style="1" bestFit="1" customWidth="1"/>
    <col min="11280" max="11280" width="5.140625" style="1" bestFit="1" customWidth="1"/>
    <col min="11281" max="11518" width="9.140625" style="1"/>
    <col min="11519" max="11519" width="3.5703125" style="1" bestFit="1" customWidth="1"/>
    <col min="11520" max="11520" width="8.7109375" style="1" customWidth="1"/>
    <col min="11521" max="11521" width="54" style="1" customWidth="1"/>
    <col min="11522" max="11522" width="6.42578125" style="1" customWidth="1"/>
    <col min="11523" max="11523" width="7" style="1" customWidth="1"/>
    <col min="11524" max="11524" width="6.28515625" style="1" bestFit="1" customWidth="1"/>
    <col min="11525" max="11525" width="4.5703125" style="1" customWidth="1"/>
    <col min="11526" max="11526" width="7" style="1" customWidth="1"/>
    <col min="11527" max="11527" width="5.7109375" style="1" customWidth="1"/>
    <col min="11528" max="11528" width="6" style="1" customWidth="1"/>
    <col min="11529" max="11529" width="8.28515625" style="1" bestFit="1" customWidth="1"/>
    <col min="11530" max="11530" width="22.140625" style="1" customWidth="1"/>
    <col min="11531" max="11532" width="7.5703125" style="1" bestFit="1" customWidth="1"/>
    <col min="11533" max="11533" width="7.85546875" style="1" bestFit="1" customWidth="1"/>
    <col min="11534" max="11534" width="4.42578125" style="1" bestFit="1" customWidth="1"/>
    <col min="11535" max="11535" width="4.7109375" style="1" bestFit="1" customWidth="1"/>
    <col min="11536" max="11536" width="5.140625" style="1" bestFit="1" customWidth="1"/>
    <col min="11537" max="11774" width="9.140625" style="1"/>
    <col min="11775" max="11775" width="3.5703125" style="1" bestFit="1" customWidth="1"/>
    <col min="11776" max="11776" width="8.7109375" style="1" customWidth="1"/>
    <col min="11777" max="11777" width="54" style="1" customWidth="1"/>
    <col min="11778" max="11778" width="6.42578125" style="1" customWidth="1"/>
    <col min="11779" max="11779" width="7" style="1" customWidth="1"/>
    <col min="11780" max="11780" width="6.28515625" style="1" bestFit="1" customWidth="1"/>
    <col min="11781" max="11781" width="4.5703125" style="1" customWidth="1"/>
    <col min="11782" max="11782" width="7" style="1" customWidth="1"/>
    <col min="11783" max="11783" width="5.7109375" style="1" customWidth="1"/>
    <col min="11784" max="11784" width="6" style="1" customWidth="1"/>
    <col min="11785" max="11785" width="8.28515625" style="1" bestFit="1" customWidth="1"/>
    <col min="11786" max="11786" width="22.140625" style="1" customWidth="1"/>
    <col min="11787" max="11788" width="7.5703125" style="1" bestFit="1" customWidth="1"/>
    <col min="11789" max="11789" width="7.85546875" style="1" bestFit="1" customWidth="1"/>
    <col min="11790" max="11790" width="4.42578125" style="1" bestFit="1" customWidth="1"/>
    <col min="11791" max="11791" width="4.7109375" style="1" bestFit="1" customWidth="1"/>
    <col min="11792" max="11792" width="5.140625" style="1" bestFit="1" customWidth="1"/>
    <col min="11793" max="12030" width="9.140625" style="1"/>
    <col min="12031" max="12031" width="3.5703125" style="1" bestFit="1" customWidth="1"/>
    <col min="12032" max="12032" width="8.7109375" style="1" customWidth="1"/>
    <col min="12033" max="12033" width="54" style="1" customWidth="1"/>
    <col min="12034" max="12034" width="6.42578125" style="1" customWidth="1"/>
    <col min="12035" max="12035" width="7" style="1" customWidth="1"/>
    <col min="12036" max="12036" width="6.28515625" style="1" bestFit="1" customWidth="1"/>
    <col min="12037" max="12037" width="4.5703125" style="1" customWidth="1"/>
    <col min="12038" max="12038" width="7" style="1" customWidth="1"/>
    <col min="12039" max="12039" width="5.7109375" style="1" customWidth="1"/>
    <col min="12040" max="12040" width="6" style="1" customWidth="1"/>
    <col min="12041" max="12041" width="8.28515625" style="1" bestFit="1" customWidth="1"/>
    <col min="12042" max="12042" width="22.140625" style="1" customWidth="1"/>
    <col min="12043" max="12044" width="7.5703125" style="1" bestFit="1" customWidth="1"/>
    <col min="12045" max="12045" width="7.85546875" style="1" bestFit="1" customWidth="1"/>
    <col min="12046" max="12046" width="4.42578125" style="1" bestFit="1" customWidth="1"/>
    <col min="12047" max="12047" width="4.7109375" style="1" bestFit="1" customWidth="1"/>
    <col min="12048" max="12048" width="5.140625" style="1" bestFit="1" customWidth="1"/>
    <col min="12049" max="12286" width="9.140625" style="1"/>
    <col min="12287" max="12287" width="3.5703125" style="1" bestFit="1" customWidth="1"/>
    <col min="12288" max="12288" width="8.7109375" style="1" customWidth="1"/>
    <col min="12289" max="12289" width="54" style="1" customWidth="1"/>
    <col min="12290" max="12290" width="6.42578125" style="1" customWidth="1"/>
    <col min="12291" max="12291" width="7" style="1" customWidth="1"/>
    <col min="12292" max="12292" width="6.28515625" style="1" bestFit="1" customWidth="1"/>
    <col min="12293" max="12293" width="4.5703125" style="1" customWidth="1"/>
    <col min="12294" max="12294" width="7" style="1" customWidth="1"/>
    <col min="12295" max="12295" width="5.7109375" style="1" customWidth="1"/>
    <col min="12296" max="12296" width="6" style="1" customWidth="1"/>
    <col min="12297" max="12297" width="8.28515625" style="1" bestFit="1" customWidth="1"/>
    <col min="12298" max="12298" width="22.140625" style="1" customWidth="1"/>
    <col min="12299" max="12300" width="7.5703125" style="1" bestFit="1" customWidth="1"/>
    <col min="12301" max="12301" width="7.85546875" style="1" bestFit="1" customWidth="1"/>
    <col min="12302" max="12302" width="4.42578125" style="1" bestFit="1" customWidth="1"/>
    <col min="12303" max="12303" width="4.7109375" style="1" bestFit="1" customWidth="1"/>
    <col min="12304" max="12304" width="5.140625" style="1" bestFit="1" customWidth="1"/>
    <col min="12305" max="12542" width="9.140625" style="1"/>
    <col min="12543" max="12543" width="3.5703125" style="1" bestFit="1" customWidth="1"/>
    <col min="12544" max="12544" width="8.7109375" style="1" customWidth="1"/>
    <col min="12545" max="12545" width="54" style="1" customWidth="1"/>
    <col min="12546" max="12546" width="6.42578125" style="1" customWidth="1"/>
    <col min="12547" max="12547" width="7" style="1" customWidth="1"/>
    <col min="12548" max="12548" width="6.28515625" style="1" bestFit="1" customWidth="1"/>
    <col min="12549" max="12549" width="4.5703125" style="1" customWidth="1"/>
    <col min="12550" max="12550" width="7" style="1" customWidth="1"/>
    <col min="12551" max="12551" width="5.7109375" style="1" customWidth="1"/>
    <col min="12552" max="12552" width="6" style="1" customWidth="1"/>
    <col min="12553" max="12553" width="8.28515625" style="1" bestFit="1" customWidth="1"/>
    <col min="12554" max="12554" width="22.140625" style="1" customWidth="1"/>
    <col min="12555" max="12556" width="7.5703125" style="1" bestFit="1" customWidth="1"/>
    <col min="12557" max="12557" width="7.85546875" style="1" bestFit="1" customWidth="1"/>
    <col min="12558" max="12558" width="4.42578125" style="1" bestFit="1" customWidth="1"/>
    <col min="12559" max="12559" width="4.7109375" style="1" bestFit="1" customWidth="1"/>
    <col min="12560" max="12560" width="5.140625" style="1" bestFit="1" customWidth="1"/>
    <col min="12561" max="12798" width="9.140625" style="1"/>
    <col min="12799" max="12799" width="3.5703125" style="1" bestFit="1" customWidth="1"/>
    <col min="12800" max="12800" width="8.7109375" style="1" customWidth="1"/>
    <col min="12801" max="12801" width="54" style="1" customWidth="1"/>
    <col min="12802" max="12802" width="6.42578125" style="1" customWidth="1"/>
    <col min="12803" max="12803" width="7" style="1" customWidth="1"/>
    <col min="12804" max="12804" width="6.28515625" style="1" bestFit="1" customWidth="1"/>
    <col min="12805" max="12805" width="4.5703125" style="1" customWidth="1"/>
    <col min="12806" max="12806" width="7" style="1" customWidth="1"/>
    <col min="12807" max="12807" width="5.7109375" style="1" customWidth="1"/>
    <col min="12808" max="12808" width="6" style="1" customWidth="1"/>
    <col min="12809" max="12809" width="8.28515625" style="1" bestFit="1" customWidth="1"/>
    <col min="12810" max="12810" width="22.140625" style="1" customWidth="1"/>
    <col min="12811" max="12812" width="7.5703125" style="1" bestFit="1" customWidth="1"/>
    <col min="12813" max="12813" width="7.85546875" style="1" bestFit="1" customWidth="1"/>
    <col min="12814" max="12814" width="4.42578125" style="1" bestFit="1" customWidth="1"/>
    <col min="12815" max="12815" width="4.7109375" style="1" bestFit="1" customWidth="1"/>
    <col min="12816" max="12816" width="5.140625" style="1" bestFit="1" customWidth="1"/>
    <col min="12817" max="13054" width="9.140625" style="1"/>
    <col min="13055" max="13055" width="3.5703125" style="1" bestFit="1" customWidth="1"/>
    <col min="13056" max="13056" width="8.7109375" style="1" customWidth="1"/>
    <col min="13057" max="13057" width="54" style="1" customWidth="1"/>
    <col min="13058" max="13058" width="6.42578125" style="1" customWidth="1"/>
    <col min="13059" max="13059" width="7" style="1" customWidth="1"/>
    <col min="13060" max="13060" width="6.28515625" style="1" bestFit="1" customWidth="1"/>
    <col min="13061" max="13061" width="4.5703125" style="1" customWidth="1"/>
    <col min="13062" max="13062" width="7" style="1" customWidth="1"/>
    <col min="13063" max="13063" width="5.7109375" style="1" customWidth="1"/>
    <col min="13064" max="13064" width="6" style="1" customWidth="1"/>
    <col min="13065" max="13065" width="8.28515625" style="1" bestFit="1" customWidth="1"/>
    <col min="13066" max="13066" width="22.140625" style="1" customWidth="1"/>
    <col min="13067" max="13068" width="7.5703125" style="1" bestFit="1" customWidth="1"/>
    <col min="13069" max="13069" width="7.85546875" style="1" bestFit="1" customWidth="1"/>
    <col min="13070" max="13070" width="4.42578125" style="1" bestFit="1" customWidth="1"/>
    <col min="13071" max="13071" width="4.7109375" style="1" bestFit="1" customWidth="1"/>
    <col min="13072" max="13072" width="5.140625" style="1" bestFit="1" customWidth="1"/>
    <col min="13073" max="13310" width="9.140625" style="1"/>
    <col min="13311" max="13311" width="3.5703125" style="1" bestFit="1" customWidth="1"/>
    <col min="13312" max="13312" width="8.7109375" style="1" customWidth="1"/>
    <col min="13313" max="13313" width="54" style="1" customWidth="1"/>
    <col min="13314" max="13314" width="6.42578125" style="1" customWidth="1"/>
    <col min="13315" max="13315" width="7" style="1" customWidth="1"/>
    <col min="13316" max="13316" width="6.28515625" style="1" bestFit="1" customWidth="1"/>
    <col min="13317" max="13317" width="4.5703125" style="1" customWidth="1"/>
    <col min="13318" max="13318" width="7" style="1" customWidth="1"/>
    <col min="13319" max="13319" width="5.7109375" style="1" customWidth="1"/>
    <col min="13320" max="13320" width="6" style="1" customWidth="1"/>
    <col min="13321" max="13321" width="8.28515625" style="1" bestFit="1" customWidth="1"/>
    <col min="13322" max="13322" width="22.140625" style="1" customWidth="1"/>
    <col min="13323" max="13324" width="7.5703125" style="1" bestFit="1" customWidth="1"/>
    <col min="13325" max="13325" width="7.85546875" style="1" bestFit="1" customWidth="1"/>
    <col min="13326" max="13326" width="4.42578125" style="1" bestFit="1" customWidth="1"/>
    <col min="13327" max="13327" width="4.7109375" style="1" bestFit="1" customWidth="1"/>
    <col min="13328" max="13328" width="5.140625" style="1" bestFit="1" customWidth="1"/>
    <col min="13329" max="13566" width="9.140625" style="1"/>
    <col min="13567" max="13567" width="3.5703125" style="1" bestFit="1" customWidth="1"/>
    <col min="13568" max="13568" width="8.7109375" style="1" customWidth="1"/>
    <col min="13569" max="13569" width="54" style="1" customWidth="1"/>
    <col min="13570" max="13570" width="6.42578125" style="1" customWidth="1"/>
    <col min="13571" max="13571" width="7" style="1" customWidth="1"/>
    <col min="13572" max="13572" width="6.28515625" style="1" bestFit="1" customWidth="1"/>
    <col min="13573" max="13573" width="4.5703125" style="1" customWidth="1"/>
    <col min="13574" max="13574" width="7" style="1" customWidth="1"/>
    <col min="13575" max="13575" width="5.7109375" style="1" customWidth="1"/>
    <col min="13576" max="13576" width="6" style="1" customWidth="1"/>
    <col min="13577" max="13577" width="8.28515625" style="1" bestFit="1" customWidth="1"/>
    <col min="13578" max="13578" width="22.140625" style="1" customWidth="1"/>
    <col min="13579" max="13580" width="7.5703125" style="1" bestFit="1" customWidth="1"/>
    <col min="13581" max="13581" width="7.85546875" style="1" bestFit="1" customWidth="1"/>
    <col min="13582" max="13582" width="4.42578125" style="1" bestFit="1" customWidth="1"/>
    <col min="13583" max="13583" width="4.7109375" style="1" bestFit="1" customWidth="1"/>
    <col min="13584" max="13584" width="5.140625" style="1" bestFit="1" customWidth="1"/>
    <col min="13585" max="13822" width="9.140625" style="1"/>
    <col min="13823" max="13823" width="3.5703125" style="1" bestFit="1" customWidth="1"/>
    <col min="13824" max="13824" width="8.7109375" style="1" customWidth="1"/>
    <col min="13825" max="13825" width="54" style="1" customWidth="1"/>
    <col min="13826" max="13826" width="6.42578125" style="1" customWidth="1"/>
    <col min="13827" max="13827" width="7" style="1" customWidth="1"/>
    <col min="13828" max="13828" width="6.28515625" style="1" bestFit="1" customWidth="1"/>
    <col min="13829" max="13829" width="4.5703125" style="1" customWidth="1"/>
    <col min="13830" max="13830" width="7" style="1" customWidth="1"/>
    <col min="13831" max="13831" width="5.7109375" style="1" customWidth="1"/>
    <col min="13832" max="13832" width="6" style="1" customWidth="1"/>
    <col min="13833" max="13833" width="8.28515625" style="1" bestFit="1" customWidth="1"/>
    <col min="13834" max="13834" width="22.140625" style="1" customWidth="1"/>
    <col min="13835" max="13836" width="7.5703125" style="1" bestFit="1" customWidth="1"/>
    <col min="13837" max="13837" width="7.85546875" style="1" bestFit="1" customWidth="1"/>
    <col min="13838" max="13838" width="4.42578125" style="1" bestFit="1" customWidth="1"/>
    <col min="13839" max="13839" width="4.7109375" style="1" bestFit="1" customWidth="1"/>
    <col min="13840" max="13840" width="5.140625" style="1" bestFit="1" customWidth="1"/>
    <col min="13841" max="14078" width="9.140625" style="1"/>
    <col min="14079" max="14079" width="3.5703125" style="1" bestFit="1" customWidth="1"/>
    <col min="14080" max="14080" width="8.7109375" style="1" customWidth="1"/>
    <col min="14081" max="14081" width="54" style="1" customWidth="1"/>
    <col min="14082" max="14082" width="6.42578125" style="1" customWidth="1"/>
    <col min="14083" max="14083" width="7" style="1" customWidth="1"/>
    <col min="14084" max="14084" width="6.28515625" style="1" bestFit="1" customWidth="1"/>
    <col min="14085" max="14085" width="4.5703125" style="1" customWidth="1"/>
    <col min="14086" max="14086" width="7" style="1" customWidth="1"/>
    <col min="14087" max="14087" width="5.7109375" style="1" customWidth="1"/>
    <col min="14088" max="14088" width="6" style="1" customWidth="1"/>
    <col min="14089" max="14089" width="8.28515625" style="1" bestFit="1" customWidth="1"/>
    <col min="14090" max="14090" width="22.140625" style="1" customWidth="1"/>
    <col min="14091" max="14092" width="7.5703125" style="1" bestFit="1" customWidth="1"/>
    <col min="14093" max="14093" width="7.85546875" style="1" bestFit="1" customWidth="1"/>
    <col min="14094" max="14094" width="4.42578125" style="1" bestFit="1" customWidth="1"/>
    <col min="14095" max="14095" width="4.7109375" style="1" bestFit="1" customWidth="1"/>
    <col min="14096" max="14096" width="5.140625" style="1" bestFit="1" customWidth="1"/>
    <col min="14097" max="14334" width="9.140625" style="1"/>
    <col min="14335" max="14335" width="3.5703125" style="1" bestFit="1" customWidth="1"/>
    <col min="14336" max="14336" width="8.7109375" style="1" customWidth="1"/>
    <col min="14337" max="14337" width="54" style="1" customWidth="1"/>
    <col min="14338" max="14338" width="6.42578125" style="1" customWidth="1"/>
    <col min="14339" max="14339" width="7" style="1" customWidth="1"/>
    <col min="14340" max="14340" width="6.28515625" style="1" bestFit="1" customWidth="1"/>
    <col min="14341" max="14341" width="4.5703125" style="1" customWidth="1"/>
    <col min="14342" max="14342" width="7" style="1" customWidth="1"/>
    <col min="14343" max="14343" width="5.7109375" style="1" customWidth="1"/>
    <col min="14344" max="14344" width="6" style="1" customWidth="1"/>
    <col min="14345" max="14345" width="8.28515625" style="1" bestFit="1" customWidth="1"/>
    <col min="14346" max="14346" width="22.140625" style="1" customWidth="1"/>
    <col min="14347" max="14348" width="7.5703125" style="1" bestFit="1" customWidth="1"/>
    <col min="14349" max="14349" width="7.85546875" style="1" bestFit="1" customWidth="1"/>
    <col min="14350" max="14350" width="4.42578125" style="1" bestFit="1" customWidth="1"/>
    <col min="14351" max="14351" width="4.7109375" style="1" bestFit="1" customWidth="1"/>
    <col min="14352" max="14352" width="5.140625" style="1" bestFit="1" customWidth="1"/>
    <col min="14353" max="14590" width="9.140625" style="1"/>
    <col min="14591" max="14591" width="3.5703125" style="1" bestFit="1" customWidth="1"/>
    <col min="14592" max="14592" width="8.7109375" style="1" customWidth="1"/>
    <col min="14593" max="14593" width="54" style="1" customWidth="1"/>
    <col min="14594" max="14594" width="6.42578125" style="1" customWidth="1"/>
    <col min="14595" max="14595" width="7" style="1" customWidth="1"/>
    <col min="14596" max="14596" width="6.28515625" style="1" bestFit="1" customWidth="1"/>
    <col min="14597" max="14597" width="4.5703125" style="1" customWidth="1"/>
    <col min="14598" max="14598" width="7" style="1" customWidth="1"/>
    <col min="14599" max="14599" width="5.7109375" style="1" customWidth="1"/>
    <col min="14600" max="14600" width="6" style="1" customWidth="1"/>
    <col min="14601" max="14601" width="8.28515625" style="1" bestFit="1" customWidth="1"/>
    <col min="14602" max="14602" width="22.140625" style="1" customWidth="1"/>
    <col min="14603" max="14604" width="7.5703125" style="1" bestFit="1" customWidth="1"/>
    <col min="14605" max="14605" width="7.85546875" style="1" bestFit="1" customWidth="1"/>
    <col min="14606" max="14606" width="4.42578125" style="1" bestFit="1" customWidth="1"/>
    <col min="14607" max="14607" width="4.7109375" style="1" bestFit="1" customWidth="1"/>
    <col min="14608" max="14608" width="5.140625" style="1" bestFit="1" customWidth="1"/>
    <col min="14609" max="14846" width="9.140625" style="1"/>
    <col min="14847" max="14847" width="3.5703125" style="1" bestFit="1" customWidth="1"/>
    <col min="14848" max="14848" width="8.7109375" style="1" customWidth="1"/>
    <col min="14849" max="14849" width="54" style="1" customWidth="1"/>
    <col min="14850" max="14850" width="6.42578125" style="1" customWidth="1"/>
    <col min="14851" max="14851" width="7" style="1" customWidth="1"/>
    <col min="14852" max="14852" width="6.28515625" style="1" bestFit="1" customWidth="1"/>
    <col min="14853" max="14853" width="4.5703125" style="1" customWidth="1"/>
    <col min="14854" max="14854" width="7" style="1" customWidth="1"/>
    <col min="14855" max="14855" width="5.7109375" style="1" customWidth="1"/>
    <col min="14856" max="14856" width="6" style="1" customWidth="1"/>
    <col min="14857" max="14857" width="8.28515625" style="1" bestFit="1" customWidth="1"/>
    <col min="14858" max="14858" width="22.140625" style="1" customWidth="1"/>
    <col min="14859" max="14860" width="7.5703125" style="1" bestFit="1" customWidth="1"/>
    <col min="14861" max="14861" width="7.85546875" style="1" bestFit="1" customWidth="1"/>
    <col min="14862" max="14862" width="4.42578125" style="1" bestFit="1" customWidth="1"/>
    <col min="14863" max="14863" width="4.7109375" style="1" bestFit="1" customWidth="1"/>
    <col min="14864" max="14864" width="5.140625" style="1" bestFit="1" customWidth="1"/>
    <col min="14865" max="15102" width="9.140625" style="1"/>
    <col min="15103" max="15103" width="3.5703125" style="1" bestFit="1" customWidth="1"/>
    <col min="15104" max="15104" width="8.7109375" style="1" customWidth="1"/>
    <col min="15105" max="15105" width="54" style="1" customWidth="1"/>
    <col min="15106" max="15106" width="6.42578125" style="1" customWidth="1"/>
    <col min="15107" max="15107" width="7" style="1" customWidth="1"/>
    <col min="15108" max="15108" width="6.28515625" style="1" bestFit="1" customWidth="1"/>
    <col min="15109" max="15109" width="4.5703125" style="1" customWidth="1"/>
    <col min="15110" max="15110" width="7" style="1" customWidth="1"/>
    <col min="15111" max="15111" width="5.7109375" style="1" customWidth="1"/>
    <col min="15112" max="15112" width="6" style="1" customWidth="1"/>
    <col min="15113" max="15113" width="8.28515625" style="1" bestFit="1" customWidth="1"/>
    <col min="15114" max="15114" width="22.140625" style="1" customWidth="1"/>
    <col min="15115" max="15116" width="7.5703125" style="1" bestFit="1" customWidth="1"/>
    <col min="15117" max="15117" width="7.85546875" style="1" bestFit="1" customWidth="1"/>
    <col min="15118" max="15118" width="4.42578125" style="1" bestFit="1" customWidth="1"/>
    <col min="15119" max="15119" width="4.7109375" style="1" bestFit="1" customWidth="1"/>
    <col min="15120" max="15120" width="5.140625" style="1" bestFit="1" customWidth="1"/>
    <col min="15121" max="15358" width="9.140625" style="1"/>
    <col min="15359" max="15359" width="3.5703125" style="1" bestFit="1" customWidth="1"/>
    <col min="15360" max="15360" width="8.7109375" style="1" customWidth="1"/>
    <col min="15361" max="15361" width="54" style="1" customWidth="1"/>
    <col min="15362" max="15362" width="6.42578125" style="1" customWidth="1"/>
    <col min="15363" max="15363" width="7" style="1" customWidth="1"/>
    <col min="15364" max="15364" width="6.28515625" style="1" bestFit="1" customWidth="1"/>
    <col min="15365" max="15365" width="4.5703125" style="1" customWidth="1"/>
    <col min="15366" max="15366" width="7" style="1" customWidth="1"/>
    <col min="15367" max="15367" width="5.7109375" style="1" customWidth="1"/>
    <col min="15368" max="15368" width="6" style="1" customWidth="1"/>
    <col min="15369" max="15369" width="8.28515625" style="1" bestFit="1" customWidth="1"/>
    <col min="15370" max="15370" width="22.140625" style="1" customWidth="1"/>
    <col min="15371" max="15372" width="7.5703125" style="1" bestFit="1" customWidth="1"/>
    <col min="15373" max="15373" width="7.85546875" style="1" bestFit="1" customWidth="1"/>
    <col min="15374" max="15374" width="4.42578125" style="1" bestFit="1" customWidth="1"/>
    <col min="15375" max="15375" width="4.7109375" style="1" bestFit="1" customWidth="1"/>
    <col min="15376" max="15376" width="5.140625" style="1" bestFit="1" customWidth="1"/>
    <col min="15377" max="15614" width="9.140625" style="1"/>
    <col min="15615" max="15615" width="3.5703125" style="1" bestFit="1" customWidth="1"/>
    <col min="15616" max="15616" width="8.7109375" style="1" customWidth="1"/>
    <col min="15617" max="15617" width="54" style="1" customWidth="1"/>
    <col min="15618" max="15618" width="6.42578125" style="1" customWidth="1"/>
    <col min="15619" max="15619" width="7" style="1" customWidth="1"/>
    <col min="15620" max="15620" width="6.28515625" style="1" bestFit="1" customWidth="1"/>
    <col min="15621" max="15621" width="4.5703125" style="1" customWidth="1"/>
    <col min="15622" max="15622" width="7" style="1" customWidth="1"/>
    <col min="15623" max="15623" width="5.7109375" style="1" customWidth="1"/>
    <col min="15624" max="15624" width="6" style="1" customWidth="1"/>
    <col min="15625" max="15625" width="8.28515625" style="1" bestFit="1" customWidth="1"/>
    <col min="15626" max="15626" width="22.140625" style="1" customWidth="1"/>
    <col min="15627" max="15628" width="7.5703125" style="1" bestFit="1" customWidth="1"/>
    <col min="15629" max="15629" width="7.85546875" style="1" bestFit="1" customWidth="1"/>
    <col min="15630" max="15630" width="4.42578125" style="1" bestFit="1" customWidth="1"/>
    <col min="15631" max="15631" width="4.7109375" style="1" bestFit="1" customWidth="1"/>
    <col min="15632" max="15632" width="5.140625" style="1" bestFit="1" customWidth="1"/>
    <col min="15633" max="15870" width="9.140625" style="1"/>
    <col min="15871" max="15871" width="3.5703125" style="1" bestFit="1" customWidth="1"/>
    <col min="15872" max="15872" width="8.7109375" style="1" customWidth="1"/>
    <col min="15873" max="15873" width="54" style="1" customWidth="1"/>
    <col min="15874" max="15874" width="6.42578125" style="1" customWidth="1"/>
    <col min="15875" max="15875" width="7" style="1" customWidth="1"/>
    <col min="15876" max="15876" width="6.28515625" style="1" bestFit="1" customWidth="1"/>
    <col min="15877" max="15877" width="4.5703125" style="1" customWidth="1"/>
    <col min="15878" max="15878" width="7" style="1" customWidth="1"/>
    <col min="15879" max="15879" width="5.7109375" style="1" customWidth="1"/>
    <col min="15880" max="15880" width="6" style="1" customWidth="1"/>
    <col min="15881" max="15881" width="8.28515625" style="1" bestFit="1" customWidth="1"/>
    <col min="15882" max="15882" width="22.140625" style="1" customWidth="1"/>
    <col min="15883" max="15884" width="7.5703125" style="1" bestFit="1" customWidth="1"/>
    <col min="15885" max="15885" width="7.85546875" style="1" bestFit="1" customWidth="1"/>
    <col min="15886" max="15886" width="4.42578125" style="1" bestFit="1" customWidth="1"/>
    <col min="15887" max="15887" width="4.7109375" style="1" bestFit="1" customWidth="1"/>
    <col min="15888" max="15888" width="5.140625" style="1" bestFit="1" customWidth="1"/>
    <col min="15889" max="16126" width="9.140625" style="1"/>
    <col min="16127" max="16127" width="3.5703125" style="1" bestFit="1" customWidth="1"/>
    <col min="16128" max="16128" width="8.7109375" style="1" customWidth="1"/>
    <col min="16129" max="16129" width="54" style="1" customWidth="1"/>
    <col min="16130" max="16130" width="6.42578125" style="1" customWidth="1"/>
    <col min="16131" max="16131" width="7" style="1" customWidth="1"/>
    <col min="16132" max="16132" width="6.28515625" style="1" bestFit="1" customWidth="1"/>
    <col min="16133" max="16133" width="4.5703125" style="1" customWidth="1"/>
    <col min="16134" max="16134" width="7" style="1" customWidth="1"/>
    <col min="16135" max="16135" width="5.7109375" style="1" customWidth="1"/>
    <col min="16136" max="16136" width="6" style="1" customWidth="1"/>
    <col min="16137" max="16137" width="8.28515625" style="1" bestFit="1" customWidth="1"/>
    <col min="16138" max="16138" width="22.140625" style="1" customWidth="1"/>
    <col min="16139" max="16140" width="7.5703125" style="1" bestFit="1" customWidth="1"/>
    <col min="16141" max="16141" width="7.85546875" style="1" bestFit="1" customWidth="1"/>
    <col min="16142" max="16142" width="4.42578125" style="1" bestFit="1" customWidth="1"/>
    <col min="16143" max="16143" width="4.7109375" style="1" bestFit="1" customWidth="1"/>
    <col min="16144" max="16144" width="5.140625" style="1" bestFit="1" customWidth="1"/>
    <col min="16145" max="16384" width="9.140625" style="1"/>
  </cols>
  <sheetData>
    <row r="1" spans="1:16" ht="15" x14ac:dyDescent="0.25">
      <c r="A1" s="321" t="s">
        <v>48</v>
      </c>
      <c r="B1" s="321"/>
      <c r="C1" s="321"/>
      <c r="D1" s="321"/>
      <c r="E1" s="321"/>
      <c r="F1" s="321"/>
      <c r="G1" s="321"/>
      <c r="H1" s="321"/>
      <c r="I1" s="321"/>
      <c r="J1" s="321"/>
      <c r="K1" s="2"/>
      <c r="L1" s="2"/>
      <c r="M1" s="2"/>
      <c r="N1" s="2"/>
      <c r="O1" s="2"/>
      <c r="P1" s="2"/>
    </row>
    <row r="2" spans="1:16" ht="15" x14ac:dyDescent="0.25">
      <c r="A2" s="321" t="s">
        <v>59</v>
      </c>
      <c r="B2" s="321"/>
      <c r="C2" s="321"/>
      <c r="D2" s="321"/>
      <c r="E2" s="321"/>
      <c r="F2" s="321"/>
      <c r="G2" s="321"/>
      <c r="H2" s="321"/>
      <c r="I2" s="321"/>
      <c r="J2" s="321"/>
      <c r="K2" s="2"/>
      <c r="L2" s="2"/>
      <c r="M2" s="2"/>
      <c r="N2" s="2"/>
      <c r="O2" s="2"/>
      <c r="P2" s="2"/>
    </row>
    <row r="3" spans="1:16" x14ac:dyDescent="0.25">
      <c r="A3" s="3"/>
    </row>
    <row r="4" spans="1:16" ht="12.75" customHeight="1" x14ac:dyDescent="0.25">
      <c r="A4" s="322" t="s">
        <v>11</v>
      </c>
      <c r="B4" s="322" t="s">
        <v>49</v>
      </c>
      <c r="C4" s="323" t="s">
        <v>50</v>
      </c>
      <c r="D4" s="325" t="s">
        <v>51</v>
      </c>
      <c r="E4" s="327" t="s">
        <v>52</v>
      </c>
      <c r="F4" s="328"/>
      <c r="G4" s="328"/>
      <c r="H4" s="329"/>
      <c r="I4" s="323" t="s">
        <v>93</v>
      </c>
      <c r="J4" s="319" t="s">
        <v>53</v>
      </c>
    </row>
    <row r="5" spans="1:16" ht="25.5" customHeight="1" x14ac:dyDescent="0.25">
      <c r="A5" s="322"/>
      <c r="B5" s="322"/>
      <c r="C5" s="324"/>
      <c r="D5" s="326"/>
      <c r="E5" s="7" t="s">
        <v>54</v>
      </c>
      <c r="F5" s="7" t="s">
        <v>55</v>
      </c>
      <c r="G5" s="7" t="s">
        <v>56</v>
      </c>
      <c r="H5" s="7" t="s">
        <v>57</v>
      </c>
      <c r="I5" s="324"/>
      <c r="J5" s="320"/>
    </row>
    <row r="6" spans="1:16" s="9" customFormat="1" ht="11.25" x14ac:dyDescent="0.25">
      <c r="A6" s="8">
        <v>1</v>
      </c>
      <c r="B6" s="8">
        <v>2</v>
      </c>
      <c r="C6" s="8">
        <v>3</v>
      </c>
      <c r="D6" s="8">
        <v>4</v>
      </c>
      <c r="E6" s="8">
        <v>5</v>
      </c>
      <c r="F6" s="8">
        <v>6</v>
      </c>
      <c r="G6" s="8">
        <v>7</v>
      </c>
      <c r="H6" s="8">
        <v>8</v>
      </c>
      <c r="I6" s="8">
        <v>9</v>
      </c>
      <c r="J6" s="51">
        <v>10</v>
      </c>
    </row>
    <row r="7" spans="1:16" s="15" customFormat="1" ht="16.5" collapsed="1" x14ac:dyDescent="0.25">
      <c r="A7" s="10"/>
      <c r="B7" s="12" t="s">
        <v>67</v>
      </c>
      <c r="C7" s="11"/>
      <c r="D7" s="11"/>
      <c r="E7" s="11"/>
      <c r="F7" s="13"/>
      <c r="G7" s="11"/>
      <c r="H7" s="11"/>
      <c r="I7" s="11"/>
      <c r="J7" s="14"/>
    </row>
    <row r="8" spans="1:16" s="24" customFormat="1" x14ac:dyDescent="0.25">
      <c r="A8" s="16">
        <v>1</v>
      </c>
      <c r="B8" s="18" t="s">
        <v>62</v>
      </c>
      <c r="C8" s="19" t="s">
        <v>69</v>
      </c>
      <c r="D8" s="17"/>
      <c r="E8" s="20"/>
      <c r="F8" s="21"/>
      <c r="G8" s="20"/>
      <c r="H8" s="20"/>
      <c r="I8" s="22">
        <f>SUBTOTAL(9,I9:I13)</f>
        <v>1.1616000000000002</v>
      </c>
      <c r="J8" s="23"/>
    </row>
    <row r="9" spans="1:16" ht="13.5" outlineLevel="1" x14ac:dyDescent="0.25">
      <c r="A9" s="28"/>
      <c r="B9" s="41" t="s">
        <v>63</v>
      </c>
      <c r="C9" s="29"/>
      <c r="D9" s="28">
        <v>1</v>
      </c>
      <c r="E9" s="31">
        <f>0.1+4*5+0.4+0.4+4*2+2.1+2.1+4*2+0.1+2.1+4*5+0.1</f>
        <v>63.400000000000006</v>
      </c>
      <c r="F9" s="31">
        <f>0.3+0.3</f>
        <v>0.6</v>
      </c>
      <c r="G9" s="30"/>
      <c r="H9" s="26">
        <v>0.01</v>
      </c>
      <c r="I9" s="27">
        <f t="shared" ref="I9:I12" si="0">PRODUCT(D9:H9)</f>
        <v>0.38040000000000002</v>
      </c>
      <c r="J9" s="32"/>
    </row>
    <row r="10" spans="1:16" ht="13.5" outlineLevel="1" x14ac:dyDescent="0.25">
      <c r="A10" s="28"/>
      <c r="B10" s="41" t="s">
        <v>64</v>
      </c>
      <c r="C10" s="29"/>
      <c r="D10" s="28">
        <v>1</v>
      </c>
      <c r="E10" s="31">
        <f>2.1+4*3+2.1</f>
        <v>16.2</v>
      </c>
      <c r="F10" s="31">
        <f t="shared" ref="F10:F11" si="1">0.3+0.3</f>
        <v>0.6</v>
      </c>
      <c r="G10" s="30"/>
      <c r="H10" s="26">
        <v>0.01</v>
      </c>
      <c r="I10" s="27">
        <f t="shared" si="0"/>
        <v>9.7199999999999995E-2</v>
      </c>
      <c r="J10" s="32"/>
    </row>
    <row r="11" spans="1:16" ht="13.5" outlineLevel="1" x14ac:dyDescent="0.25">
      <c r="A11" s="28"/>
      <c r="B11" s="41" t="s">
        <v>65</v>
      </c>
      <c r="C11" s="29"/>
      <c r="D11" s="28">
        <v>1</v>
      </c>
      <c r="E11" s="31">
        <f>1.6+4*7+0.1+2.1+3.6+3.6+4*3+3.6+3.6+0.1+1.9+4*6+0.1+1.9+1.6+3.6+4*3+3.6</f>
        <v>107</v>
      </c>
      <c r="F11" s="31">
        <f t="shared" si="1"/>
        <v>0.6</v>
      </c>
      <c r="G11" s="30"/>
      <c r="H11" s="26">
        <v>0.01</v>
      </c>
      <c r="I11" s="27">
        <f t="shared" si="0"/>
        <v>0.64200000000000002</v>
      </c>
      <c r="J11" s="32"/>
    </row>
    <row r="12" spans="1:16" ht="13.5" outlineLevel="1" x14ac:dyDescent="0.25">
      <c r="A12" s="28"/>
      <c r="B12" s="41" t="s">
        <v>66</v>
      </c>
      <c r="C12" s="29"/>
      <c r="D12" s="28">
        <v>1</v>
      </c>
      <c r="E12" s="31">
        <f>5.2+1.8</f>
        <v>7</v>
      </c>
      <c r="F12" s="31">
        <f>0.2+0.1+0.3</f>
        <v>0.60000000000000009</v>
      </c>
      <c r="G12" s="30"/>
      <c r="H12" s="26">
        <v>0.01</v>
      </c>
      <c r="I12" s="27">
        <f t="shared" si="0"/>
        <v>4.200000000000001E-2</v>
      </c>
      <c r="J12" s="32"/>
    </row>
    <row r="13" spans="1:16" s="40" customFormat="1" ht="6.75" outlineLevel="1" x14ac:dyDescent="0.25">
      <c r="A13" s="33"/>
      <c r="B13" s="34"/>
      <c r="C13" s="35"/>
      <c r="D13" s="33"/>
      <c r="E13" s="36"/>
      <c r="F13" s="37"/>
      <c r="G13" s="36"/>
      <c r="H13" s="36"/>
      <c r="I13" s="38"/>
      <c r="J13" s="39"/>
    </row>
    <row r="14" spans="1:16" s="24" customFormat="1" x14ac:dyDescent="0.25">
      <c r="A14" s="16">
        <v>2</v>
      </c>
      <c r="B14" s="18" t="s">
        <v>68</v>
      </c>
      <c r="C14" s="19" t="s">
        <v>70</v>
      </c>
      <c r="D14" s="17"/>
      <c r="E14" s="20"/>
      <c r="F14" s="21"/>
      <c r="G14" s="20"/>
      <c r="H14" s="20"/>
      <c r="I14" s="22">
        <f>SUBTOTAL(9,I15:I19)</f>
        <v>12.378000000000002</v>
      </c>
      <c r="J14" s="23"/>
    </row>
    <row r="15" spans="1:16" ht="13.5" outlineLevel="1" x14ac:dyDescent="0.25">
      <c r="A15" s="28"/>
      <c r="B15" s="41" t="s">
        <v>63</v>
      </c>
      <c r="C15" s="29"/>
      <c r="D15" s="28">
        <v>1</v>
      </c>
      <c r="E15" s="31">
        <f>E9</f>
        <v>63.400000000000006</v>
      </c>
      <c r="F15" s="31">
        <v>0.2</v>
      </c>
      <c r="G15" s="52">
        <v>0.3</v>
      </c>
      <c r="H15" s="26"/>
      <c r="I15" s="27">
        <f t="shared" ref="I15:I18" si="2">PRODUCT(D15:H15)</f>
        <v>3.8040000000000003</v>
      </c>
      <c r="J15" s="32"/>
    </row>
    <row r="16" spans="1:16" ht="13.5" outlineLevel="1" x14ac:dyDescent="0.25">
      <c r="A16" s="28"/>
      <c r="B16" s="41" t="s">
        <v>64</v>
      </c>
      <c r="C16" s="29"/>
      <c r="D16" s="28">
        <v>2</v>
      </c>
      <c r="E16" s="31">
        <f>E10</f>
        <v>16.2</v>
      </c>
      <c r="F16" s="31">
        <v>0.2</v>
      </c>
      <c r="G16" s="52">
        <v>0.3</v>
      </c>
      <c r="H16" s="26"/>
      <c r="I16" s="27">
        <f>PRODUCT(D16:H16)</f>
        <v>1.944</v>
      </c>
      <c r="J16" s="32"/>
    </row>
    <row r="17" spans="1:10" ht="13.5" outlineLevel="1" x14ac:dyDescent="0.25">
      <c r="A17" s="28"/>
      <c r="B17" s="41" t="s">
        <v>65</v>
      </c>
      <c r="C17" s="29"/>
      <c r="D17" s="28">
        <v>2</v>
      </c>
      <c r="E17" s="31">
        <f>E11</f>
        <v>107</v>
      </c>
      <c r="F17" s="31">
        <v>0.1</v>
      </c>
      <c r="G17" s="52">
        <v>0.3</v>
      </c>
      <c r="H17" s="26"/>
      <c r="I17" s="27">
        <f t="shared" si="2"/>
        <v>6.4200000000000008</v>
      </c>
      <c r="J17" s="32"/>
    </row>
    <row r="18" spans="1:10" ht="13.5" outlineLevel="1" x14ac:dyDescent="0.25">
      <c r="A18" s="28"/>
      <c r="B18" s="41" t="s">
        <v>66</v>
      </c>
      <c r="C18" s="29"/>
      <c r="D18" s="28">
        <v>1</v>
      </c>
      <c r="E18" s="31">
        <f>E12</f>
        <v>7</v>
      </c>
      <c r="F18" s="31">
        <v>0.1</v>
      </c>
      <c r="G18" s="52">
        <v>0.3</v>
      </c>
      <c r="H18" s="26"/>
      <c r="I18" s="27">
        <f t="shared" si="2"/>
        <v>0.21000000000000002</v>
      </c>
      <c r="J18" s="32"/>
    </row>
    <row r="19" spans="1:10" s="40" customFormat="1" ht="6.75" outlineLevel="1" x14ac:dyDescent="0.25">
      <c r="A19" s="33"/>
      <c r="B19" s="34"/>
      <c r="C19" s="35"/>
      <c r="D19" s="33"/>
      <c r="E19" s="36"/>
      <c r="F19" s="37"/>
      <c r="G19" s="36"/>
      <c r="H19" s="36"/>
      <c r="I19" s="38"/>
      <c r="J19" s="39"/>
    </row>
    <row r="20" spans="1:10" s="24" customFormat="1" x14ac:dyDescent="0.25">
      <c r="A20" s="16">
        <v>3</v>
      </c>
      <c r="B20" s="18" t="s">
        <v>60</v>
      </c>
      <c r="C20" s="19" t="s">
        <v>69</v>
      </c>
      <c r="D20" s="17"/>
      <c r="E20" s="20"/>
      <c r="F20" s="21"/>
      <c r="G20" s="20"/>
      <c r="H20" s="20"/>
      <c r="I20" s="22">
        <f>SUBTOTAL(9,I21:I23)</f>
        <v>2.1120000000000005</v>
      </c>
      <c r="J20" s="23"/>
    </row>
    <row r="21" spans="1:10" ht="13.5" outlineLevel="1" x14ac:dyDescent="0.25">
      <c r="A21" s="28"/>
      <c r="B21" s="41" t="s">
        <v>26</v>
      </c>
      <c r="C21" s="29"/>
      <c r="D21" s="28">
        <v>60</v>
      </c>
      <c r="E21" s="52">
        <f>3.6-0.3</f>
        <v>3.3000000000000003</v>
      </c>
      <c r="F21" s="31">
        <f>0.2*4</f>
        <v>0.8</v>
      </c>
      <c r="G21" s="30"/>
      <c r="H21" s="26">
        <v>0.01</v>
      </c>
      <c r="I21" s="27">
        <f t="shared" ref="I21" si="3">PRODUCT(D21:H21)</f>
        <v>1.5840000000000003</v>
      </c>
      <c r="J21" s="32"/>
    </row>
    <row r="22" spans="1:10" ht="13.5" outlineLevel="1" x14ac:dyDescent="0.25">
      <c r="A22" s="28"/>
      <c r="B22" s="41" t="s">
        <v>27</v>
      </c>
      <c r="C22" s="29"/>
      <c r="D22" s="28">
        <v>22</v>
      </c>
      <c r="E22" s="52">
        <f>3.6-0.3-0.3</f>
        <v>3.0000000000000004</v>
      </c>
      <c r="F22" s="31">
        <f>0.2*4</f>
        <v>0.8</v>
      </c>
      <c r="G22" s="30"/>
      <c r="H22" s="26">
        <v>0.01</v>
      </c>
      <c r="I22" s="27">
        <f>PRODUCT(D22:H22)</f>
        <v>0.52800000000000014</v>
      </c>
      <c r="J22" s="32"/>
    </row>
    <row r="23" spans="1:10" s="40" customFormat="1" ht="6.75" outlineLevel="1" x14ac:dyDescent="0.25">
      <c r="A23" s="33"/>
      <c r="B23" s="34"/>
      <c r="C23" s="35"/>
      <c r="D23" s="33"/>
      <c r="E23" s="36"/>
      <c r="F23" s="37"/>
      <c r="G23" s="36"/>
      <c r="H23" s="36"/>
      <c r="I23" s="38"/>
      <c r="J23" s="39"/>
    </row>
    <row r="24" spans="1:10" s="24" customFormat="1" x14ac:dyDescent="0.25">
      <c r="A24" s="16">
        <v>4</v>
      </c>
      <c r="B24" s="18" t="s">
        <v>61</v>
      </c>
      <c r="C24" s="19" t="s">
        <v>70</v>
      </c>
      <c r="D24" s="17"/>
      <c r="E24" s="20"/>
      <c r="F24" s="21"/>
      <c r="G24" s="20"/>
      <c r="H24" s="20"/>
      <c r="I24" s="22">
        <f>SUBTOTAL(9,I25:I27)</f>
        <v>10.560000000000002</v>
      </c>
      <c r="J24" s="23"/>
    </row>
    <row r="25" spans="1:10" ht="13.5" outlineLevel="1" x14ac:dyDescent="0.25">
      <c r="A25" s="28"/>
      <c r="B25" s="41" t="s">
        <v>26</v>
      </c>
      <c r="C25" s="29"/>
      <c r="D25" s="28">
        <v>60</v>
      </c>
      <c r="E25" s="52">
        <f>E21</f>
        <v>3.3000000000000003</v>
      </c>
      <c r="F25" s="31">
        <v>0.2</v>
      </c>
      <c r="G25" s="52">
        <v>0.2</v>
      </c>
      <c r="H25" s="30"/>
      <c r="I25" s="42">
        <f>PRODUCT(D25:H25)</f>
        <v>7.9200000000000017</v>
      </c>
      <c r="J25" s="32"/>
    </row>
    <row r="26" spans="1:10" ht="13.5" outlineLevel="1" x14ac:dyDescent="0.25">
      <c r="A26" s="28"/>
      <c r="B26" s="41" t="s">
        <v>27</v>
      </c>
      <c r="C26" s="29"/>
      <c r="D26" s="28">
        <v>22</v>
      </c>
      <c r="E26" s="52">
        <f>E22</f>
        <v>3.0000000000000004</v>
      </c>
      <c r="F26" s="31">
        <v>0.2</v>
      </c>
      <c r="G26" s="52">
        <v>0.2</v>
      </c>
      <c r="H26" s="30"/>
      <c r="I26" s="42">
        <f>PRODUCT(D26:H26)</f>
        <v>2.6400000000000006</v>
      </c>
      <c r="J26" s="32"/>
    </row>
    <row r="27" spans="1:10" s="40" customFormat="1" ht="6.75" outlineLevel="1" x14ac:dyDescent="0.25">
      <c r="A27" s="33"/>
      <c r="B27" s="34"/>
      <c r="C27" s="35"/>
      <c r="D27" s="33"/>
      <c r="E27" s="36"/>
      <c r="F27" s="37"/>
      <c r="G27" s="36"/>
      <c r="H27" s="36"/>
      <c r="I27" s="38">
        <f>PRODUCT(D27:H27)</f>
        <v>0</v>
      </c>
      <c r="J27" s="39"/>
    </row>
    <row r="28" spans="1:10" s="24" customFormat="1" x14ac:dyDescent="0.25">
      <c r="A28" s="16">
        <v>5</v>
      </c>
      <c r="B28" s="18" t="s">
        <v>71</v>
      </c>
      <c r="C28" s="19" t="s">
        <v>69</v>
      </c>
      <c r="D28" s="17"/>
      <c r="E28" s="20"/>
      <c r="F28" s="21"/>
      <c r="G28" s="20"/>
      <c r="H28" s="20"/>
      <c r="I28" s="22">
        <f>SUBTOTAL(9,I29:I36)</f>
        <v>3.2604000000000011</v>
      </c>
      <c r="J28" s="23"/>
    </row>
    <row r="29" spans="1:10" ht="13.5" outlineLevel="1" x14ac:dyDescent="0.25">
      <c r="A29" s="28"/>
      <c r="B29" s="25" t="s">
        <v>72</v>
      </c>
      <c r="C29" s="29"/>
      <c r="D29" s="28">
        <v>4</v>
      </c>
      <c r="E29" s="52">
        <f>2.1+4*9+0.1-0.2*12</f>
        <v>35.800000000000004</v>
      </c>
      <c r="F29" s="31">
        <f>0.2+0.2+0.2</f>
        <v>0.60000000000000009</v>
      </c>
      <c r="G29" s="30"/>
      <c r="H29" s="30">
        <v>0.01</v>
      </c>
      <c r="I29" s="42">
        <f>PRODUCT(D29:H29)</f>
        <v>0.85920000000000019</v>
      </c>
      <c r="J29" s="32"/>
    </row>
    <row r="30" spans="1:10" ht="13.5" outlineLevel="1" x14ac:dyDescent="0.25">
      <c r="A30" s="28"/>
      <c r="B30" s="41" t="s">
        <v>73</v>
      </c>
      <c r="C30" s="29"/>
      <c r="D30" s="28">
        <v>2</v>
      </c>
      <c r="E30" s="52">
        <f>2.1+4*8+2.3-0.2*10</f>
        <v>34.4</v>
      </c>
      <c r="F30" s="31">
        <f>0.2+0.2+0.3</f>
        <v>0.7</v>
      </c>
      <c r="G30" s="30"/>
      <c r="H30" s="30">
        <v>0.01</v>
      </c>
      <c r="I30" s="42">
        <f t="shared" ref="I30:I35" si="4">PRODUCT(D30:H30)</f>
        <v>0.48159999999999997</v>
      </c>
      <c r="J30" s="32"/>
    </row>
    <row r="31" spans="1:10" ht="13.5" outlineLevel="1" x14ac:dyDescent="0.25">
      <c r="A31" s="28"/>
      <c r="B31" s="41" t="s">
        <v>74</v>
      </c>
      <c r="C31" s="29"/>
      <c r="D31" s="28">
        <v>9</v>
      </c>
      <c r="E31" s="52">
        <f>0.1+4*5+0.1-0.2*7</f>
        <v>18.800000000000004</v>
      </c>
      <c r="F31" s="31">
        <f>0.2+0.2+0.2</f>
        <v>0.60000000000000009</v>
      </c>
      <c r="G31" s="30"/>
      <c r="H31" s="30">
        <v>0.01</v>
      </c>
      <c r="I31" s="42">
        <f t="shared" si="4"/>
        <v>1.0152000000000003</v>
      </c>
      <c r="J31" s="32"/>
    </row>
    <row r="32" spans="1:10" ht="13.5" outlineLevel="1" x14ac:dyDescent="0.25">
      <c r="A32" s="28"/>
      <c r="B32" s="41" t="s">
        <v>75</v>
      </c>
      <c r="C32" s="29"/>
      <c r="D32" s="28">
        <v>2</v>
      </c>
      <c r="E32" s="52">
        <f>2.3+4*3+2.3-0.2*3</f>
        <v>16</v>
      </c>
      <c r="F32" s="31">
        <f>0.2+0.2+0.3</f>
        <v>0.7</v>
      </c>
      <c r="G32" s="30"/>
      <c r="H32" s="30">
        <v>0.01</v>
      </c>
      <c r="I32" s="42">
        <f t="shared" si="4"/>
        <v>0.22399999999999998</v>
      </c>
      <c r="J32" s="32"/>
    </row>
    <row r="33" spans="1:10" ht="13.5" outlineLevel="1" x14ac:dyDescent="0.25">
      <c r="A33" s="28"/>
      <c r="B33" s="41" t="s">
        <v>76</v>
      </c>
      <c r="C33" s="29"/>
      <c r="D33" s="28">
        <v>2</v>
      </c>
      <c r="E33" s="52">
        <f>2.1+4*9+0.1-0.2*5.5</f>
        <v>37.1</v>
      </c>
      <c r="F33" s="31">
        <f>0.25+0.2+0.25</f>
        <v>0.7</v>
      </c>
      <c r="G33" s="30"/>
      <c r="H33" s="30">
        <v>0.01</v>
      </c>
      <c r="I33" s="42">
        <f t="shared" si="4"/>
        <v>0.51939999999999997</v>
      </c>
      <c r="J33" s="32"/>
    </row>
    <row r="34" spans="1:10" ht="13.5" outlineLevel="1" x14ac:dyDescent="0.25">
      <c r="A34" s="28"/>
      <c r="B34" s="41"/>
      <c r="C34" s="29"/>
      <c r="D34" s="28">
        <v>2</v>
      </c>
      <c r="E34" s="52">
        <f>1.7+0.1-0.2*0.5</f>
        <v>1.7</v>
      </c>
      <c r="F34" s="31">
        <f>0.25+0.2+0.25</f>
        <v>0.7</v>
      </c>
      <c r="G34" s="30"/>
      <c r="H34" s="30">
        <v>0.01</v>
      </c>
      <c r="I34" s="42">
        <f t="shared" si="4"/>
        <v>2.3799999999999998E-2</v>
      </c>
      <c r="J34" s="32"/>
    </row>
    <row r="35" spans="1:10" ht="13.5" outlineLevel="1" x14ac:dyDescent="0.25">
      <c r="A35" s="28"/>
      <c r="B35" s="41" t="s">
        <v>77</v>
      </c>
      <c r="C35" s="29"/>
      <c r="D35" s="28">
        <v>1</v>
      </c>
      <c r="E35" s="52">
        <f>0.1+4*5+0.1-0.2*3</f>
        <v>19.600000000000001</v>
      </c>
      <c r="F35" s="31">
        <f>0.25+0.2+0.25</f>
        <v>0.7</v>
      </c>
      <c r="G35" s="30"/>
      <c r="H35" s="30">
        <v>0.01</v>
      </c>
      <c r="I35" s="42">
        <f t="shared" si="4"/>
        <v>0.13720000000000002</v>
      </c>
      <c r="J35" s="32"/>
    </row>
    <row r="36" spans="1:10" s="40" customFormat="1" ht="6.75" outlineLevel="1" x14ac:dyDescent="0.25">
      <c r="A36" s="33"/>
      <c r="B36" s="34"/>
      <c r="C36" s="35"/>
      <c r="D36" s="33"/>
      <c r="E36" s="36"/>
      <c r="F36" s="37"/>
      <c r="G36" s="36"/>
      <c r="H36" s="36"/>
      <c r="I36" s="38">
        <f>PRODUCT(D36:H36)</f>
        <v>0</v>
      </c>
      <c r="J36" s="39"/>
    </row>
    <row r="37" spans="1:10" s="24" customFormat="1" x14ac:dyDescent="0.25">
      <c r="A37" s="16">
        <v>6</v>
      </c>
      <c r="B37" s="18" t="s">
        <v>78</v>
      </c>
      <c r="C37" s="19" t="s">
        <v>70</v>
      </c>
      <c r="D37" s="17"/>
      <c r="E37" s="20"/>
      <c r="F37" s="21"/>
      <c r="G37" s="20"/>
      <c r="H37" s="20"/>
      <c r="I37" s="22">
        <f>SUBTOTAL(9,I38:I45)</f>
        <v>30.358000000000001</v>
      </c>
      <c r="J37" s="23"/>
    </row>
    <row r="38" spans="1:10" ht="13.5" outlineLevel="1" x14ac:dyDescent="0.25">
      <c r="A38" s="28"/>
      <c r="B38" s="25" t="s">
        <v>72</v>
      </c>
      <c r="C38" s="29"/>
      <c r="D38" s="28">
        <v>4</v>
      </c>
      <c r="E38" s="52">
        <f>2.1+4*9+0.1</f>
        <v>38.200000000000003</v>
      </c>
      <c r="F38" s="31">
        <f>0.2</f>
        <v>0.2</v>
      </c>
      <c r="G38" s="52">
        <v>0.3</v>
      </c>
      <c r="H38" s="30"/>
      <c r="I38" s="42">
        <f>PRODUCT(D38:H38)</f>
        <v>9.168000000000001</v>
      </c>
      <c r="J38" s="32"/>
    </row>
    <row r="39" spans="1:10" ht="13.5" outlineLevel="1" x14ac:dyDescent="0.25">
      <c r="A39" s="28"/>
      <c r="B39" s="41" t="s">
        <v>73</v>
      </c>
      <c r="C39" s="29"/>
      <c r="D39" s="28">
        <v>2</v>
      </c>
      <c r="E39" s="52">
        <f>2.1+4*8+2.3</f>
        <v>36.4</v>
      </c>
      <c r="F39" s="31">
        <v>0.2</v>
      </c>
      <c r="G39" s="52">
        <v>0.3</v>
      </c>
      <c r="H39" s="30"/>
      <c r="I39" s="42">
        <f t="shared" ref="I39:I44" si="5">PRODUCT(D39:H39)</f>
        <v>4.3680000000000003</v>
      </c>
      <c r="J39" s="32"/>
    </row>
    <row r="40" spans="1:10" ht="13.5" outlineLevel="1" x14ac:dyDescent="0.25">
      <c r="A40" s="28"/>
      <c r="B40" s="41" t="s">
        <v>74</v>
      </c>
      <c r="C40" s="29"/>
      <c r="D40" s="28">
        <v>9</v>
      </c>
      <c r="E40" s="52">
        <f>0.1+4*5+0.1-0.2*8</f>
        <v>18.600000000000001</v>
      </c>
      <c r="F40" s="31">
        <v>0.2</v>
      </c>
      <c r="G40" s="52">
        <v>0.3</v>
      </c>
      <c r="H40" s="30"/>
      <c r="I40" s="42">
        <f t="shared" si="5"/>
        <v>10.044</v>
      </c>
      <c r="J40" s="32" t="s">
        <v>79</v>
      </c>
    </row>
    <row r="41" spans="1:10" ht="13.5" outlineLevel="1" x14ac:dyDescent="0.25">
      <c r="A41" s="28"/>
      <c r="B41" s="41" t="s">
        <v>75</v>
      </c>
      <c r="C41" s="29"/>
      <c r="D41" s="28">
        <v>2</v>
      </c>
      <c r="E41" s="52">
        <f>2.3+4*3+2.3-0.2*6</f>
        <v>15.400000000000002</v>
      </c>
      <c r="F41" s="31">
        <v>0.2</v>
      </c>
      <c r="G41" s="52">
        <v>0.3</v>
      </c>
      <c r="H41" s="30"/>
      <c r="I41" s="42">
        <f t="shared" si="5"/>
        <v>1.8480000000000003</v>
      </c>
      <c r="J41" s="32" t="s">
        <v>79</v>
      </c>
    </row>
    <row r="42" spans="1:10" ht="13.5" outlineLevel="1" x14ac:dyDescent="0.25">
      <c r="A42" s="28"/>
      <c r="B42" s="41" t="s">
        <v>76</v>
      </c>
      <c r="C42" s="29"/>
      <c r="D42" s="28">
        <v>2</v>
      </c>
      <c r="E42" s="52">
        <f>2.1+4*9+0.1</f>
        <v>38.200000000000003</v>
      </c>
      <c r="F42" s="31">
        <v>0.2</v>
      </c>
      <c r="G42" s="52">
        <v>0.25</v>
      </c>
      <c r="H42" s="30"/>
      <c r="I42" s="42">
        <f t="shared" si="5"/>
        <v>3.8200000000000003</v>
      </c>
      <c r="J42" s="32"/>
    </row>
    <row r="43" spans="1:10" ht="13.5" outlineLevel="1" x14ac:dyDescent="0.25">
      <c r="A43" s="28"/>
      <c r="B43" s="41"/>
      <c r="C43" s="29"/>
      <c r="D43" s="28">
        <v>2</v>
      </c>
      <c r="E43" s="52">
        <f>1.7+0.1-0.2</f>
        <v>1.6</v>
      </c>
      <c r="F43" s="31">
        <v>0.2</v>
      </c>
      <c r="G43" s="52">
        <v>0.25</v>
      </c>
      <c r="H43" s="30"/>
      <c r="I43" s="42">
        <f t="shared" si="5"/>
        <v>0.16000000000000003</v>
      </c>
      <c r="J43" s="32" t="s">
        <v>79</v>
      </c>
    </row>
    <row r="44" spans="1:10" ht="13.5" outlineLevel="1" x14ac:dyDescent="0.25">
      <c r="A44" s="28"/>
      <c r="B44" s="41" t="s">
        <v>77</v>
      </c>
      <c r="C44" s="29"/>
      <c r="D44" s="28">
        <v>1</v>
      </c>
      <c r="E44" s="52">
        <f>0.1+4*5+0.1-0.2*6</f>
        <v>19.000000000000004</v>
      </c>
      <c r="F44" s="31">
        <v>0.2</v>
      </c>
      <c r="G44" s="52">
        <v>0.25</v>
      </c>
      <c r="H44" s="30"/>
      <c r="I44" s="42">
        <f t="shared" si="5"/>
        <v>0.95000000000000018</v>
      </c>
      <c r="J44" s="32" t="s">
        <v>79</v>
      </c>
    </row>
    <row r="45" spans="1:10" s="40" customFormat="1" ht="6.75" outlineLevel="1" x14ac:dyDescent="0.25">
      <c r="A45" s="33"/>
      <c r="B45" s="34"/>
      <c r="C45" s="35"/>
      <c r="D45" s="33"/>
      <c r="E45" s="36"/>
      <c r="F45" s="37"/>
      <c r="G45" s="36"/>
      <c r="H45" s="36"/>
      <c r="I45" s="38">
        <f>PRODUCT(D45:H45)</f>
        <v>0</v>
      </c>
      <c r="J45" s="39"/>
    </row>
    <row r="46" spans="1:10" s="24" customFormat="1" x14ac:dyDescent="0.25">
      <c r="A46" s="16">
        <v>7</v>
      </c>
      <c r="B46" s="18" t="s">
        <v>80</v>
      </c>
      <c r="C46" s="19" t="s">
        <v>69</v>
      </c>
      <c r="D46" s="17"/>
      <c r="E46" s="20"/>
      <c r="F46" s="21"/>
      <c r="G46" s="20"/>
      <c r="H46" s="20"/>
      <c r="I46" s="22">
        <f>SUBTOTAL(9,I47:I51)</f>
        <v>5.331599999999999</v>
      </c>
      <c r="J46" s="23"/>
    </row>
    <row r="47" spans="1:10" ht="13.5" outlineLevel="1" x14ac:dyDescent="0.25">
      <c r="A47" s="28"/>
      <c r="B47" s="41" t="s">
        <v>81</v>
      </c>
      <c r="C47" s="29"/>
      <c r="D47" s="28">
        <v>24</v>
      </c>
      <c r="E47" s="52">
        <v>3.8</v>
      </c>
      <c r="F47" s="31">
        <v>3.8</v>
      </c>
      <c r="G47" s="30"/>
      <c r="H47" s="26">
        <v>0.01</v>
      </c>
      <c r="I47" s="27">
        <f t="shared" ref="I47:I50" si="6">PRODUCT(D47:H47)</f>
        <v>3.4655999999999993</v>
      </c>
      <c r="J47" s="32"/>
    </row>
    <row r="48" spans="1:10" ht="13.5" outlineLevel="1" x14ac:dyDescent="0.25">
      <c r="A48" s="28"/>
      <c r="B48" s="41" t="s">
        <v>82</v>
      </c>
      <c r="C48" s="29"/>
      <c r="D48" s="28">
        <v>19</v>
      </c>
      <c r="E48" s="52">
        <v>3.8</v>
      </c>
      <c r="F48" s="31">
        <v>2</v>
      </c>
      <c r="G48" s="30"/>
      <c r="H48" s="26">
        <v>0.01</v>
      </c>
      <c r="I48" s="27">
        <f t="shared" si="6"/>
        <v>1.4440000000000002</v>
      </c>
      <c r="J48" s="32"/>
    </row>
    <row r="49" spans="1:12" ht="13.5" outlineLevel="1" x14ac:dyDescent="0.25">
      <c r="A49" s="28"/>
      <c r="B49" s="41"/>
      <c r="C49" s="29"/>
      <c r="D49" s="28">
        <v>5</v>
      </c>
      <c r="E49" s="52">
        <v>3.8</v>
      </c>
      <c r="F49" s="31">
        <v>1.8</v>
      </c>
      <c r="G49" s="30"/>
      <c r="H49" s="26">
        <v>0.01</v>
      </c>
      <c r="I49" s="27">
        <f t="shared" si="6"/>
        <v>0.34200000000000003</v>
      </c>
      <c r="J49" s="32"/>
    </row>
    <row r="50" spans="1:12" ht="13.5" outlineLevel="1" x14ac:dyDescent="0.25">
      <c r="A50" s="28"/>
      <c r="B50" s="41"/>
      <c r="C50" s="29"/>
      <c r="D50" s="28">
        <v>2</v>
      </c>
      <c r="E50" s="52">
        <v>2</v>
      </c>
      <c r="F50" s="31">
        <v>2</v>
      </c>
      <c r="G50" s="30"/>
      <c r="H50" s="26">
        <v>0.01</v>
      </c>
      <c r="I50" s="27">
        <f t="shared" si="6"/>
        <v>0.08</v>
      </c>
      <c r="J50" s="32"/>
    </row>
    <row r="51" spans="1:12" s="40" customFormat="1" ht="6.75" outlineLevel="1" x14ac:dyDescent="0.25">
      <c r="A51" s="33"/>
      <c r="B51" s="34"/>
      <c r="C51" s="35"/>
      <c r="D51" s="33"/>
      <c r="E51" s="36"/>
      <c r="F51" s="37"/>
      <c r="G51" s="36"/>
      <c r="H51" s="36"/>
      <c r="I51" s="38"/>
      <c r="J51" s="39"/>
    </row>
    <row r="52" spans="1:12" s="24" customFormat="1" x14ac:dyDescent="0.25">
      <c r="A52" s="16">
        <v>8</v>
      </c>
      <c r="B52" s="18" t="s">
        <v>83</v>
      </c>
      <c r="C52" s="19" t="s">
        <v>70</v>
      </c>
      <c r="D52" s="17"/>
      <c r="E52" s="20"/>
      <c r="F52" s="21"/>
      <c r="G52" s="20"/>
      <c r="H52" s="20"/>
      <c r="I52" s="22">
        <f>SUBTOTAL(9,I53:I57)</f>
        <v>49.583999999999996</v>
      </c>
      <c r="J52" s="23"/>
      <c r="L52" s="53">
        <f>I52+I37</f>
        <v>79.941999999999993</v>
      </c>
    </row>
    <row r="53" spans="1:12" ht="13.5" outlineLevel="1" x14ac:dyDescent="0.25">
      <c r="A53" s="28"/>
      <c r="B53" s="41" t="s">
        <v>81</v>
      </c>
      <c r="C53" s="29"/>
      <c r="D53" s="28">
        <v>24</v>
      </c>
      <c r="E53" s="52">
        <v>3.8</v>
      </c>
      <c r="F53" s="31">
        <v>3.8</v>
      </c>
      <c r="G53" s="52">
        <v>0.1</v>
      </c>
      <c r="H53" s="26"/>
      <c r="I53" s="27">
        <f t="shared" ref="I53:I56" si="7">PRODUCT(D53:H53)</f>
        <v>34.655999999999999</v>
      </c>
      <c r="J53" s="32" t="s">
        <v>58</v>
      </c>
    </row>
    <row r="54" spans="1:12" ht="13.5" outlineLevel="1" x14ac:dyDescent="0.25">
      <c r="A54" s="28"/>
      <c r="B54" s="41" t="s">
        <v>82</v>
      </c>
      <c r="C54" s="29"/>
      <c r="D54" s="28">
        <v>19</v>
      </c>
      <c r="E54" s="52">
        <v>3.8</v>
      </c>
      <c r="F54" s="31">
        <v>2</v>
      </c>
      <c r="G54" s="52">
        <v>0.08</v>
      </c>
      <c r="H54" s="26"/>
      <c r="I54" s="27">
        <f t="shared" si="7"/>
        <v>11.552000000000001</v>
      </c>
      <c r="J54" s="32"/>
    </row>
    <row r="55" spans="1:12" ht="13.5" outlineLevel="1" x14ac:dyDescent="0.25">
      <c r="A55" s="28"/>
      <c r="B55" s="41"/>
      <c r="C55" s="29"/>
      <c r="D55" s="28">
        <v>5</v>
      </c>
      <c r="E55" s="52">
        <v>3.8</v>
      </c>
      <c r="F55" s="31">
        <v>1.8</v>
      </c>
      <c r="G55" s="52">
        <v>0.08</v>
      </c>
      <c r="H55" s="26"/>
      <c r="I55" s="27">
        <f t="shared" si="7"/>
        <v>2.7360000000000002</v>
      </c>
      <c r="J55" s="32"/>
    </row>
    <row r="56" spans="1:12" ht="13.5" outlineLevel="1" x14ac:dyDescent="0.25">
      <c r="A56" s="28"/>
      <c r="B56" s="41"/>
      <c r="C56" s="29"/>
      <c r="D56" s="28">
        <v>2</v>
      </c>
      <c r="E56" s="52">
        <v>2</v>
      </c>
      <c r="F56" s="31">
        <v>2</v>
      </c>
      <c r="G56" s="52">
        <v>0.08</v>
      </c>
      <c r="H56" s="26"/>
      <c r="I56" s="27">
        <f t="shared" si="7"/>
        <v>0.64</v>
      </c>
      <c r="J56" s="32"/>
    </row>
    <row r="57" spans="1:12" s="40" customFormat="1" ht="6.75" outlineLevel="1" x14ac:dyDescent="0.25">
      <c r="A57" s="33"/>
      <c r="B57" s="34"/>
      <c r="C57" s="35"/>
      <c r="D57" s="33"/>
      <c r="E57" s="36"/>
      <c r="F57" s="37"/>
      <c r="G57" s="36"/>
      <c r="H57" s="36"/>
      <c r="I57" s="38"/>
      <c r="J57" s="39"/>
    </row>
    <row r="58" spans="1:12" s="24" customFormat="1" x14ac:dyDescent="0.25">
      <c r="A58" s="16">
        <v>9</v>
      </c>
      <c r="B58" s="18" t="s">
        <v>84</v>
      </c>
      <c r="C58" s="19" t="s">
        <v>69</v>
      </c>
      <c r="D58" s="17"/>
      <c r="E58" s="20"/>
      <c r="F58" s="21"/>
      <c r="G58" s="20"/>
      <c r="H58" s="20"/>
      <c r="I58" s="22">
        <f>SUBTOTAL(9,I59:I68)</f>
        <v>0.85239999999999982</v>
      </c>
      <c r="J58" s="23"/>
    </row>
    <row r="59" spans="1:12" ht="13.5" outlineLevel="1" x14ac:dyDescent="0.25">
      <c r="A59" s="28"/>
      <c r="B59" s="41" t="s">
        <v>85</v>
      </c>
      <c r="C59" s="29"/>
      <c r="D59" s="28">
        <v>6</v>
      </c>
      <c r="E59" s="52">
        <v>3.8</v>
      </c>
      <c r="F59" s="31">
        <f>0.2+0.2+0.2</f>
        <v>0.60000000000000009</v>
      </c>
      <c r="G59" s="30"/>
      <c r="H59" s="26">
        <v>0.01</v>
      </c>
      <c r="I59" s="27">
        <f>PRODUCT(D59:H59)</f>
        <v>0.1368</v>
      </c>
      <c r="J59" s="32"/>
    </row>
    <row r="60" spans="1:12" ht="13.5" outlineLevel="1" x14ac:dyDescent="0.25">
      <c r="A60" s="28"/>
      <c r="B60" s="41"/>
      <c r="C60" s="29"/>
      <c r="D60" s="28">
        <v>2</v>
      </c>
      <c r="E60" s="52">
        <v>1.8</v>
      </c>
      <c r="F60" s="31">
        <v>0.6</v>
      </c>
      <c r="G60" s="30"/>
      <c r="H60" s="26">
        <v>0.01</v>
      </c>
      <c r="I60" s="27">
        <f t="shared" ref="I60:I67" si="8">PRODUCT(D60:H60)</f>
        <v>2.1600000000000001E-2</v>
      </c>
      <c r="J60" s="32"/>
    </row>
    <row r="61" spans="1:12" ht="13.5" outlineLevel="1" x14ac:dyDescent="0.25">
      <c r="A61" s="28"/>
      <c r="B61" s="41" t="s">
        <v>86</v>
      </c>
      <c r="C61" s="29"/>
      <c r="D61" s="28">
        <v>17</v>
      </c>
      <c r="E61" s="52">
        <v>3.8</v>
      </c>
      <c r="F61" s="31">
        <f>0.3+0.2+0.2</f>
        <v>0.7</v>
      </c>
      <c r="G61" s="30"/>
      <c r="H61" s="26">
        <v>0.01</v>
      </c>
      <c r="I61" s="27">
        <f t="shared" si="8"/>
        <v>0.45219999999999994</v>
      </c>
      <c r="J61" s="32"/>
    </row>
    <row r="62" spans="1:12" ht="13.5" outlineLevel="1" x14ac:dyDescent="0.25">
      <c r="A62" s="28"/>
      <c r="B62" s="41"/>
      <c r="C62" s="29"/>
      <c r="D62" s="28">
        <v>1</v>
      </c>
      <c r="E62" s="52">
        <v>1.8</v>
      </c>
      <c r="F62" s="31">
        <f>0.3+0.2+0.2</f>
        <v>0.7</v>
      </c>
      <c r="G62" s="30"/>
      <c r="H62" s="26">
        <v>0.01</v>
      </c>
      <c r="I62" s="27">
        <f t="shared" si="8"/>
        <v>1.26E-2</v>
      </c>
      <c r="J62" s="32"/>
    </row>
    <row r="63" spans="1:12" ht="13.5" outlineLevel="1" x14ac:dyDescent="0.25">
      <c r="A63" s="28"/>
      <c r="B63" s="41" t="s">
        <v>87</v>
      </c>
      <c r="C63" s="29"/>
      <c r="D63" s="28">
        <v>17</v>
      </c>
      <c r="E63" s="52">
        <v>3.8</v>
      </c>
      <c r="F63" s="31">
        <f>0.1+0.1</f>
        <v>0.2</v>
      </c>
      <c r="G63" s="30"/>
      <c r="H63" s="26">
        <v>0.01</v>
      </c>
      <c r="I63" s="27">
        <f t="shared" si="8"/>
        <v>0.12920000000000001</v>
      </c>
      <c r="J63" s="32"/>
    </row>
    <row r="64" spans="1:12" ht="13.5" outlineLevel="1" x14ac:dyDescent="0.25">
      <c r="A64" s="28"/>
      <c r="B64" s="41"/>
      <c r="C64" s="29"/>
      <c r="D64" s="28">
        <v>6</v>
      </c>
      <c r="E64" s="52">
        <v>1.8</v>
      </c>
      <c r="F64" s="31">
        <f>0.1+0.1</f>
        <v>0.2</v>
      </c>
      <c r="G64" s="30"/>
      <c r="H64" s="26">
        <v>0.01</v>
      </c>
      <c r="I64" s="27">
        <f t="shared" si="8"/>
        <v>2.1600000000000001E-2</v>
      </c>
      <c r="J64" s="32"/>
    </row>
    <row r="65" spans="1:10" ht="13.5" outlineLevel="1" x14ac:dyDescent="0.25">
      <c r="A65" s="28"/>
      <c r="B65" s="41"/>
      <c r="C65" s="29"/>
      <c r="D65" s="28">
        <v>1</v>
      </c>
      <c r="E65" s="52">
        <f>3.9+1.9+3+4</f>
        <v>12.8</v>
      </c>
      <c r="F65" s="31">
        <f>0.1+0.1</f>
        <v>0.2</v>
      </c>
      <c r="G65" s="30"/>
      <c r="H65" s="26">
        <v>0.01</v>
      </c>
      <c r="I65" s="27">
        <f t="shared" si="8"/>
        <v>2.5600000000000005E-2</v>
      </c>
      <c r="J65" s="32" t="s">
        <v>89</v>
      </c>
    </row>
    <row r="66" spans="1:10" ht="13.5" outlineLevel="1" x14ac:dyDescent="0.25">
      <c r="A66" s="28"/>
      <c r="B66" s="41" t="s">
        <v>88</v>
      </c>
      <c r="C66" s="29"/>
      <c r="D66" s="28">
        <v>6</v>
      </c>
      <c r="E66" s="52">
        <v>3.8</v>
      </c>
      <c r="F66" s="31">
        <f>0.1+0.1</f>
        <v>0.2</v>
      </c>
      <c r="G66" s="30"/>
      <c r="H66" s="26">
        <v>0.01</v>
      </c>
      <c r="I66" s="27">
        <f t="shared" si="8"/>
        <v>4.5599999999999995E-2</v>
      </c>
      <c r="J66" s="32"/>
    </row>
    <row r="67" spans="1:10" ht="13.5" outlineLevel="1" x14ac:dyDescent="0.25">
      <c r="A67" s="28"/>
      <c r="B67" s="41"/>
      <c r="C67" s="29"/>
      <c r="D67" s="28">
        <v>2</v>
      </c>
      <c r="E67" s="52">
        <v>1.8</v>
      </c>
      <c r="F67" s="31">
        <v>0.2</v>
      </c>
      <c r="G67" s="30"/>
      <c r="H67" s="26">
        <v>0.01</v>
      </c>
      <c r="I67" s="27">
        <f t="shared" si="8"/>
        <v>7.2000000000000007E-3</v>
      </c>
      <c r="J67" s="32"/>
    </row>
    <row r="68" spans="1:10" s="40" customFormat="1" ht="6.75" outlineLevel="1" x14ac:dyDescent="0.25">
      <c r="A68" s="33"/>
      <c r="B68" s="34"/>
      <c r="C68" s="35"/>
      <c r="D68" s="33"/>
      <c r="E68" s="36"/>
      <c r="F68" s="37"/>
      <c r="G68" s="36"/>
      <c r="H68" s="36"/>
      <c r="I68" s="38"/>
      <c r="J68" s="39"/>
    </row>
    <row r="69" spans="1:10" s="24" customFormat="1" x14ac:dyDescent="0.25">
      <c r="A69" s="16">
        <v>10</v>
      </c>
      <c r="B69" s="18" t="s">
        <v>90</v>
      </c>
      <c r="C69" s="19" t="s">
        <v>70</v>
      </c>
      <c r="D69" s="17"/>
      <c r="E69" s="20"/>
      <c r="F69" s="21"/>
      <c r="G69" s="20"/>
      <c r="H69" s="20"/>
      <c r="I69" s="22">
        <f>SUBTOTAL(9,I70:I85)</f>
        <v>6.2294999999999998</v>
      </c>
      <c r="J69" s="23"/>
    </row>
    <row r="70" spans="1:10" ht="13.5" outlineLevel="1" x14ac:dyDescent="0.25">
      <c r="A70" s="28"/>
      <c r="B70" s="41" t="s">
        <v>85</v>
      </c>
      <c r="C70" s="29"/>
      <c r="D70" s="28">
        <v>6</v>
      </c>
      <c r="E70" s="52">
        <v>3.8</v>
      </c>
      <c r="F70" s="31">
        <v>0.2</v>
      </c>
      <c r="G70" s="52">
        <v>0.2</v>
      </c>
      <c r="H70" s="30"/>
      <c r="I70" s="42">
        <f>PRODUCT(D70:H70)</f>
        <v>0.91199999999999992</v>
      </c>
      <c r="J70" s="32"/>
    </row>
    <row r="71" spans="1:10" ht="13.5" outlineLevel="1" x14ac:dyDescent="0.25">
      <c r="A71" s="28"/>
      <c r="B71" s="41"/>
      <c r="C71" s="29"/>
      <c r="D71" s="28">
        <v>2</v>
      </c>
      <c r="E71" s="52">
        <v>1.8</v>
      </c>
      <c r="F71" s="31">
        <v>0.2</v>
      </c>
      <c r="G71" s="52">
        <v>0.2</v>
      </c>
      <c r="H71" s="30"/>
      <c r="I71" s="42">
        <f t="shared" ref="I71:I84" si="9">PRODUCT(D71:H71)</f>
        <v>0.14400000000000002</v>
      </c>
      <c r="J71" s="32"/>
    </row>
    <row r="72" spans="1:10" ht="13.5" outlineLevel="1" x14ac:dyDescent="0.25">
      <c r="A72" s="28"/>
      <c r="B72" s="41" t="s">
        <v>86</v>
      </c>
      <c r="C72" s="29"/>
      <c r="D72" s="28">
        <v>17</v>
      </c>
      <c r="E72" s="52">
        <v>3.8</v>
      </c>
      <c r="F72" s="31">
        <v>0.2</v>
      </c>
      <c r="G72" s="52">
        <v>0.2</v>
      </c>
      <c r="H72" s="30"/>
      <c r="I72" s="42">
        <f t="shared" si="9"/>
        <v>2.5840000000000001</v>
      </c>
      <c r="J72" s="32"/>
    </row>
    <row r="73" spans="1:10" ht="13.5" outlineLevel="1" x14ac:dyDescent="0.25">
      <c r="A73" s="28"/>
      <c r="B73" s="41"/>
      <c r="C73" s="29"/>
      <c r="D73" s="28">
        <v>8</v>
      </c>
      <c r="E73" s="52">
        <v>3.2</v>
      </c>
      <c r="F73" s="31">
        <v>0.1</v>
      </c>
      <c r="G73" s="52">
        <v>0.1</v>
      </c>
      <c r="H73" s="30"/>
      <c r="I73" s="42">
        <f t="shared" si="9"/>
        <v>0.25600000000000006</v>
      </c>
      <c r="J73" s="32"/>
    </row>
    <row r="74" spans="1:10" ht="13.5" outlineLevel="1" x14ac:dyDescent="0.25">
      <c r="A74" s="28"/>
      <c r="B74" s="41"/>
      <c r="C74" s="29"/>
      <c r="D74" s="28">
        <v>1</v>
      </c>
      <c r="E74" s="52">
        <v>3.8</v>
      </c>
      <c r="F74" s="31">
        <v>0.1</v>
      </c>
      <c r="G74" s="52">
        <v>0.1</v>
      </c>
      <c r="H74" s="30"/>
      <c r="I74" s="42">
        <f t="shared" si="9"/>
        <v>3.8000000000000006E-2</v>
      </c>
      <c r="J74" s="32"/>
    </row>
    <row r="75" spans="1:10" ht="13.5" outlineLevel="1" x14ac:dyDescent="0.25">
      <c r="A75" s="28"/>
      <c r="B75" s="41"/>
      <c r="C75" s="29"/>
      <c r="D75" s="28">
        <v>1</v>
      </c>
      <c r="E75" s="52">
        <v>3.75</v>
      </c>
      <c r="F75" s="31">
        <v>0.1</v>
      </c>
      <c r="G75" s="52">
        <v>0.1</v>
      </c>
      <c r="H75" s="30"/>
      <c r="I75" s="42">
        <f t="shared" si="9"/>
        <v>3.7500000000000006E-2</v>
      </c>
      <c r="J75" s="32"/>
    </row>
    <row r="76" spans="1:10" ht="13.5" outlineLevel="1" x14ac:dyDescent="0.25">
      <c r="A76" s="28"/>
      <c r="B76" s="41"/>
      <c r="C76" s="29"/>
      <c r="D76" s="28">
        <v>4</v>
      </c>
      <c r="E76" s="52">
        <v>1.8</v>
      </c>
      <c r="F76" s="31">
        <v>0.1</v>
      </c>
      <c r="G76" s="52">
        <v>0.1</v>
      </c>
      <c r="H76" s="30"/>
      <c r="I76" s="42">
        <f t="shared" si="9"/>
        <v>7.2000000000000008E-2</v>
      </c>
      <c r="J76" s="32"/>
    </row>
    <row r="77" spans="1:10" ht="13.5" outlineLevel="1" x14ac:dyDescent="0.25">
      <c r="A77" s="28"/>
      <c r="B77" s="41"/>
      <c r="C77" s="29"/>
      <c r="D77" s="28">
        <v>3</v>
      </c>
      <c r="E77" s="52">
        <v>2.4</v>
      </c>
      <c r="F77" s="31">
        <v>0.1</v>
      </c>
      <c r="G77" s="52">
        <v>0.1</v>
      </c>
      <c r="H77" s="30"/>
      <c r="I77" s="42">
        <f t="shared" si="9"/>
        <v>7.1999999999999995E-2</v>
      </c>
      <c r="J77" s="32"/>
    </row>
    <row r="78" spans="1:10" ht="13.5" outlineLevel="1" x14ac:dyDescent="0.25">
      <c r="A78" s="28"/>
      <c r="B78" s="41"/>
      <c r="C78" s="29"/>
      <c r="D78" s="28">
        <v>1</v>
      </c>
      <c r="E78" s="52">
        <v>1.8</v>
      </c>
      <c r="F78" s="31">
        <v>0.2</v>
      </c>
      <c r="G78" s="52">
        <v>0.2</v>
      </c>
      <c r="H78" s="30"/>
      <c r="I78" s="42">
        <f t="shared" si="9"/>
        <v>7.2000000000000008E-2</v>
      </c>
      <c r="J78" s="32"/>
    </row>
    <row r="79" spans="1:10" ht="13.5" outlineLevel="1" x14ac:dyDescent="0.25">
      <c r="A79" s="28"/>
      <c r="B79" s="41"/>
      <c r="C79" s="29"/>
      <c r="D79" s="28">
        <v>1</v>
      </c>
      <c r="E79" s="52">
        <v>1.4</v>
      </c>
      <c r="F79" s="31">
        <v>0.1</v>
      </c>
      <c r="G79" s="52">
        <v>0.1</v>
      </c>
      <c r="H79" s="30"/>
      <c r="I79" s="42">
        <f t="shared" si="9"/>
        <v>1.3999999999999999E-2</v>
      </c>
      <c r="J79" s="32"/>
    </row>
    <row r="80" spans="1:10" ht="13.5" outlineLevel="1" x14ac:dyDescent="0.25">
      <c r="A80" s="28"/>
      <c r="B80" s="41" t="s">
        <v>87</v>
      </c>
      <c r="C80" s="29"/>
      <c r="D80" s="28">
        <v>17</v>
      </c>
      <c r="E80" s="52">
        <v>3.8</v>
      </c>
      <c r="F80" s="31">
        <v>0.2</v>
      </c>
      <c r="G80" s="52">
        <v>0.1</v>
      </c>
      <c r="H80" s="30"/>
      <c r="I80" s="42">
        <f t="shared" si="9"/>
        <v>1.292</v>
      </c>
      <c r="J80" s="32"/>
    </row>
    <row r="81" spans="1:10" ht="13.5" outlineLevel="1" x14ac:dyDescent="0.25">
      <c r="A81" s="28"/>
      <c r="B81" s="41"/>
      <c r="C81" s="29"/>
      <c r="D81" s="28">
        <v>6</v>
      </c>
      <c r="E81" s="52">
        <v>1.8</v>
      </c>
      <c r="F81" s="31">
        <v>0.2</v>
      </c>
      <c r="G81" s="52">
        <v>0.1</v>
      </c>
      <c r="H81" s="30"/>
      <c r="I81" s="42">
        <f t="shared" si="9"/>
        <v>0.21600000000000003</v>
      </c>
      <c r="J81" s="32"/>
    </row>
    <row r="82" spans="1:10" ht="13.5" outlineLevel="1" x14ac:dyDescent="0.25">
      <c r="A82" s="28"/>
      <c r="B82" s="41"/>
      <c r="C82" s="29"/>
      <c r="D82" s="28">
        <v>1</v>
      </c>
      <c r="E82" s="52">
        <f>3.9+1.9+3+4</f>
        <v>12.8</v>
      </c>
      <c r="F82" s="31">
        <v>0.2</v>
      </c>
      <c r="G82" s="52">
        <v>0.1</v>
      </c>
      <c r="H82" s="30"/>
      <c r="I82" s="42">
        <f t="shared" si="9"/>
        <v>0.25600000000000006</v>
      </c>
      <c r="J82" s="32" t="s">
        <v>89</v>
      </c>
    </row>
    <row r="83" spans="1:10" ht="13.5" outlineLevel="1" x14ac:dyDescent="0.25">
      <c r="A83" s="28"/>
      <c r="B83" s="41" t="s">
        <v>88</v>
      </c>
      <c r="C83" s="29"/>
      <c r="D83" s="28">
        <v>6</v>
      </c>
      <c r="E83" s="52">
        <v>3.8</v>
      </c>
      <c r="F83" s="31">
        <v>0.1</v>
      </c>
      <c r="G83" s="52">
        <v>0.1</v>
      </c>
      <c r="H83" s="30"/>
      <c r="I83" s="42">
        <f t="shared" si="9"/>
        <v>0.22799999999999998</v>
      </c>
      <c r="J83" s="32"/>
    </row>
    <row r="84" spans="1:10" ht="13.5" outlineLevel="1" x14ac:dyDescent="0.25">
      <c r="A84" s="28"/>
      <c r="B84" s="41"/>
      <c r="C84" s="29"/>
      <c r="D84" s="28">
        <v>2</v>
      </c>
      <c r="E84" s="52">
        <v>1.8</v>
      </c>
      <c r="F84" s="31">
        <v>0.1</v>
      </c>
      <c r="G84" s="52">
        <v>0.1</v>
      </c>
      <c r="H84" s="30"/>
      <c r="I84" s="42">
        <f t="shared" si="9"/>
        <v>3.6000000000000004E-2</v>
      </c>
      <c r="J84" s="32"/>
    </row>
    <row r="85" spans="1:10" s="40" customFormat="1" ht="6.75" outlineLevel="1" x14ac:dyDescent="0.25">
      <c r="A85" s="33"/>
      <c r="B85" s="34"/>
      <c r="C85" s="35"/>
      <c r="D85" s="33"/>
      <c r="E85" s="36"/>
      <c r="F85" s="37"/>
      <c r="G85" s="36"/>
      <c r="H85" s="36"/>
      <c r="I85" s="38">
        <f>PRODUCT(D85:H85)</f>
        <v>0</v>
      </c>
      <c r="J85" s="39"/>
    </row>
    <row r="86" spans="1:10" s="24" customFormat="1" x14ac:dyDescent="0.25">
      <c r="A86" s="16">
        <v>11</v>
      </c>
      <c r="B86" s="18" t="s">
        <v>92</v>
      </c>
      <c r="C86" s="19" t="s">
        <v>69</v>
      </c>
      <c r="D86" s="17"/>
      <c r="E86" s="20"/>
      <c r="F86" s="21"/>
      <c r="G86" s="20"/>
      <c r="H86" s="20"/>
      <c r="I86" s="22">
        <f>SUBTOTAL(9,I87:I89)</f>
        <v>0</v>
      </c>
      <c r="J86" s="23"/>
    </row>
    <row r="87" spans="1:10" ht="13.5" outlineLevel="1" x14ac:dyDescent="0.25">
      <c r="A87" s="28"/>
      <c r="B87" s="41"/>
      <c r="C87" s="29"/>
      <c r="D87" s="28"/>
      <c r="E87" s="30"/>
      <c r="F87" s="31"/>
      <c r="G87" s="30"/>
      <c r="H87" s="26"/>
      <c r="I87" s="27">
        <f>PRODUCT(D87:H87)</f>
        <v>0</v>
      </c>
      <c r="J87" s="32"/>
    </row>
    <row r="88" spans="1:10" ht="13.5" outlineLevel="1" x14ac:dyDescent="0.25">
      <c r="A88" s="28"/>
      <c r="B88" s="41"/>
      <c r="C88" s="29"/>
      <c r="D88" s="28"/>
      <c r="E88" s="30"/>
      <c r="F88" s="31"/>
      <c r="G88" s="30"/>
      <c r="H88" s="26"/>
      <c r="I88" s="27">
        <f>PRODUCT(D88:H88)</f>
        <v>0</v>
      </c>
      <c r="J88" s="32"/>
    </row>
    <row r="89" spans="1:10" s="40" customFormat="1" ht="6.75" outlineLevel="1" x14ac:dyDescent="0.25">
      <c r="A89" s="33"/>
      <c r="B89" s="34"/>
      <c r="C89" s="35"/>
      <c r="D89" s="33"/>
      <c r="E89" s="36"/>
      <c r="F89" s="37"/>
      <c r="G89" s="36"/>
      <c r="H89" s="36"/>
      <c r="I89" s="38"/>
      <c r="J89" s="39"/>
    </row>
    <row r="90" spans="1:10" s="24" customFormat="1" x14ac:dyDescent="0.25">
      <c r="A90" s="16">
        <v>12</v>
      </c>
      <c r="B90" s="18" t="s">
        <v>91</v>
      </c>
      <c r="C90" s="19" t="s">
        <v>70</v>
      </c>
      <c r="D90" s="17"/>
      <c r="E90" s="20"/>
      <c r="F90" s="21"/>
      <c r="G90" s="20"/>
      <c r="H90" s="20"/>
      <c r="I90" s="22">
        <f>SUBTOTAL(9,I91:I96)</f>
        <v>0</v>
      </c>
      <c r="J90" s="23"/>
    </row>
    <row r="91" spans="1:10" ht="13.5" outlineLevel="1" x14ac:dyDescent="0.25">
      <c r="A91" s="28"/>
      <c r="B91" s="41"/>
      <c r="C91" s="29"/>
      <c r="D91" s="28"/>
      <c r="E91" s="30"/>
      <c r="F91" s="31"/>
      <c r="G91" s="30"/>
      <c r="H91" s="26"/>
      <c r="I91" s="27"/>
      <c r="J91" s="32"/>
    </row>
    <row r="92" spans="1:10" ht="13.5" outlineLevel="1" x14ac:dyDescent="0.25">
      <c r="A92" s="28"/>
      <c r="B92" s="41"/>
      <c r="C92" s="29"/>
      <c r="D92" s="28"/>
      <c r="E92" s="30"/>
      <c r="F92" s="31"/>
      <c r="G92" s="30"/>
      <c r="H92" s="26"/>
      <c r="I92" s="27"/>
      <c r="J92" s="32"/>
    </row>
    <row r="93" spans="1:10" ht="13.5" outlineLevel="1" x14ac:dyDescent="0.25">
      <c r="A93" s="28"/>
      <c r="B93" s="41"/>
      <c r="C93" s="29"/>
      <c r="D93" s="28"/>
      <c r="E93" s="30"/>
      <c r="F93" s="31"/>
      <c r="G93" s="30"/>
      <c r="H93" s="26"/>
      <c r="I93" s="27"/>
      <c r="J93" s="32"/>
    </row>
    <row r="94" spans="1:10" ht="13.5" outlineLevel="1" x14ac:dyDescent="0.25">
      <c r="A94" s="28"/>
      <c r="B94" s="41"/>
      <c r="C94" s="29"/>
      <c r="D94" s="28"/>
      <c r="E94" s="30"/>
      <c r="F94" s="31"/>
      <c r="G94" s="30"/>
      <c r="H94" s="26"/>
      <c r="I94" s="27"/>
      <c r="J94" s="32"/>
    </row>
    <row r="95" spans="1:10" ht="13.5" outlineLevel="1" x14ac:dyDescent="0.25">
      <c r="A95" s="28"/>
      <c r="B95" s="41"/>
      <c r="C95" s="29"/>
      <c r="D95" s="28"/>
      <c r="E95" s="30"/>
      <c r="F95" s="31"/>
      <c r="G95" s="30"/>
      <c r="H95" s="26"/>
      <c r="I95" s="27"/>
      <c r="J95" s="32"/>
    </row>
    <row r="96" spans="1:10" s="40" customFormat="1" ht="6.75" outlineLevel="1" x14ac:dyDescent="0.25">
      <c r="A96" s="33"/>
      <c r="B96" s="34"/>
      <c r="C96" s="35"/>
      <c r="D96" s="33"/>
      <c r="E96" s="36"/>
      <c r="F96" s="37"/>
      <c r="G96" s="36"/>
      <c r="H96" s="36"/>
      <c r="I96" s="38"/>
      <c r="J96" s="39"/>
    </row>
    <row r="97" spans="1:10" ht="13.5" outlineLevel="1" x14ac:dyDescent="0.25">
      <c r="A97" s="28"/>
      <c r="B97" s="41"/>
      <c r="C97" s="29"/>
      <c r="D97" s="28"/>
      <c r="E97" s="30"/>
      <c r="F97" s="31"/>
      <c r="G97" s="30"/>
      <c r="H97" s="26"/>
      <c r="I97" s="27"/>
      <c r="J97" s="32"/>
    </row>
    <row r="98" spans="1:10" ht="13.5" outlineLevel="1" x14ac:dyDescent="0.25">
      <c r="A98" s="28"/>
      <c r="B98" s="41"/>
      <c r="C98" s="29"/>
      <c r="D98" s="28"/>
      <c r="E98" s="30"/>
      <c r="F98" s="31"/>
      <c r="G98" s="30"/>
      <c r="H98" s="26"/>
      <c r="I98" s="27"/>
      <c r="J98" s="32"/>
    </row>
    <row r="99" spans="1:10" ht="13.5" outlineLevel="1" x14ac:dyDescent="0.25">
      <c r="A99" s="28"/>
      <c r="B99" s="41"/>
      <c r="C99" s="29"/>
      <c r="D99" s="28"/>
      <c r="E99" s="30"/>
      <c r="F99" s="31"/>
      <c r="G99" s="30"/>
      <c r="H99" s="26"/>
      <c r="I99" s="27"/>
      <c r="J99" s="32"/>
    </row>
    <row r="100" spans="1:10" ht="13.5" outlineLevel="1" x14ac:dyDescent="0.25">
      <c r="A100" s="28"/>
      <c r="B100" s="41"/>
      <c r="C100" s="29"/>
      <c r="D100" s="28"/>
      <c r="E100" s="30"/>
      <c r="F100" s="31"/>
      <c r="G100" s="30"/>
      <c r="H100" s="26"/>
      <c r="I100" s="27"/>
      <c r="J100" s="32"/>
    </row>
    <row r="101" spans="1:10" ht="13.5" outlineLevel="1" x14ac:dyDescent="0.25">
      <c r="A101" s="28"/>
      <c r="B101" s="41"/>
      <c r="C101" s="29"/>
      <c r="D101" s="28"/>
      <c r="E101" s="30"/>
      <c r="F101" s="31"/>
      <c r="G101" s="30"/>
      <c r="H101" s="26"/>
      <c r="I101" s="27"/>
      <c r="J101" s="32"/>
    </row>
    <row r="102" spans="1:10" s="40" customFormat="1" ht="6.75" outlineLevel="1" x14ac:dyDescent="0.25">
      <c r="A102" s="33"/>
      <c r="B102" s="34"/>
      <c r="C102" s="35"/>
      <c r="D102" s="33"/>
      <c r="E102" s="36"/>
      <c r="F102" s="37"/>
      <c r="G102" s="36"/>
      <c r="H102" s="36"/>
      <c r="I102" s="38"/>
      <c r="J102" s="39"/>
    </row>
    <row r="103" spans="1:10" s="24" customFormat="1" x14ac:dyDescent="0.25">
      <c r="A103" s="43"/>
      <c r="B103" s="45"/>
      <c r="C103" s="46"/>
      <c r="D103" s="44"/>
      <c r="E103" s="47"/>
      <c r="F103" s="48"/>
      <c r="G103" s="47"/>
      <c r="H103" s="47"/>
      <c r="I103" s="47"/>
      <c r="J103" s="49"/>
    </row>
  </sheetData>
  <mergeCells count="9">
    <mergeCell ref="J4:J5"/>
    <mergeCell ref="A1:J1"/>
    <mergeCell ref="A2:J2"/>
    <mergeCell ref="A4:A5"/>
    <mergeCell ref="B4:B5"/>
    <mergeCell ref="C4:C5"/>
    <mergeCell ref="D4:D5"/>
    <mergeCell ref="E4:H4"/>
    <mergeCell ref="I4:I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Thống kê thép</vt:lpstr>
      <vt:lpstr>Ván khuôn - bê tông</vt:lpstr>
      <vt:lpstr>'Thống kê thép'!Lcay</vt:lpstr>
      <vt:lpstr>'Thống kê thép'!Nc</vt:lpstr>
      <vt:lpstr>'Thống kê thép'!Print_Area</vt:lpstr>
      <vt:lpstr>'Thống kê thép'!Print_Titles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2016-08-30T06:17:47Z</dcterms:modified>
</cp:coreProperties>
</file>