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960" windowWidth="19200" windowHeight="7275" tabRatio="911" firstSheet="2" activeTab="2"/>
  </bookViews>
  <sheets>
    <sheet name="bia" sheetId="116" r:id="rId1"/>
    <sheet name="Bảng TH KL hoan cong" sheetId="117" r:id="rId2"/>
    <sheet name="Bảng dien giai KL hoan cong" sheetId="113" r:id="rId3"/>
    <sheet name="CKN T4 " sheetId="119" r:id="rId4"/>
    <sheet name="TC T4" sheetId="126" r:id="rId5"/>
    <sheet name="CKN M0" sheetId="120" r:id="rId6"/>
    <sheet name="TC mo M0" sheetId="128" r:id="rId7"/>
    <sheet name="CKN T1-T3" sheetId="121" r:id="rId8"/>
    <sheet name="CKN T5" sheetId="125" r:id="rId9"/>
    <sheet name="CKN T5(KC)" sheetId="137" r:id="rId10"/>
    <sheet name="TC T1-T3" sheetId="127" r:id="rId11"/>
    <sheet name="TruT4" sheetId="122" r:id="rId12"/>
    <sheet name="Mo M0" sheetId="123" r:id="rId13"/>
    <sheet name="Tru T1-T3" sheetId="124" r:id="rId14"/>
    <sheet name="Dam I35" sheetId="129" r:id="rId15"/>
    <sheet name="Khoichongchuyenvi" sheetId="130" r:id="rId16"/>
    <sheet name="Golancan_Tayvin" sheetId="132" r:id="rId17"/>
    <sheet name="Caucongvu" sheetId="133" r:id="rId18"/>
    <sheet name="Monho" sheetId="134" r:id="rId19"/>
    <sheet name="Thicongnhip" sheetId="135" r:id="rId20"/>
    <sheet name="Thanglendam" sheetId="136" r:id="rId21"/>
    <sheet name="Phatsinh" sheetId="138" r:id="rId22"/>
  </sheets>
  <externalReferences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Arial" localSheetId="2">#REF!</definedName>
    <definedName name="Arial" localSheetId="1">#REF!</definedName>
    <definedName name="Arial">#REF!</definedName>
    <definedName name="KLDV">[1]KLDV!$C$8:$N$9</definedName>
    <definedName name="_xlnm.Print_Area" localSheetId="2">'Bảng dien giai KL hoan cong'!$A$1:$G$1402</definedName>
    <definedName name="_xlnm.Print_Area" localSheetId="1">'Bảng TH KL hoan cong'!$A$1:$F$1402</definedName>
    <definedName name="_xlnm.Print_Area" localSheetId="7">'CKN T1-T3'!$A$1:$J$86</definedName>
    <definedName name="_xlnm.Print_Area" localSheetId="3">'CKN T4 '!$A$1:$H$57</definedName>
    <definedName name="_xlnm.Print_Area" localSheetId="9">'CKN T5(KC)'!$A$1:$J$111</definedName>
    <definedName name="_xlnm.Print_Area" localSheetId="15">Khoichongchuyenvi!$O$28:$S$50</definedName>
    <definedName name="_xlnm.Print_Area" localSheetId="12">'Mo M0'!$A$1:$I$157</definedName>
    <definedName name="_xlnm.Print_Area" localSheetId="10">'TC T1-T3'!$A$1:$F$97</definedName>
    <definedName name="_xlnm.Print_Area" localSheetId="4">'TC T4'!$A$1:$E$76</definedName>
    <definedName name="_xlnm.Print_Area" localSheetId="20">Thanglendam!$A$1:$K$71</definedName>
    <definedName name="_xlnm.Print_Area" localSheetId="13">'Tru T1-T3'!$A$1:$J$119</definedName>
    <definedName name="_xlnm.Print_Area" localSheetId="11">TruT4!$A$1:$I$64</definedName>
    <definedName name="_xlnm.Print_Titles" localSheetId="2">'Bảng dien giai KL hoan cong'!$11:$13</definedName>
    <definedName name="_xlnm.Print_Titles" localSheetId="1">'Bảng TH KL hoan cong'!$11:$13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6" i="130" l="1"/>
  <c r="P49" i="130"/>
  <c r="P48" i="130"/>
  <c r="P47" i="130"/>
  <c r="S44" i="130"/>
  <c r="S43" i="130"/>
  <c r="H1084" i="113"/>
  <c r="H1085" i="113"/>
  <c r="H1148" i="113"/>
  <c r="H1141" i="113"/>
  <c r="H1143" i="113"/>
  <c r="H1139" i="113"/>
  <c r="H1142" i="113"/>
  <c r="H1149" i="113"/>
  <c r="H1140" i="113"/>
  <c r="H1092" i="113"/>
  <c r="H1194" i="113"/>
  <c r="H1086" i="113"/>
  <c r="H1180" i="113"/>
  <c r="H1091" i="113"/>
  <c r="H1186" i="113"/>
  <c r="H1087" i="113"/>
  <c r="H1082" i="113"/>
  <c r="H1185" i="113"/>
  <c r="H1079" i="113"/>
  <c r="H57" i="138" l="1"/>
  <c r="G55" i="138"/>
  <c r="H55" i="138" s="1"/>
  <c r="H54" i="138"/>
  <c r="H53" i="138"/>
  <c r="H56" i="138" s="1"/>
  <c r="H50" i="138"/>
  <c r="G48" i="138"/>
  <c r="H48" i="138" s="1"/>
  <c r="H47" i="138"/>
  <c r="H46" i="138"/>
  <c r="H43" i="138"/>
  <c r="G41" i="138"/>
  <c r="H41" i="138" s="1"/>
  <c r="H40" i="138"/>
  <c r="H39" i="138"/>
  <c r="H30" i="138"/>
  <c r="G28" i="138"/>
  <c r="H28" i="138" s="1"/>
  <c r="G27" i="138"/>
  <c r="H27" i="138" s="1"/>
  <c r="G26" i="138"/>
  <c r="H26" i="138" s="1"/>
  <c r="H25" i="138"/>
  <c r="H24" i="138"/>
  <c r="H21" i="138"/>
  <c r="G19" i="138"/>
  <c r="H19" i="138" s="1"/>
  <c r="G18" i="138"/>
  <c r="H18" i="138" s="1"/>
  <c r="G17" i="138"/>
  <c r="H17" i="138" s="1"/>
  <c r="H16" i="138"/>
  <c r="H15" i="138"/>
  <c r="H12" i="138"/>
  <c r="H8" i="138"/>
  <c r="H7" i="138"/>
  <c r="H6" i="138"/>
  <c r="G10" i="138"/>
  <c r="H10" i="138" s="1"/>
  <c r="G9" i="138"/>
  <c r="H9" i="138" s="1"/>
  <c r="G8" i="138"/>
  <c r="H49" i="138" l="1"/>
  <c r="H11" i="138"/>
  <c r="H42" i="138"/>
  <c r="H29" i="138"/>
  <c r="H20" i="138"/>
  <c r="K66" i="137"/>
  <c r="I39" i="137"/>
  <c r="I33" i="137"/>
  <c r="I29" i="137"/>
  <c r="I25" i="137"/>
  <c r="I21" i="137"/>
  <c r="I17" i="137"/>
  <c r="I13" i="137"/>
  <c r="I9" i="137"/>
  <c r="I52" i="137"/>
  <c r="H43" i="137"/>
  <c r="I43" i="137" s="1"/>
  <c r="H42" i="137"/>
  <c r="I42" i="137" s="1"/>
  <c r="H41" i="137"/>
  <c r="H40" i="137"/>
  <c r="H38" i="137"/>
  <c r="H37" i="137"/>
  <c r="H36" i="137"/>
  <c r="H35" i="137"/>
  <c r="H34" i="137"/>
  <c r="H32" i="137"/>
  <c r="H31" i="137"/>
  <c r="H30" i="137"/>
  <c r="H28" i="137"/>
  <c r="H27" i="137"/>
  <c r="H26" i="137"/>
  <c r="H24" i="137"/>
  <c r="H23" i="137"/>
  <c r="H22" i="137"/>
  <c r="H20" i="137"/>
  <c r="H19" i="137"/>
  <c r="H18" i="137"/>
  <c r="G41" i="137"/>
  <c r="G40" i="137"/>
  <c r="G38" i="137"/>
  <c r="G37" i="137"/>
  <c r="G36" i="137"/>
  <c r="G35" i="137"/>
  <c r="G34" i="137"/>
  <c r="G32" i="137"/>
  <c r="G31" i="137"/>
  <c r="G30" i="137"/>
  <c r="G28" i="137"/>
  <c r="G27" i="137"/>
  <c r="G26" i="137"/>
  <c r="G24" i="137"/>
  <c r="G23" i="137"/>
  <c r="G22" i="137"/>
  <c r="G20" i="137"/>
  <c r="G19" i="137"/>
  <c r="G18" i="137"/>
  <c r="D41" i="137"/>
  <c r="D40" i="137"/>
  <c r="D38" i="137"/>
  <c r="D37" i="137"/>
  <c r="D36" i="137"/>
  <c r="D35" i="137"/>
  <c r="D34" i="137"/>
  <c r="D32" i="137"/>
  <c r="D31" i="137"/>
  <c r="D30" i="137"/>
  <c r="D28" i="137"/>
  <c r="D27" i="137"/>
  <c r="D26" i="137"/>
  <c r="D24" i="137"/>
  <c r="D23" i="137"/>
  <c r="D22" i="137"/>
  <c r="D20" i="137"/>
  <c r="D19" i="137"/>
  <c r="D18" i="137"/>
  <c r="D16" i="137"/>
  <c r="D15" i="137"/>
  <c r="D14" i="137"/>
  <c r="D12" i="137"/>
  <c r="D11" i="137"/>
  <c r="D10" i="137"/>
  <c r="D8" i="137"/>
  <c r="D7" i="137"/>
  <c r="D6" i="137"/>
  <c r="D5" i="137"/>
  <c r="I88" i="137"/>
  <c r="H87" i="137"/>
  <c r="G87" i="137"/>
  <c r="H86" i="137"/>
  <c r="G86" i="137"/>
  <c r="H85" i="137"/>
  <c r="G85" i="137"/>
  <c r="H84" i="137"/>
  <c r="G84" i="137"/>
  <c r="H83" i="137"/>
  <c r="G83" i="137"/>
  <c r="H82" i="137"/>
  <c r="G82" i="137"/>
  <c r="H81" i="137"/>
  <c r="G81" i="137"/>
  <c r="H80" i="137"/>
  <c r="G80" i="137"/>
  <c r="H79" i="137"/>
  <c r="G79" i="137"/>
  <c r="H78" i="137"/>
  <c r="G78" i="137"/>
  <c r="H77" i="137"/>
  <c r="G77" i="137"/>
  <c r="H76" i="137"/>
  <c r="G76" i="137"/>
  <c r="H75" i="137"/>
  <c r="G75" i="137"/>
  <c r="H74" i="137"/>
  <c r="G74" i="137"/>
  <c r="H16" i="137"/>
  <c r="G16" i="137"/>
  <c r="H15" i="137"/>
  <c r="G15" i="137"/>
  <c r="H14" i="137"/>
  <c r="G14" i="137"/>
  <c r="H12" i="137"/>
  <c r="G12" i="137"/>
  <c r="H11" i="137"/>
  <c r="G11" i="137"/>
  <c r="H10" i="137"/>
  <c r="G10" i="137"/>
  <c r="H8" i="137"/>
  <c r="G8" i="137"/>
  <c r="H7" i="137"/>
  <c r="G7" i="137"/>
  <c r="H6" i="137"/>
  <c r="G6" i="137"/>
  <c r="H5" i="137"/>
  <c r="G5" i="137"/>
  <c r="I20" i="137" l="1"/>
  <c r="I26" i="137"/>
  <c r="I47" i="137" s="1"/>
  <c r="I31" i="137"/>
  <c r="I36" i="137"/>
  <c r="I22" i="137"/>
  <c r="I27" i="137"/>
  <c r="I32" i="137"/>
  <c r="I37" i="137"/>
  <c r="I18" i="137"/>
  <c r="I23" i="137"/>
  <c r="I28" i="137"/>
  <c r="I34" i="137"/>
  <c r="I38" i="137"/>
  <c r="I19" i="137"/>
  <c r="I24" i="137"/>
  <c r="I30" i="137"/>
  <c r="I53" i="137" s="1"/>
  <c r="I35" i="137"/>
  <c r="I40" i="137"/>
  <c r="I49" i="137"/>
  <c r="I56" i="137"/>
  <c r="I41" i="137"/>
  <c r="I51" i="137" s="1"/>
  <c r="I5" i="137"/>
  <c r="I75" i="137"/>
  <c r="I79" i="137"/>
  <c r="I83" i="137"/>
  <c r="I87" i="137"/>
  <c r="I74" i="137"/>
  <c r="I80" i="137"/>
  <c r="I92" i="137" s="1"/>
  <c r="I99" i="137" s="1"/>
  <c r="I82" i="137"/>
  <c r="I81" i="137"/>
  <c r="I89" i="137" s="1"/>
  <c r="I96" i="137" s="1"/>
  <c r="I6" i="137"/>
  <c r="I8" i="137"/>
  <c r="I14" i="137"/>
  <c r="I16" i="137"/>
  <c r="I7" i="137"/>
  <c r="I15" i="137"/>
  <c r="I11" i="137"/>
  <c r="I76" i="137"/>
  <c r="I94" i="137" s="1"/>
  <c r="I101" i="137" s="1"/>
  <c r="I78" i="137"/>
  <c r="I85" i="137"/>
  <c r="I91" i="137" s="1"/>
  <c r="I98" i="137" s="1"/>
  <c r="I10" i="137"/>
  <c r="I12" i="137"/>
  <c r="I77" i="137"/>
  <c r="I84" i="137"/>
  <c r="I86" i="137"/>
  <c r="K56" i="132"/>
  <c r="I58" i="132"/>
  <c r="E58" i="132"/>
  <c r="E55" i="132"/>
  <c r="K53" i="132"/>
  <c r="I52" i="132"/>
  <c r="J52" i="132" s="1"/>
  <c r="H52" i="132"/>
  <c r="I51" i="132"/>
  <c r="J51" i="132" s="1"/>
  <c r="H51" i="132"/>
  <c r="I50" i="132"/>
  <c r="J50" i="132" s="1"/>
  <c r="H50" i="132"/>
  <c r="I49" i="132"/>
  <c r="J49" i="132" s="1"/>
  <c r="H49" i="132"/>
  <c r="I48" i="132"/>
  <c r="J48" i="132" s="1"/>
  <c r="H48" i="132"/>
  <c r="K47" i="132"/>
  <c r="I47" i="132"/>
  <c r="J47" i="132" s="1"/>
  <c r="H47" i="132"/>
  <c r="K661" i="113"/>
  <c r="K659" i="113"/>
  <c r="J38" i="132"/>
  <c r="J34" i="132"/>
  <c r="I38" i="132"/>
  <c r="I37" i="132"/>
  <c r="J37" i="132" s="1"/>
  <c r="I36" i="132"/>
  <c r="J36" i="132" s="1"/>
  <c r="I35" i="132"/>
  <c r="J35" i="132" s="1"/>
  <c r="I34" i="132"/>
  <c r="I33" i="132"/>
  <c r="J33" i="132" s="1"/>
  <c r="F41" i="132" s="1"/>
  <c r="H38" i="132"/>
  <c r="H37" i="132"/>
  <c r="H36" i="132"/>
  <c r="H35" i="132"/>
  <c r="H34" i="132"/>
  <c r="H33" i="132"/>
  <c r="I658" i="113"/>
  <c r="J773" i="113"/>
  <c r="J966" i="113"/>
  <c r="I44" i="137" l="1"/>
  <c r="I54" i="137"/>
  <c r="I46" i="137"/>
  <c r="I93" i="137"/>
  <c r="I100" i="137" s="1"/>
  <c r="I57" i="137"/>
  <c r="I50" i="137"/>
  <c r="I90" i="137"/>
  <c r="I97" i="137" s="1"/>
  <c r="I48" i="137"/>
  <c r="I55" i="137"/>
  <c r="I95" i="137"/>
  <c r="I102" i="137" s="1"/>
  <c r="I45" i="137"/>
  <c r="I53" i="132"/>
  <c r="I56" i="132" s="1"/>
  <c r="F40" i="132"/>
  <c r="I54" i="132"/>
  <c r="I57" i="132" s="1"/>
  <c r="E53" i="132"/>
  <c r="E56" i="132" s="1"/>
  <c r="I55" i="132"/>
  <c r="E54" i="132" l="1"/>
  <c r="E57" i="132" s="1"/>
  <c r="I38" i="134" l="1"/>
  <c r="I70" i="136"/>
  <c r="I69" i="136"/>
  <c r="I68" i="136"/>
  <c r="I66" i="136"/>
  <c r="I54" i="136"/>
  <c r="J54" i="136" s="1"/>
  <c r="J53" i="136"/>
  <c r="I52" i="136"/>
  <c r="J52" i="136" s="1"/>
  <c r="J51" i="136"/>
  <c r="J50" i="136"/>
  <c r="J49" i="136"/>
  <c r="J48" i="136"/>
  <c r="I56" i="136" s="1"/>
  <c r="I64" i="136" s="1"/>
  <c r="J47" i="136"/>
  <c r="J46" i="136"/>
  <c r="J45" i="136"/>
  <c r="J44" i="136"/>
  <c r="I55" i="136" s="1"/>
  <c r="I63" i="136" s="1"/>
  <c r="K29" i="136"/>
  <c r="K34" i="136" s="1"/>
  <c r="H27" i="136"/>
  <c r="J27" i="136" s="1"/>
  <c r="J26" i="136"/>
  <c r="H26" i="136"/>
  <c r="H25" i="136"/>
  <c r="J25" i="136" s="1"/>
  <c r="J24" i="136"/>
  <c r="K32" i="136" s="1"/>
  <c r="J23" i="136"/>
  <c r="I22" i="136"/>
  <c r="J22" i="136" s="1"/>
  <c r="J21" i="136"/>
  <c r="I20" i="136"/>
  <c r="J20" i="136" s="1"/>
  <c r="J19" i="136"/>
  <c r="J18" i="136"/>
  <c r="J17" i="136"/>
  <c r="J16" i="136"/>
  <c r="J15" i="136"/>
  <c r="J14" i="136"/>
  <c r="J13" i="136"/>
  <c r="J12" i="136"/>
  <c r="J11" i="136"/>
  <c r="J10" i="136"/>
  <c r="J9" i="136"/>
  <c r="I8" i="136"/>
  <c r="J8" i="136" s="1"/>
  <c r="I7" i="136"/>
  <c r="J7" i="136" s="1"/>
  <c r="I6" i="136"/>
  <c r="J6" i="136" s="1"/>
  <c r="K31" i="136" s="1"/>
  <c r="K36" i="136" s="1"/>
  <c r="J5" i="136"/>
  <c r="J4" i="136"/>
  <c r="J3" i="136"/>
  <c r="I37" i="134"/>
  <c r="F51" i="125"/>
  <c r="A52" i="125"/>
  <c r="F52" i="125"/>
  <c r="D53" i="125"/>
  <c r="E53" i="125"/>
  <c r="H53" i="125" s="1"/>
  <c r="D54" i="125"/>
  <c r="E54" i="125"/>
  <c r="H54" i="125"/>
  <c r="F55" i="125"/>
  <c r="D56" i="125"/>
  <c r="E56" i="125"/>
  <c r="F56" i="125"/>
  <c r="D57" i="125"/>
  <c r="E57" i="125"/>
  <c r="E58" i="125"/>
  <c r="D58" i="125" s="1"/>
  <c r="D59" i="125"/>
  <c r="E59" i="125"/>
  <c r="F59" i="125"/>
  <c r="D60" i="125"/>
  <c r="E60" i="125"/>
  <c r="F60" i="125"/>
  <c r="D61" i="125"/>
  <c r="E61" i="125"/>
  <c r="F61" i="125"/>
  <c r="D62" i="125"/>
  <c r="E62" i="125"/>
  <c r="F62" i="125"/>
  <c r="F63" i="125"/>
  <c r="D64" i="125"/>
  <c r="E64" i="125"/>
  <c r="F64" i="125"/>
  <c r="D65" i="125"/>
  <c r="E65" i="125"/>
  <c r="F65" i="125"/>
  <c r="D66" i="125"/>
  <c r="F66" i="125" s="1"/>
  <c r="E66" i="125"/>
  <c r="D67" i="125"/>
  <c r="F67" i="125" s="1"/>
  <c r="E67" i="125"/>
  <c r="F68" i="125"/>
  <c r="F69" i="125"/>
  <c r="D70" i="125"/>
  <c r="E70" i="125"/>
  <c r="F70" i="125"/>
  <c r="D71" i="125"/>
  <c r="E71" i="125"/>
  <c r="F71" i="125"/>
  <c r="F72" i="125"/>
  <c r="A73" i="125"/>
  <c r="F73" i="125"/>
  <c r="F21" i="135"/>
  <c r="E21" i="135"/>
  <c r="F20" i="135"/>
  <c r="E20" i="135"/>
  <c r="F19" i="135"/>
  <c r="E19" i="135"/>
  <c r="B19" i="135"/>
  <c r="B20" i="135" s="1"/>
  <c r="B21" i="135" s="1"/>
  <c r="B18" i="135"/>
  <c r="F17" i="135"/>
  <c r="E17" i="135"/>
  <c r="F16" i="135"/>
  <c r="F15" i="135"/>
  <c r="E15" i="135"/>
  <c r="E16" i="135" s="1"/>
  <c r="F13" i="135"/>
  <c r="E13" i="135"/>
  <c r="F12" i="135"/>
  <c r="E12" i="135"/>
  <c r="F11" i="135"/>
  <c r="E11" i="135"/>
  <c r="F10" i="135"/>
  <c r="E10" i="135"/>
  <c r="F9" i="135"/>
  <c r="E9" i="135"/>
  <c r="E5" i="135"/>
  <c r="P6" i="134"/>
  <c r="Q6" i="134"/>
  <c r="Q5" i="134"/>
  <c r="P5" i="134"/>
  <c r="L31" i="134"/>
  <c r="G31" i="134"/>
  <c r="I31" i="134" s="1"/>
  <c r="I30" i="134"/>
  <c r="J30" i="134" s="1"/>
  <c r="J35" i="134" s="1"/>
  <c r="G29" i="134"/>
  <c r="H28" i="134"/>
  <c r="I28" i="134" s="1"/>
  <c r="J28" i="134" s="1"/>
  <c r="G28" i="134"/>
  <c r="H27" i="134"/>
  <c r="H29" i="134" s="1"/>
  <c r="H26" i="134"/>
  <c r="I26" i="134" s="1"/>
  <c r="J26" i="134" s="1"/>
  <c r="H25" i="134"/>
  <c r="I25" i="134" s="1"/>
  <c r="J25" i="134" s="1"/>
  <c r="H24" i="134"/>
  <c r="I24" i="134" s="1"/>
  <c r="J24" i="134" s="1"/>
  <c r="G24" i="134"/>
  <c r="G23" i="134"/>
  <c r="G22" i="134"/>
  <c r="H21" i="134"/>
  <c r="G21" i="134"/>
  <c r="I21" i="134" s="1"/>
  <c r="J21" i="134" s="1"/>
  <c r="H20" i="134"/>
  <c r="I20" i="134" s="1"/>
  <c r="J20" i="134" s="1"/>
  <c r="G20" i="134"/>
  <c r="F20" i="134"/>
  <c r="H19" i="134"/>
  <c r="G19" i="134"/>
  <c r="F19" i="134"/>
  <c r="I19" i="134" s="1"/>
  <c r="J19" i="134" s="1"/>
  <c r="H18" i="134"/>
  <c r="I18" i="134" s="1"/>
  <c r="J18" i="134" s="1"/>
  <c r="H17" i="134"/>
  <c r="I17" i="134" s="1"/>
  <c r="J17" i="134" s="1"/>
  <c r="G17" i="134"/>
  <c r="J16" i="134"/>
  <c r="H15" i="134"/>
  <c r="H23" i="134" s="1"/>
  <c r="I23" i="134" s="1"/>
  <c r="J23" i="134" s="1"/>
  <c r="H14" i="134"/>
  <c r="H22" i="134" s="1"/>
  <c r="G14" i="134"/>
  <c r="I14" i="134" s="1"/>
  <c r="J14" i="134" s="1"/>
  <c r="G13" i="134"/>
  <c r="G15" i="134" s="1"/>
  <c r="I15" i="134" s="1"/>
  <c r="J15" i="134" s="1"/>
  <c r="H12" i="134"/>
  <c r="I12" i="134" s="1"/>
  <c r="G12" i="134"/>
  <c r="I10" i="134"/>
  <c r="J10" i="134" s="1"/>
  <c r="H10" i="134"/>
  <c r="G10" i="134"/>
  <c r="F10" i="134"/>
  <c r="H9" i="134"/>
  <c r="G9" i="134"/>
  <c r="I9" i="134" s="1"/>
  <c r="J9" i="134" s="1"/>
  <c r="H8" i="134"/>
  <c r="H11" i="134" s="1"/>
  <c r="I11" i="134" s="1"/>
  <c r="J11" i="134" s="1"/>
  <c r="I7" i="134"/>
  <c r="J7" i="134" s="1"/>
  <c r="C7" i="134"/>
  <c r="C8" i="134" s="1"/>
  <c r="C9" i="134" s="1"/>
  <c r="C10" i="134" s="1"/>
  <c r="C11" i="134" s="1"/>
  <c r="C12" i="134" s="1"/>
  <c r="C13" i="134" s="1"/>
  <c r="C14" i="134" s="1"/>
  <c r="C15" i="134" s="1"/>
  <c r="C17" i="134" s="1"/>
  <c r="C18" i="134" s="1"/>
  <c r="C19" i="134" s="1"/>
  <c r="C20" i="134" s="1"/>
  <c r="C21" i="134" s="1"/>
  <c r="C22" i="134" s="1"/>
  <c r="C23" i="134" s="1"/>
  <c r="C24" i="134" s="1"/>
  <c r="C25" i="134" s="1"/>
  <c r="C26" i="134" s="1"/>
  <c r="C27" i="134" s="1"/>
  <c r="C29" i="134" s="1"/>
  <c r="I6" i="134"/>
  <c r="J6" i="134" s="1"/>
  <c r="C6" i="134"/>
  <c r="H5" i="134"/>
  <c r="I5" i="134" s="1"/>
  <c r="H73" i="125" l="1"/>
  <c r="F53" i="125"/>
  <c r="F54" i="125"/>
  <c r="F57" i="125"/>
  <c r="K28" i="136"/>
  <c r="K33" i="136" s="1"/>
  <c r="K30" i="136"/>
  <c r="K35" i="136" s="1"/>
  <c r="I57" i="136"/>
  <c r="I65" i="136" s="1"/>
  <c r="K37" i="136"/>
  <c r="I34" i="134"/>
  <c r="J34" i="134" s="1"/>
  <c r="J5" i="134"/>
  <c r="I29" i="134"/>
  <c r="J29" i="134" s="1"/>
  <c r="I33" i="134"/>
  <c r="J33" i="134" s="1"/>
  <c r="J12" i="134"/>
  <c r="I36" i="134"/>
  <c r="J31" i="134"/>
  <c r="J36" i="134" s="1"/>
  <c r="I22" i="134"/>
  <c r="J22" i="134" s="1"/>
  <c r="I35" i="134"/>
  <c r="I8" i="134"/>
  <c r="J8" i="134" s="1"/>
  <c r="I13" i="134"/>
  <c r="J13" i="134" s="1"/>
  <c r="I27" i="134"/>
  <c r="J27" i="134" s="1"/>
  <c r="F30" i="133"/>
  <c r="D30" i="133"/>
  <c r="E22" i="133"/>
  <c r="F21" i="133"/>
  <c r="E21" i="133"/>
  <c r="D21" i="133"/>
  <c r="F20" i="133"/>
  <c r="E20" i="133"/>
  <c r="C20" i="133"/>
  <c r="F19" i="133"/>
  <c r="D19" i="133"/>
  <c r="E18" i="133"/>
  <c r="E17" i="133"/>
  <c r="F16" i="133"/>
  <c r="A16" i="133"/>
  <c r="A17" i="133" s="1"/>
  <c r="A18" i="133" s="1"/>
  <c r="A19" i="133" s="1"/>
  <c r="A20" i="133" s="1"/>
  <c r="A21" i="133" s="1"/>
  <c r="A22" i="133" s="1"/>
  <c r="A23" i="133" s="1"/>
  <c r="A24" i="133" s="1"/>
  <c r="E15" i="133"/>
  <c r="D15" i="133"/>
  <c r="F24" i="133" s="1"/>
  <c r="F12" i="133"/>
  <c r="E10" i="133"/>
  <c r="E9" i="133"/>
  <c r="F9" i="133" s="1"/>
  <c r="D9" i="133"/>
  <c r="E8" i="133"/>
  <c r="F8" i="133" s="1"/>
  <c r="C8" i="133"/>
  <c r="D7" i="133"/>
  <c r="F7" i="133" s="1"/>
  <c r="E6" i="133"/>
  <c r="D6" i="133"/>
  <c r="F6" i="133" s="1"/>
  <c r="E5" i="133"/>
  <c r="D5" i="133"/>
  <c r="F5" i="133" s="1"/>
  <c r="F4" i="133"/>
  <c r="A4" i="133"/>
  <c r="A5" i="133" s="1"/>
  <c r="A6" i="133" s="1"/>
  <c r="A7" i="133" s="1"/>
  <c r="A8" i="133" s="1"/>
  <c r="A9" i="133" s="1"/>
  <c r="A10" i="133" s="1"/>
  <c r="A11" i="133" s="1"/>
  <c r="A12" i="133" s="1"/>
  <c r="F3" i="133"/>
  <c r="E3" i="133"/>
  <c r="D3" i="133"/>
  <c r="I32" i="134" l="1"/>
  <c r="J32" i="134" s="1"/>
  <c r="D10" i="133"/>
  <c r="F10" i="133" s="1"/>
  <c r="F15" i="133"/>
  <c r="D17" i="133"/>
  <c r="D18" i="133"/>
  <c r="F18" i="133" s="1"/>
  <c r="D22" i="133" l="1"/>
  <c r="F22" i="133" s="1"/>
  <c r="F17" i="133"/>
  <c r="F31" i="133" s="1"/>
  <c r="C27" i="132"/>
  <c r="D26" i="132"/>
  <c r="C26" i="132"/>
  <c r="D25" i="132"/>
  <c r="C25" i="132"/>
  <c r="I21" i="132"/>
  <c r="E20" i="132"/>
  <c r="E19" i="132"/>
  <c r="L8" i="132"/>
  <c r="N7" i="132"/>
  <c r="P8" i="132" s="1"/>
  <c r="J7" i="132"/>
  <c r="J8" i="132" s="1"/>
  <c r="D7" i="132"/>
  <c r="G8" i="132" s="1"/>
  <c r="N6" i="132"/>
  <c r="M6" i="132"/>
  <c r="J6" i="132"/>
  <c r="I6" i="132"/>
  <c r="K6" i="132" s="1"/>
  <c r="L6" i="132" s="1"/>
  <c r="F6" i="132"/>
  <c r="E6" i="132"/>
  <c r="D6" i="132"/>
  <c r="N5" i="132"/>
  <c r="J5" i="132"/>
  <c r="F5" i="132"/>
  <c r="D5" i="132"/>
  <c r="N4" i="132"/>
  <c r="J4" i="132"/>
  <c r="F4" i="132"/>
  <c r="D4" i="132"/>
  <c r="N3" i="132"/>
  <c r="M3" i="132"/>
  <c r="M5" i="132" s="1"/>
  <c r="J3" i="132"/>
  <c r="I3" i="132"/>
  <c r="I5" i="132" s="1"/>
  <c r="F3" i="132"/>
  <c r="E3" i="132"/>
  <c r="E5" i="132" s="1"/>
  <c r="D3" i="132"/>
  <c r="O5" i="132" l="1"/>
  <c r="P5" i="132" s="1"/>
  <c r="G6" i="132"/>
  <c r="H6" i="132" s="1"/>
  <c r="O6" i="132"/>
  <c r="P6" i="132" s="1"/>
  <c r="G5" i="132"/>
  <c r="H5" i="132" s="1"/>
  <c r="K5" i="132"/>
  <c r="L5" i="132" s="1"/>
  <c r="N8" i="132"/>
  <c r="G12" i="132"/>
  <c r="E4" i="132"/>
  <c r="G4" i="132" s="1"/>
  <c r="H4" i="132" s="1"/>
  <c r="I4" i="132"/>
  <c r="K4" i="132" s="1"/>
  <c r="L4" i="132" s="1"/>
  <c r="M4" i="132"/>
  <c r="O4" i="132" s="1"/>
  <c r="P4" i="132" s="1"/>
  <c r="D8" i="132"/>
  <c r="D12" i="132" s="1"/>
  <c r="D11" i="132"/>
  <c r="G3" i="132"/>
  <c r="H3" i="132" s="1"/>
  <c r="K3" i="132"/>
  <c r="L3" i="132" s="1"/>
  <c r="O3" i="132"/>
  <c r="P3" i="132" s="1"/>
  <c r="P7" i="132" s="1"/>
  <c r="G7" i="132" l="1"/>
  <c r="L7" i="132"/>
  <c r="G11" i="132" s="1"/>
  <c r="I29" i="130" l="1"/>
  <c r="G29" i="130"/>
  <c r="J28" i="130"/>
  <c r="J41" i="130" s="1"/>
  <c r="J53" i="130" s="1"/>
  <c r="I27" i="130"/>
  <c r="J27" i="130" s="1"/>
  <c r="I26" i="130"/>
  <c r="J26" i="130" s="1"/>
  <c r="I25" i="130"/>
  <c r="H25" i="130"/>
  <c r="J25" i="130" s="1"/>
  <c r="G40" i="130" s="1"/>
  <c r="J24" i="130"/>
  <c r="L34" i="130" s="1"/>
  <c r="L46" i="130" s="1"/>
  <c r="I24" i="130"/>
  <c r="G24" i="130"/>
  <c r="J23" i="130"/>
  <c r="J37" i="130" s="1"/>
  <c r="J49" i="130" s="1"/>
  <c r="J22" i="130"/>
  <c r="I22" i="130"/>
  <c r="I21" i="130"/>
  <c r="J21" i="130" s="1"/>
  <c r="I20" i="130"/>
  <c r="H20" i="130"/>
  <c r="I19" i="130"/>
  <c r="G19" i="130"/>
  <c r="J18" i="130"/>
  <c r="J33" i="130" s="1"/>
  <c r="J45" i="130" s="1"/>
  <c r="I17" i="130"/>
  <c r="J17" i="130" s="1"/>
  <c r="I16" i="130"/>
  <c r="J16" i="130" s="1"/>
  <c r="I15" i="130"/>
  <c r="H15" i="130"/>
  <c r="I14" i="130"/>
  <c r="G14" i="130"/>
  <c r="H14" i="130" s="1"/>
  <c r="E14" i="130"/>
  <c r="I13" i="130"/>
  <c r="H13" i="130"/>
  <c r="J13" i="130" s="1"/>
  <c r="E13" i="130"/>
  <c r="I12" i="130"/>
  <c r="H12" i="130"/>
  <c r="E12" i="130"/>
  <c r="I11" i="130"/>
  <c r="H11" i="130"/>
  <c r="E11" i="130"/>
  <c r="L10" i="130"/>
  <c r="J40" i="130" s="1"/>
  <c r="J52" i="130" s="1"/>
  <c r="K10" i="130"/>
  <c r="I10" i="130"/>
  <c r="H10" i="130"/>
  <c r="E10" i="130"/>
  <c r="I9" i="130"/>
  <c r="H9" i="130"/>
  <c r="G9" i="130"/>
  <c r="E9" i="130"/>
  <c r="I8" i="130"/>
  <c r="H8" i="130"/>
  <c r="E8" i="130"/>
  <c r="O7" i="130"/>
  <c r="I7" i="130"/>
  <c r="H7" i="130"/>
  <c r="E7" i="130"/>
  <c r="I6" i="130"/>
  <c r="H6" i="130"/>
  <c r="E6" i="130"/>
  <c r="L5" i="130"/>
  <c r="J36" i="130" s="1"/>
  <c r="J48" i="130" s="1"/>
  <c r="K5" i="130"/>
  <c r="J35" i="130" s="1"/>
  <c r="J47" i="130" s="1"/>
  <c r="I5" i="130"/>
  <c r="J5" i="130" s="1"/>
  <c r="H5" i="130"/>
  <c r="E5" i="130"/>
  <c r="J12" i="130" l="1"/>
  <c r="J20" i="130"/>
  <c r="G37" i="130" s="1"/>
  <c r="J8" i="130"/>
  <c r="J11" i="130"/>
  <c r="J19" i="130"/>
  <c r="L30" i="130" s="1"/>
  <c r="L42" i="130" s="1"/>
  <c r="J34" i="130"/>
  <c r="J46" i="130" s="1"/>
  <c r="J6" i="130"/>
  <c r="J14" i="130"/>
  <c r="G38" i="130" s="1"/>
  <c r="G52" i="130"/>
  <c r="Q43" i="130"/>
  <c r="J9" i="130"/>
  <c r="G34" i="130" s="1"/>
  <c r="O9" i="130"/>
  <c r="J29" i="130"/>
  <c r="J38" i="130" s="1"/>
  <c r="J50" i="130" s="1"/>
  <c r="J15" i="130"/>
  <c r="G33" i="130" s="1"/>
  <c r="G41" i="130"/>
  <c r="J7" i="130"/>
  <c r="G35" i="130" s="1"/>
  <c r="J10" i="130"/>
  <c r="G49" i="130"/>
  <c r="R36" i="130"/>
  <c r="G36" i="130"/>
  <c r="G32" i="130"/>
  <c r="J30" i="130"/>
  <c r="J42" i="130" s="1"/>
  <c r="G31" i="130"/>
  <c r="G30" i="130"/>
  <c r="J31" i="130"/>
  <c r="J43" i="130" s="1"/>
  <c r="J39" i="130"/>
  <c r="J51" i="130" s="1"/>
  <c r="J32" i="130"/>
  <c r="G39" i="130" l="1"/>
  <c r="G51" i="130" s="1"/>
  <c r="G46" i="130"/>
  <c r="R33" i="130"/>
  <c r="J44" i="130"/>
  <c r="G50" i="130"/>
  <c r="Q41" i="130"/>
  <c r="G53" i="130"/>
  <c r="Q44" i="130"/>
  <c r="G47" i="130"/>
  <c r="R34" i="130"/>
  <c r="G44" i="130"/>
  <c r="Q35" i="130"/>
  <c r="S35" i="130" s="1"/>
  <c r="G42" i="130"/>
  <c r="Q33" i="130"/>
  <c r="S33" i="130" s="1"/>
  <c r="G45" i="130"/>
  <c r="Q36" i="130"/>
  <c r="S36" i="130" s="1"/>
  <c r="G43" i="130"/>
  <c r="Q34" i="130"/>
  <c r="S34" i="130" s="1"/>
  <c r="G48" i="130"/>
  <c r="R35" i="130"/>
  <c r="E1358" i="117"/>
  <c r="E1357" i="117"/>
  <c r="E1356" i="117"/>
  <c r="E1355" i="117"/>
  <c r="E1354" i="117"/>
  <c r="E1353" i="117"/>
  <c r="E1352" i="117"/>
  <c r="E1351" i="117"/>
  <c r="E1350" i="117"/>
  <c r="E1349" i="117"/>
  <c r="E1348" i="117"/>
  <c r="E1347" i="117"/>
  <c r="E1346" i="117"/>
  <c r="E1345" i="117"/>
  <c r="E1344" i="117"/>
  <c r="E1343" i="117"/>
  <c r="E1342" i="117"/>
  <c r="E1341" i="117"/>
  <c r="E1340" i="117"/>
  <c r="E1339" i="117"/>
  <c r="E1338" i="117"/>
  <c r="E1337" i="117"/>
  <c r="E1336" i="117"/>
  <c r="E1335" i="117"/>
  <c r="E1334" i="117"/>
  <c r="E1333" i="117"/>
  <c r="E1332" i="117"/>
  <c r="E1331" i="117"/>
  <c r="E1330" i="117"/>
  <c r="E1329" i="117"/>
  <c r="E1328" i="117"/>
  <c r="E1327" i="117"/>
  <c r="E1326" i="117"/>
  <c r="E1325" i="117"/>
  <c r="E1324" i="117"/>
  <c r="E1323" i="117"/>
  <c r="E1322" i="117"/>
  <c r="E1321" i="117"/>
  <c r="E1320" i="117"/>
  <c r="E1319" i="117"/>
  <c r="E1318" i="117"/>
  <c r="E1317" i="117"/>
  <c r="E1316" i="117"/>
  <c r="E1315" i="117"/>
  <c r="E1314" i="117"/>
  <c r="E1313" i="117"/>
  <c r="E1312" i="117"/>
  <c r="E1311" i="117"/>
  <c r="E1310" i="117"/>
  <c r="E1309" i="117"/>
  <c r="E1308" i="117"/>
  <c r="E1307" i="117"/>
  <c r="E1306" i="117"/>
  <c r="E1305" i="117"/>
  <c r="E1304" i="117"/>
  <c r="E1303" i="117"/>
  <c r="E1302" i="117"/>
  <c r="E1301" i="117"/>
  <c r="E1300" i="117"/>
  <c r="E1299" i="117"/>
  <c r="E1298" i="117"/>
  <c r="E1297" i="117"/>
  <c r="E1296" i="117"/>
  <c r="E1295" i="117"/>
  <c r="E1294" i="117"/>
  <c r="E1293" i="117"/>
  <c r="E1292" i="117"/>
  <c r="E1291" i="117"/>
  <c r="E1290" i="117"/>
  <c r="E1289" i="117"/>
  <c r="E1288" i="117"/>
  <c r="E1287" i="117"/>
  <c r="E1286" i="117"/>
  <c r="E705" i="117"/>
  <c r="E704" i="117"/>
  <c r="E703" i="117"/>
  <c r="E702" i="117"/>
  <c r="E701" i="117"/>
  <c r="E700" i="117"/>
  <c r="E699" i="117"/>
  <c r="E698" i="117"/>
  <c r="E697" i="117"/>
  <c r="E696" i="117"/>
  <c r="E695" i="117"/>
  <c r="E694" i="117"/>
  <c r="E693" i="117"/>
  <c r="E692" i="117"/>
  <c r="E691" i="117"/>
  <c r="E690" i="117"/>
  <c r="E689" i="117"/>
  <c r="E688" i="117"/>
  <c r="E687" i="117"/>
  <c r="E686" i="117"/>
  <c r="E685" i="117"/>
  <c r="E684" i="117"/>
  <c r="E683" i="117"/>
  <c r="E682" i="117"/>
  <c r="E681" i="117"/>
  <c r="E680" i="117"/>
  <c r="E679" i="117"/>
  <c r="E678" i="117"/>
  <c r="E677" i="117"/>
  <c r="E676" i="117"/>
  <c r="E675" i="117"/>
  <c r="E674" i="117"/>
  <c r="E673" i="117"/>
  <c r="E672" i="117"/>
  <c r="E671" i="117"/>
  <c r="E670" i="117"/>
  <c r="E669" i="117"/>
  <c r="E668" i="117"/>
  <c r="E667" i="117"/>
  <c r="E666" i="117"/>
  <c r="E665" i="117"/>
  <c r="E664" i="117"/>
  <c r="E663" i="117"/>
  <c r="E662" i="117"/>
  <c r="E661" i="117"/>
  <c r="E660" i="117"/>
  <c r="E659" i="117"/>
  <c r="E658" i="117"/>
  <c r="E657" i="117"/>
  <c r="E656" i="117"/>
  <c r="E655" i="117"/>
  <c r="E654" i="117"/>
  <c r="E653" i="117"/>
  <c r="E652" i="117"/>
  <c r="E651" i="117"/>
  <c r="E650" i="117"/>
  <c r="E649" i="117"/>
  <c r="E648" i="117"/>
  <c r="E647" i="117"/>
  <c r="E646" i="117"/>
  <c r="E645" i="117"/>
  <c r="E644" i="117"/>
  <c r="E643" i="117"/>
  <c r="E642" i="117"/>
  <c r="E641" i="117"/>
  <c r="E640" i="117"/>
  <c r="E639" i="117"/>
  <c r="E638" i="117"/>
  <c r="E637" i="117"/>
  <c r="E636" i="117"/>
  <c r="E635" i="117"/>
  <c r="E634" i="117"/>
  <c r="E633" i="117"/>
  <c r="E632" i="117"/>
  <c r="E631" i="117"/>
  <c r="E630" i="117"/>
  <c r="E629" i="117"/>
  <c r="E628" i="117"/>
  <c r="E627" i="117"/>
  <c r="E626" i="117"/>
  <c r="E625" i="117"/>
  <c r="E624" i="117"/>
  <c r="E623" i="117"/>
  <c r="E622" i="117"/>
  <c r="E621" i="117"/>
  <c r="E620" i="117"/>
  <c r="E619" i="117"/>
  <c r="E618" i="117"/>
  <c r="E617" i="117"/>
  <c r="E616" i="117"/>
  <c r="E615" i="117"/>
  <c r="E614" i="117"/>
  <c r="E613" i="117"/>
  <c r="E612" i="117"/>
  <c r="E611" i="117"/>
  <c r="E610" i="117"/>
  <c r="E609" i="117"/>
  <c r="E608" i="117"/>
  <c r="E607" i="117"/>
  <c r="E606" i="117"/>
  <c r="E605" i="117"/>
  <c r="E604" i="117"/>
  <c r="E603" i="117"/>
  <c r="E602" i="117"/>
  <c r="E601" i="117"/>
  <c r="E600" i="117"/>
  <c r="E599" i="117"/>
  <c r="E598" i="117"/>
  <c r="E597" i="117"/>
  <c r="E596" i="117"/>
  <c r="E595" i="117"/>
  <c r="E594" i="117"/>
  <c r="E593" i="117"/>
  <c r="E592" i="117"/>
  <c r="E591" i="117"/>
  <c r="E590" i="117"/>
  <c r="E589" i="117"/>
  <c r="E588" i="117"/>
  <c r="E587" i="117"/>
  <c r="E586" i="117"/>
  <c r="E585" i="117"/>
  <c r="E584" i="117"/>
  <c r="E583" i="117"/>
  <c r="E582" i="117"/>
  <c r="E581" i="117"/>
  <c r="E580" i="117"/>
  <c r="E579" i="117"/>
  <c r="E578" i="117"/>
  <c r="E577" i="117"/>
  <c r="E576" i="117"/>
  <c r="E575" i="117"/>
  <c r="E574" i="117"/>
  <c r="E573" i="117"/>
  <c r="E572" i="117"/>
  <c r="E571" i="117"/>
  <c r="E570" i="117"/>
  <c r="E569" i="117"/>
  <c r="E568" i="117"/>
  <c r="E567" i="117"/>
  <c r="E566" i="117"/>
  <c r="E565" i="117"/>
  <c r="E564" i="117"/>
  <c r="E563" i="117"/>
  <c r="E562" i="117"/>
  <c r="E561" i="117"/>
  <c r="E560" i="117"/>
  <c r="E559" i="117"/>
  <c r="E558" i="117"/>
  <c r="E557" i="117"/>
  <c r="E556" i="117"/>
  <c r="E555" i="117"/>
  <c r="E554" i="117"/>
  <c r="E553" i="117"/>
  <c r="E552" i="117"/>
  <c r="E551" i="117"/>
  <c r="E550" i="117"/>
  <c r="E549" i="117"/>
  <c r="E548" i="117"/>
  <c r="E547" i="117"/>
  <c r="E546" i="117"/>
  <c r="E545" i="117"/>
  <c r="E544" i="117"/>
  <c r="E543" i="117"/>
  <c r="E542" i="117"/>
  <c r="E541" i="117"/>
  <c r="E540" i="117"/>
  <c r="E539" i="117"/>
  <c r="E538" i="117"/>
  <c r="E537" i="117"/>
  <c r="E536" i="117"/>
  <c r="E535" i="117"/>
  <c r="E534" i="117"/>
  <c r="E533" i="117"/>
  <c r="E532" i="117"/>
  <c r="E531" i="117"/>
  <c r="E530" i="117"/>
  <c r="E529" i="117"/>
  <c r="E528" i="117"/>
  <c r="E527" i="117"/>
  <c r="E526" i="117"/>
  <c r="E525" i="117"/>
  <c r="E524" i="117"/>
  <c r="E523" i="117"/>
  <c r="E522" i="117"/>
  <c r="E521" i="117"/>
  <c r="E520" i="117"/>
  <c r="E519" i="117"/>
  <c r="E518" i="117"/>
  <c r="E517" i="117"/>
  <c r="E516" i="117"/>
  <c r="E515" i="117"/>
  <c r="E514" i="117"/>
  <c r="E513" i="117"/>
  <c r="E512" i="117"/>
  <c r="E511" i="117"/>
  <c r="E510" i="117"/>
  <c r="E509" i="117"/>
  <c r="E508" i="117"/>
  <c r="E507" i="117"/>
  <c r="E506" i="117"/>
  <c r="E505" i="117"/>
  <c r="E504" i="117"/>
  <c r="E503" i="117"/>
  <c r="E502" i="117"/>
  <c r="E501" i="117"/>
  <c r="E500" i="117"/>
  <c r="E499" i="117"/>
  <c r="E498" i="117"/>
  <c r="E497" i="117"/>
  <c r="E496" i="117"/>
  <c r="E495" i="117"/>
  <c r="E494" i="117"/>
  <c r="E493" i="117"/>
  <c r="E492" i="117"/>
  <c r="E491" i="117"/>
  <c r="E490" i="117"/>
  <c r="E489" i="117"/>
  <c r="E488" i="117"/>
  <c r="E487" i="117"/>
  <c r="E486" i="117"/>
  <c r="E485" i="117"/>
  <c r="E484" i="117"/>
  <c r="E483" i="117"/>
  <c r="E482" i="117"/>
  <c r="E481" i="117"/>
  <c r="E480" i="117"/>
  <c r="E479" i="117"/>
  <c r="E478" i="117"/>
  <c r="E477" i="117"/>
  <c r="E476" i="117"/>
  <c r="E475" i="117"/>
  <c r="E474" i="117"/>
  <c r="E473" i="117"/>
  <c r="E472" i="117"/>
  <c r="E471" i="117"/>
  <c r="E470" i="117"/>
  <c r="E469" i="117"/>
  <c r="E468" i="117"/>
  <c r="E467" i="117"/>
  <c r="E466" i="117"/>
  <c r="E465" i="117"/>
  <c r="E464" i="117"/>
  <c r="E463" i="117"/>
  <c r="E462" i="117"/>
  <c r="E461" i="117"/>
  <c r="E460" i="117"/>
  <c r="E459" i="117"/>
  <c r="E458" i="117"/>
  <c r="E457" i="117"/>
  <c r="E456" i="117"/>
  <c r="E455" i="117"/>
  <c r="E454" i="117"/>
  <c r="E453" i="117"/>
  <c r="E452" i="117"/>
  <c r="E451" i="117"/>
  <c r="E450" i="117"/>
  <c r="E449" i="117"/>
  <c r="E448" i="117"/>
  <c r="E447" i="117"/>
  <c r="E446" i="117"/>
  <c r="E445" i="117"/>
  <c r="E444" i="117"/>
  <c r="E443" i="117"/>
  <c r="E442" i="117"/>
  <c r="E441" i="117"/>
  <c r="E440" i="117"/>
  <c r="E439" i="117"/>
  <c r="E438" i="117"/>
  <c r="E437" i="117"/>
  <c r="E436" i="117"/>
  <c r="E435" i="117"/>
  <c r="E434" i="117"/>
  <c r="E433" i="117"/>
  <c r="E432" i="117"/>
  <c r="E431" i="117"/>
  <c r="E430" i="117"/>
  <c r="E429" i="117"/>
  <c r="E428" i="117"/>
  <c r="E427" i="117"/>
  <c r="E426" i="117"/>
  <c r="E425" i="117"/>
  <c r="E424" i="117"/>
  <c r="E423" i="117"/>
  <c r="E422" i="117"/>
  <c r="E421" i="117"/>
  <c r="E420" i="117"/>
  <c r="E419" i="117"/>
  <c r="E418" i="117"/>
  <c r="E417" i="117"/>
  <c r="E416" i="117"/>
  <c r="E415" i="117"/>
  <c r="E414" i="117"/>
  <c r="E413" i="117"/>
  <c r="E412" i="117"/>
  <c r="E411" i="117"/>
  <c r="E410" i="117"/>
  <c r="E409" i="117"/>
  <c r="E408" i="117"/>
  <c r="E407" i="117"/>
  <c r="E406" i="117"/>
  <c r="E405" i="117"/>
  <c r="E404" i="117"/>
  <c r="E403" i="117"/>
  <c r="E402" i="117"/>
  <c r="E401" i="117"/>
  <c r="E400" i="117"/>
  <c r="E399" i="117"/>
  <c r="E398" i="117"/>
  <c r="E397" i="117"/>
  <c r="E396" i="117"/>
  <c r="E395" i="117"/>
  <c r="E394" i="117"/>
  <c r="E393" i="117"/>
  <c r="E392" i="117"/>
  <c r="E391" i="117"/>
  <c r="E390" i="117"/>
  <c r="E389" i="117"/>
  <c r="E388" i="117"/>
  <c r="E387" i="117"/>
  <c r="E386" i="117"/>
  <c r="E385" i="117"/>
  <c r="E384" i="117"/>
  <c r="E383" i="117"/>
  <c r="E382" i="117"/>
  <c r="E381" i="117"/>
  <c r="E380" i="117"/>
  <c r="E379" i="117"/>
  <c r="E378" i="117"/>
  <c r="E377" i="117"/>
  <c r="E376" i="117"/>
  <c r="E375" i="117"/>
  <c r="E374" i="117"/>
  <c r="E373" i="117"/>
  <c r="E372" i="117"/>
  <c r="E371" i="117"/>
  <c r="E370" i="117"/>
  <c r="E369" i="117"/>
  <c r="E368" i="117"/>
  <c r="E367" i="117"/>
  <c r="E366" i="117"/>
  <c r="E365" i="117"/>
  <c r="E364" i="117"/>
  <c r="E363" i="117"/>
  <c r="E362" i="117"/>
  <c r="E361" i="117"/>
  <c r="E360" i="117"/>
  <c r="E359" i="117"/>
  <c r="E358" i="117"/>
  <c r="E357" i="117"/>
  <c r="E356" i="117"/>
  <c r="E355" i="117"/>
  <c r="E354" i="117"/>
  <c r="E353" i="117"/>
  <c r="E352" i="117"/>
  <c r="E351" i="117"/>
  <c r="E350" i="117"/>
  <c r="E349" i="117"/>
  <c r="E348" i="117"/>
  <c r="E347" i="117"/>
  <c r="E346" i="117"/>
  <c r="E345" i="117"/>
  <c r="E344" i="117"/>
  <c r="E343" i="117"/>
  <c r="E342" i="117"/>
  <c r="E341" i="117"/>
  <c r="E340" i="117"/>
  <c r="E339" i="117"/>
  <c r="E338" i="117"/>
  <c r="E337" i="117"/>
  <c r="E336" i="117"/>
  <c r="E335" i="117"/>
  <c r="E334" i="117"/>
  <c r="E333" i="117"/>
  <c r="E332" i="117"/>
  <c r="E331" i="117"/>
  <c r="E330" i="117"/>
  <c r="E329" i="117"/>
  <c r="E328" i="117"/>
  <c r="E327" i="117"/>
  <c r="E326" i="117"/>
  <c r="E325" i="117"/>
  <c r="E324" i="117"/>
  <c r="E323" i="117"/>
  <c r="E322" i="117"/>
  <c r="E321" i="117"/>
  <c r="E320" i="117"/>
  <c r="E319" i="117"/>
  <c r="E318" i="117"/>
  <c r="E317" i="117"/>
  <c r="E316" i="117"/>
  <c r="E315" i="117"/>
  <c r="E314" i="117"/>
  <c r="E313" i="117"/>
  <c r="E312" i="117"/>
  <c r="E311" i="117"/>
  <c r="E310" i="117"/>
  <c r="E309" i="117"/>
  <c r="E308" i="117"/>
  <c r="E307" i="117"/>
  <c r="E306" i="117"/>
  <c r="E305" i="117"/>
  <c r="E304" i="117"/>
  <c r="E303" i="117"/>
  <c r="E302" i="117"/>
  <c r="E301" i="117"/>
  <c r="E300" i="117"/>
  <c r="E299" i="117"/>
  <c r="E298" i="117"/>
  <c r="E297" i="117"/>
  <c r="E296" i="117"/>
  <c r="E295" i="117"/>
  <c r="E294" i="117"/>
  <c r="E293" i="117"/>
  <c r="E292" i="117"/>
  <c r="E291" i="117"/>
  <c r="E290" i="117"/>
  <c r="E289" i="117"/>
  <c r="E288" i="117"/>
  <c r="E287" i="117"/>
  <c r="E286" i="117"/>
  <c r="E285" i="117"/>
  <c r="E284" i="117"/>
  <c r="E283" i="117"/>
  <c r="E282" i="117"/>
  <c r="E281" i="117"/>
  <c r="E280" i="117"/>
  <c r="E279" i="117"/>
  <c r="E278" i="117"/>
  <c r="E277" i="117"/>
  <c r="E276" i="117"/>
  <c r="E275" i="117"/>
  <c r="E274" i="117"/>
  <c r="E273" i="117"/>
  <c r="E272" i="117"/>
  <c r="E271" i="117"/>
  <c r="E270" i="117"/>
  <c r="E269" i="117"/>
  <c r="E268" i="117"/>
  <c r="E267" i="117"/>
  <c r="E266" i="117"/>
  <c r="E265" i="117"/>
  <c r="E264" i="117"/>
  <c r="E263" i="117"/>
  <c r="E262" i="117"/>
  <c r="E261" i="117"/>
  <c r="E260" i="117"/>
  <c r="E259" i="117"/>
  <c r="E258" i="117"/>
  <c r="E257" i="117"/>
  <c r="E256" i="117"/>
  <c r="E255" i="117"/>
  <c r="E254" i="117"/>
  <c r="E253" i="117"/>
  <c r="E252" i="117"/>
  <c r="E251" i="117"/>
  <c r="E250" i="117"/>
  <c r="E249" i="117"/>
  <c r="E248" i="117"/>
  <c r="E247" i="117"/>
  <c r="E246" i="117"/>
  <c r="E245" i="117"/>
  <c r="E244" i="117"/>
  <c r="E243" i="117"/>
  <c r="E242" i="117"/>
  <c r="E241" i="117"/>
  <c r="E240" i="117"/>
  <c r="E239" i="117"/>
  <c r="E238" i="117"/>
  <c r="E237" i="117"/>
  <c r="E236" i="117"/>
  <c r="E235" i="117"/>
  <c r="E234" i="117"/>
  <c r="E233" i="117"/>
  <c r="E232" i="117"/>
  <c r="E231" i="117"/>
  <c r="E230" i="117"/>
  <c r="E229" i="117"/>
  <c r="E228" i="117"/>
  <c r="E227" i="117"/>
  <c r="E226" i="117"/>
  <c r="E225" i="117"/>
  <c r="E224" i="117"/>
  <c r="E223" i="117"/>
  <c r="E222" i="117"/>
  <c r="E221" i="117"/>
  <c r="E220" i="117"/>
  <c r="E219" i="117"/>
  <c r="E218" i="117"/>
  <c r="E217" i="117"/>
  <c r="E216" i="117"/>
  <c r="E215" i="117"/>
  <c r="E214" i="117"/>
  <c r="E213" i="117"/>
  <c r="E212" i="117"/>
  <c r="E211" i="117"/>
  <c r="E210" i="117"/>
  <c r="E209" i="117"/>
  <c r="E208" i="117"/>
  <c r="E207" i="117"/>
  <c r="E206" i="117"/>
  <c r="E205" i="117"/>
  <c r="E204" i="117"/>
  <c r="E203" i="117"/>
  <c r="E202" i="117"/>
  <c r="E201" i="117"/>
  <c r="E200" i="117"/>
  <c r="E199" i="117"/>
  <c r="E198" i="117"/>
  <c r="E197" i="117"/>
  <c r="E196" i="117"/>
  <c r="E195" i="117"/>
  <c r="E194" i="117"/>
  <c r="E193" i="117"/>
  <c r="E192" i="117"/>
  <c r="E191" i="117"/>
  <c r="E190" i="117"/>
  <c r="E189" i="117"/>
  <c r="E188" i="117"/>
  <c r="E187" i="117"/>
  <c r="E186" i="117"/>
  <c r="E185" i="117"/>
  <c r="E184" i="117"/>
  <c r="E183" i="117"/>
  <c r="E182" i="117"/>
  <c r="E181" i="117"/>
  <c r="E180" i="117"/>
  <c r="E179" i="117"/>
  <c r="E178" i="117"/>
  <c r="E177" i="117"/>
  <c r="E176" i="117"/>
  <c r="E175" i="117"/>
  <c r="E174" i="117"/>
  <c r="E173" i="117"/>
  <c r="E172" i="117"/>
  <c r="E171" i="117"/>
  <c r="E170" i="117"/>
  <c r="E169" i="117"/>
  <c r="E168" i="117"/>
  <c r="E167" i="117"/>
  <c r="E166" i="117"/>
  <c r="E165" i="117"/>
  <c r="E164" i="117"/>
  <c r="E163" i="117"/>
  <c r="E162" i="117"/>
  <c r="E161" i="117"/>
  <c r="E160" i="117"/>
  <c r="E159" i="117"/>
  <c r="E158" i="117"/>
  <c r="E157" i="117"/>
  <c r="E156" i="117"/>
  <c r="E155" i="117"/>
  <c r="E154" i="117"/>
  <c r="E153" i="117"/>
  <c r="E152" i="117"/>
  <c r="E151" i="117"/>
  <c r="E150" i="117"/>
  <c r="E149" i="117"/>
  <c r="E148" i="117"/>
  <c r="E147" i="117"/>
  <c r="E146" i="117"/>
  <c r="E145" i="117"/>
  <c r="E144" i="117"/>
  <c r="E143" i="117"/>
  <c r="E142" i="117"/>
  <c r="E141" i="117"/>
  <c r="E140" i="117"/>
  <c r="E139" i="117"/>
  <c r="E138" i="117"/>
  <c r="E137" i="117"/>
  <c r="E136" i="117"/>
  <c r="E135" i="117"/>
  <c r="E134" i="117"/>
  <c r="E133" i="117"/>
  <c r="E132" i="117"/>
  <c r="E131" i="117"/>
  <c r="E130" i="117"/>
  <c r="E129" i="117"/>
  <c r="E128" i="117"/>
  <c r="E127" i="117"/>
  <c r="E126" i="117"/>
  <c r="E125" i="117"/>
  <c r="E124" i="117"/>
  <c r="E123" i="117"/>
  <c r="E122" i="117"/>
  <c r="E121" i="117"/>
  <c r="E120" i="117"/>
  <c r="E119" i="117"/>
  <c r="E118" i="117"/>
  <c r="E117" i="117"/>
  <c r="E116" i="117"/>
  <c r="E115" i="117"/>
  <c r="E114" i="117"/>
  <c r="E113" i="117"/>
  <c r="E112" i="117"/>
  <c r="E111" i="117"/>
  <c r="E110" i="117"/>
  <c r="E109" i="117"/>
  <c r="E108" i="117"/>
  <c r="E107" i="117"/>
  <c r="E106" i="117"/>
  <c r="E105" i="117"/>
  <c r="E104" i="117"/>
  <c r="E103" i="117"/>
  <c r="E102" i="117"/>
  <c r="E101" i="117"/>
  <c r="E100" i="117"/>
  <c r="E99" i="117"/>
  <c r="E98" i="117"/>
  <c r="E97" i="117"/>
  <c r="E96" i="117"/>
  <c r="E95" i="117"/>
  <c r="E94" i="117"/>
  <c r="E93" i="117"/>
  <c r="E92" i="117"/>
  <c r="E91" i="117"/>
  <c r="E90" i="117"/>
  <c r="E89" i="117"/>
  <c r="E88" i="117"/>
  <c r="E87" i="117"/>
  <c r="E86" i="117"/>
  <c r="E85" i="117"/>
  <c r="E84" i="117"/>
  <c r="E83" i="117"/>
  <c r="E82" i="117"/>
  <c r="E81" i="117"/>
  <c r="E80" i="117"/>
  <c r="E79" i="117"/>
  <c r="E78" i="117"/>
  <c r="E77" i="117"/>
  <c r="E76" i="117"/>
  <c r="E75" i="117"/>
  <c r="E74" i="117"/>
  <c r="E73" i="117"/>
  <c r="E72" i="117"/>
  <c r="E71" i="117"/>
  <c r="E70" i="117"/>
  <c r="E69" i="117"/>
  <c r="E68" i="117"/>
  <c r="E67" i="117"/>
  <c r="E66" i="117"/>
  <c r="E65" i="117"/>
  <c r="E64" i="117"/>
  <c r="E63" i="117"/>
  <c r="E62" i="117"/>
  <c r="E61" i="117"/>
  <c r="E60" i="117"/>
  <c r="E59" i="117"/>
  <c r="E58" i="117"/>
  <c r="E57" i="117"/>
  <c r="E56" i="117"/>
  <c r="E55" i="117"/>
  <c r="E54" i="117"/>
  <c r="E53" i="117"/>
  <c r="E52" i="117"/>
  <c r="E51" i="117"/>
  <c r="E50" i="117"/>
  <c r="E49" i="117"/>
  <c r="E48" i="117"/>
  <c r="E47" i="117"/>
  <c r="E46" i="117"/>
  <c r="E45" i="117"/>
  <c r="E44" i="117"/>
  <c r="E43" i="117"/>
  <c r="E42" i="117"/>
  <c r="E41" i="117"/>
  <c r="E40" i="117"/>
  <c r="E39" i="117"/>
  <c r="E38" i="117"/>
  <c r="E37" i="117"/>
  <c r="E36" i="117"/>
  <c r="E35" i="117"/>
  <c r="E34" i="117"/>
  <c r="E33" i="117"/>
  <c r="E32" i="117"/>
  <c r="E31" i="117"/>
  <c r="E30" i="117"/>
  <c r="E29" i="117"/>
  <c r="E28" i="117"/>
  <c r="E27" i="117"/>
  <c r="E26" i="117"/>
  <c r="E25" i="117"/>
  <c r="E24" i="117"/>
  <c r="E23" i="117"/>
  <c r="E22" i="117"/>
  <c r="E21" i="117"/>
  <c r="E20" i="117"/>
  <c r="E19" i="117"/>
  <c r="E18" i="117"/>
  <c r="E17" i="117"/>
  <c r="E16" i="117"/>
  <c r="E1388" i="113"/>
  <c r="E1387" i="113"/>
  <c r="E1386" i="113"/>
  <c r="E1385" i="113"/>
  <c r="E1384" i="113"/>
  <c r="E1383" i="113"/>
  <c r="E1382" i="113"/>
  <c r="E1381" i="113"/>
  <c r="E1380" i="113"/>
  <c r="E1379" i="113"/>
  <c r="E1378" i="113"/>
  <c r="E1377" i="113"/>
  <c r="E1376" i="113"/>
  <c r="E1375" i="113"/>
  <c r="E1374" i="113"/>
  <c r="E1373" i="113"/>
  <c r="E1372" i="113"/>
  <c r="E1371" i="113"/>
  <c r="E1370" i="113"/>
  <c r="E1369" i="113"/>
  <c r="E1368" i="113"/>
  <c r="E1367" i="113"/>
  <c r="E1366" i="113"/>
  <c r="E1365" i="113"/>
  <c r="E1364" i="113"/>
  <c r="E1363" i="113"/>
  <c r="E1362" i="113"/>
  <c r="E1361" i="113"/>
  <c r="E1360" i="113"/>
  <c r="E1359" i="113"/>
  <c r="E1358" i="113"/>
  <c r="E1357" i="113"/>
  <c r="E1356" i="113"/>
  <c r="E1355" i="113"/>
  <c r="E1354" i="113"/>
  <c r="E1353" i="113"/>
  <c r="E1352" i="113"/>
  <c r="E1351" i="113"/>
  <c r="E1350" i="113"/>
  <c r="E1349" i="113"/>
  <c r="E1348" i="113"/>
  <c r="E1347" i="113"/>
  <c r="E1346" i="113"/>
  <c r="E1345" i="113"/>
  <c r="E1344" i="113"/>
  <c r="E1343" i="113"/>
  <c r="E1342" i="113"/>
  <c r="E1341" i="113"/>
  <c r="E1340" i="113"/>
  <c r="E1339" i="113"/>
  <c r="E1338" i="113"/>
  <c r="E1337" i="113"/>
  <c r="E1336" i="113"/>
  <c r="E1335" i="113"/>
  <c r="E1334" i="113"/>
  <c r="E1333" i="113"/>
  <c r="E1332" i="113"/>
  <c r="E1331" i="113"/>
  <c r="E1330" i="113"/>
  <c r="E1329" i="113"/>
  <c r="E1328" i="113"/>
  <c r="E1327" i="113"/>
  <c r="E1326" i="113"/>
  <c r="E1325" i="113"/>
  <c r="E1324" i="113"/>
  <c r="E1323" i="113"/>
  <c r="E1322" i="113"/>
  <c r="E1321" i="113"/>
  <c r="E1320" i="113"/>
  <c r="E1319" i="113"/>
  <c r="E1318" i="113"/>
  <c r="E1317" i="113"/>
  <c r="E1316" i="113"/>
  <c r="E1315" i="113"/>
  <c r="E1314" i="113"/>
  <c r="E1313" i="113"/>
  <c r="E1312" i="113"/>
  <c r="E1311" i="113"/>
  <c r="E1310" i="113"/>
  <c r="E1309" i="113"/>
  <c r="E1308" i="113"/>
  <c r="E1307" i="113"/>
  <c r="E1306" i="113"/>
  <c r="E1305" i="113"/>
  <c r="E1304" i="113"/>
  <c r="E1303" i="113"/>
  <c r="E1302" i="113"/>
  <c r="E1301" i="113"/>
  <c r="E1300" i="113"/>
  <c r="E1299" i="113"/>
  <c r="E1298" i="113"/>
  <c r="E1297" i="113"/>
  <c r="E1296" i="113"/>
  <c r="E1295" i="113"/>
  <c r="E1294" i="113"/>
  <c r="E1293" i="113"/>
  <c r="E1292" i="113"/>
  <c r="E1291" i="113"/>
  <c r="E1290" i="113"/>
  <c r="E1289" i="113"/>
  <c r="E1288" i="113"/>
  <c r="E1287" i="113"/>
  <c r="E1286" i="113"/>
  <c r="E1285" i="113"/>
  <c r="E1284" i="113"/>
  <c r="E1283" i="113"/>
  <c r="E1282" i="113"/>
  <c r="E1281" i="113"/>
  <c r="E1280" i="113"/>
  <c r="E1279" i="113"/>
  <c r="E1278" i="113"/>
  <c r="E1277" i="113"/>
  <c r="E1276" i="113"/>
  <c r="E1275" i="113"/>
  <c r="E1274" i="113"/>
  <c r="E1273" i="113"/>
  <c r="E1272" i="113"/>
  <c r="E1271" i="113"/>
  <c r="E1270" i="113"/>
  <c r="E1269" i="113"/>
  <c r="E1268" i="113"/>
  <c r="E1267" i="113"/>
  <c r="E1266" i="113"/>
  <c r="E1265" i="113"/>
  <c r="E1264" i="113"/>
  <c r="E1263" i="113"/>
  <c r="E1262" i="113"/>
  <c r="E1261" i="113"/>
  <c r="E1260" i="113"/>
  <c r="E1259" i="113"/>
  <c r="E1258" i="113"/>
  <c r="E1257" i="113"/>
  <c r="E1256" i="113"/>
  <c r="E1255" i="113"/>
  <c r="E1254" i="113"/>
  <c r="E1253" i="113"/>
  <c r="E1252" i="113"/>
  <c r="E1251" i="113"/>
  <c r="E1250" i="113"/>
  <c r="E1249" i="113"/>
  <c r="E1248" i="113"/>
  <c r="E1247" i="113"/>
  <c r="E1246" i="113"/>
  <c r="E1245" i="113"/>
  <c r="E1244" i="113"/>
  <c r="E1243" i="113"/>
  <c r="E1242" i="113"/>
  <c r="E1241" i="113"/>
  <c r="E1240" i="113"/>
  <c r="E1239" i="113"/>
  <c r="E1238" i="113"/>
  <c r="E1237" i="113"/>
  <c r="E1236" i="113"/>
  <c r="E1235" i="113"/>
  <c r="E1234" i="113"/>
  <c r="E1233" i="113"/>
  <c r="E1232" i="113"/>
  <c r="E1231" i="113"/>
  <c r="E1230" i="113"/>
  <c r="E1229" i="113"/>
  <c r="E1228" i="113"/>
  <c r="E1227" i="113"/>
  <c r="E1226" i="113"/>
  <c r="E1225" i="113"/>
  <c r="E1224" i="113"/>
  <c r="E1223" i="113"/>
  <c r="E1222" i="113"/>
  <c r="E1221" i="113"/>
  <c r="E1220" i="113"/>
  <c r="E1219" i="113"/>
  <c r="E1218" i="113"/>
  <c r="E1217" i="113"/>
  <c r="E1216" i="113"/>
  <c r="E1215" i="113"/>
  <c r="E1214" i="113"/>
  <c r="E1213" i="113"/>
  <c r="E1212" i="113"/>
  <c r="E1211" i="113"/>
  <c r="E1210" i="113"/>
  <c r="E1209" i="113"/>
  <c r="E1208" i="113"/>
  <c r="E1207" i="113"/>
  <c r="E1206" i="113"/>
  <c r="E1205" i="113"/>
  <c r="E1204" i="113"/>
  <c r="E1203" i="113"/>
  <c r="E1202" i="113"/>
  <c r="E1201" i="113"/>
  <c r="E1200" i="113"/>
  <c r="E1199" i="113"/>
  <c r="E1198" i="113"/>
  <c r="E1197" i="113"/>
  <c r="E1196" i="113"/>
  <c r="E1195" i="113"/>
  <c r="E1194" i="113"/>
  <c r="E1192" i="113"/>
  <c r="E1191" i="113"/>
  <c r="E1189" i="113"/>
  <c r="E1188" i="113"/>
  <c r="E1186" i="113"/>
  <c r="E1185" i="113"/>
  <c r="E1184" i="113"/>
  <c r="E1183" i="113"/>
  <c r="E1182" i="113"/>
  <c r="E1181" i="113"/>
  <c r="E1180" i="113"/>
  <c r="E1179" i="113"/>
  <c r="E1178" i="113"/>
  <c r="E1177" i="113"/>
  <c r="E1176" i="113"/>
  <c r="E1175" i="113"/>
  <c r="E1174" i="113"/>
  <c r="E1173" i="113"/>
  <c r="E1172" i="113"/>
  <c r="E1171" i="113"/>
  <c r="E1170" i="113"/>
  <c r="E1169" i="113"/>
  <c r="E1168" i="113"/>
  <c r="E1167" i="113"/>
  <c r="E1166" i="113"/>
  <c r="E1165" i="113"/>
  <c r="E1164" i="113"/>
  <c r="E1163" i="113"/>
  <c r="E1161" i="113"/>
  <c r="E1160" i="113"/>
  <c r="E1159" i="113"/>
  <c r="E1158" i="113"/>
  <c r="E1157" i="113"/>
  <c r="E1156" i="113"/>
  <c r="E1155" i="113"/>
  <c r="E1153" i="113"/>
  <c r="E1152" i="113"/>
  <c r="E1151" i="113"/>
  <c r="E1149" i="113"/>
  <c r="E1148" i="113"/>
  <c r="E1147" i="113"/>
  <c r="E1146" i="113"/>
  <c r="E1145" i="113"/>
  <c r="E1144" i="113"/>
  <c r="E1143" i="113"/>
  <c r="E1142" i="113"/>
  <c r="E1141" i="113"/>
  <c r="E1140" i="113"/>
  <c r="E1139" i="113"/>
  <c r="E1138" i="113"/>
  <c r="E1137" i="113"/>
  <c r="E1135" i="113"/>
  <c r="E1134" i="113"/>
  <c r="E1133" i="113"/>
  <c r="E1132" i="113"/>
  <c r="E1131" i="113"/>
  <c r="E1130" i="113"/>
  <c r="E1129" i="113"/>
  <c r="E1128" i="113"/>
  <c r="E1127" i="113"/>
  <c r="E1126" i="113"/>
  <c r="E1125" i="113"/>
  <c r="E1124" i="113"/>
  <c r="E1123" i="113"/>
  <c r="E1122" i="113"/>
  <c r="E1121" i="113"/>
  <c r="E1120" i="113"/>
  <c r="E1119" i="113"/>
  <c r="E1118" i="113"/>
  <c r="E1117" i="113"/>
  <c r="E1116" i="113"/>
  <c r="E1115" i="113"/>
  <c r="E1113" i="113"/>
  <c r="E1112" i="113"/>
  <c r="E1111" i="113"/>
  <c r="E1110" i="113"/>
  <c r="E1109" i="113"/>
  <c r="E1108" i="113"/>
  <c r="E1107" i="113"/>
  <c r="E1106" i="113"/>
  <c r="E1105" i="113"/>
  <c r="E1104" i="113"/>
  <c r="E1103" i="113"/>
  <c r="E1102" i="113"/>
  <c r="E1101" i="113"/>
  <c r="E1100" i="113"/>
  <c r="E1099" i="113"/>
  <c r="E1098" i="113"/>
  <c r="E1097" i="113"/>
  <c r="E1096" i="113"/>
  <c r="E1095" i="113"/>
  <c r="E1094" i="113"/>
  <c r="E1093" i="113"/>
  <c r="E1092" i="113"/>
  <c r="E1091" i="113"/>
  <c r="E1090" i="113"/>
  <c r="E1089" i="113"/>
  <c r="E1088" i="113"/>
  <c r="E1087" i="113"/>
  <c r="E1086" i="113"/>
  <c r="E1085" i="113"/>
  <c r="E1084" i="113"/>
  <c r="E1082" i="113"/>
  <c r="E1081" i="113"/>
  <c r="E1080" i="113"/>
  <c r="E1079" i="113"/>
  <c r="E1078" i="113"/>
  <c r="E1074" i="113"/>
  <c r="E1073" i="113"/>
  <c r="E1072" i="113"/>
  <c r="E1071" i="113"/>
  <c r="E1070" i="113"/>
  <c r="E1069" i="113"/>
  <c r="E1068" i="113"/>
  <c r="E1067" i="113"/>
  <c r="E1066" i="113"/>
  <c r="E1065" i="113"/>
  <c r="E1064" i="113"/>
  <c r="E1063" i="113"/>
  <c r="E1062" i="113"/>
  <c r="E1061" i="113"/>
  <c r="E1060" i="113"/>
  <c r="E1059" i="113"/>
  <c r="E1058" i="113"/>
  <c r="E1057" i="113"/>
  <c r="E1056" i="113"/>
  <c r="E1055" i="113"/>
  <c r="E1054" i="113"/>
  <c r="E1053" i="113"/>
  <c r="E1052" i="113"/>
  <c r="E1051" i="113"/>
  <c r="E1050" i="113"/>
  <c r="E1049" i="113"/>
  <c r="E1048" i="113"/>
  <c r="E1045" i="113"/>
  <c r="E1044" i="113"/>
  <c r="E1043" i="113"/>
  <c r="E1042" i="113"/>
  <c r="E1041" i="113"/>
  <c r="E1040" i="113"/>
  <c r="E1039" i="113"/>
  <c r="E1038" i="113"/>
  <c r="E1037" i="113"/>
  <c r="E1036" i="113"/>
  <c r="E1035" i="113"/>
  <c r="E1034" i="113"/>
  <c r="E1033" i="113"/>
  <c r="E1032" i="113"/>
  <c r="E1031" i="113"/>
  <c r="E1030" i="113"/>
  <c r="E1029" i="113"/>
  <c r="E1028" i="113"/>
  <c r="E1027" i="113"/>
  <c r="E1026" i="113"/>
  <c r="E1025" i="113"/>
  <c r="E1024" i="113"/>
  <c r="E1023" i="113"/>
  <c r="E1022" i="113"/>
  <c r="E1021" i="113"/>
  <c r="E1020" i="113"/>
  <c r="E1019" i="113"/>
  <c r="E1018" i="113"/>
  <c r="E1017" i="113"/>
  <c r="E1016" i="113"/>
  <c r="E1015" i="113"/>
  <c r="E1014" i="113"/>
  <c r="E1013" i="113"/>
  <c r="E1012" i="113"/>
  <c r="E1011" i="113"/>
  <c r="E1010" i="113"/>
  <c r="E1009" i="113"/>
  <c r="E1008" i="113"/>
  <c r="E1007" i="113"/>
  <c r="E1006" i="113"/>
  <c r="E1005" i="113"/>
  <c r="E1004" i="113"/>
  <c r="E1003" i="113"/>
  <c r="E1002" i="113"/>
  <c r="E1001" i="113"/>
  <c r="E1000" i="113"/>
  <c r="E999" i="113"/>
  <c r="E998" i="113"/>
  <c r="E997" i="113"/>
  <c r="E996" i="113"/>
  <c r="E995" i="113"/>
  <c r="E994" i="113"/>
  <c r="E993" i="113"/>
  <c r="E992" i="113"/>
  <c r="E991" i="113"/>
  <c r="E990" i="113"/>
  <c r="E989" i="113"/>
  <c r="E987" i="113"/>
  <c r="E986" i="113"/>
  <c r="E985" i="113"/>
  <c r="E984" i="113"/>
  <c r="E983" i="113"/>
  <c r="E982" i="113"/>
  <c r="E981" i="113"/>
  <c r="E980" i="113"/>
  <c r="E978" i="113"/>
  <c r="E977" i="113"/>
  <c r="E976" i="113"/>
  <c r="E975" i="113"/>
  <c r="E974" i="113"/>
  <c r="E973" i="113"/>
  <c r="E972" i="113"/>
  <c r="E971" i="113"/>
  <c r="E970" i="113"/>
  <c r="E969" i="113"/>
  <c r="E968" i="113"/>
  <c r="E967" i="113"/>
  <c r="E966" i="113"/>
  <c r="E965" i="113"/>
  <c r="E964" i="113"/>
  <c r="E963" i="113"/>
  <c r="E962" i="113"/>
  <c r="E961" i="113"/>
  <c r="E960" i="113"/>
  <c r="E959" i="113"/>
  <c r="E958" i="113"/>
  <c r="E957" i="113"/>
  <c r="E956" i="113"/>
  <c r="E955" i="113"/>
  <c r="E954" i="113"/>
  <c r="E953" i="113"/>
  <c r="E952" i="113"/>
  <c r="E951" i="113"/>
  <c r="E950" i="113"/>
  <c r="E949" i="113"/>
  <c r="E948" i="113"/>
  <c r="E947" i="113"/>
  <c r="E946" i="113"/>
  <c r="E945" i="113"/>
  <c r="E944" i="113"/>
  <c r="E943" i="113"/>
  <c r="E942" i="113"/>
  <c r="E941" i="113"/>
  <c r="E940" i="113"/>
  <c r="E939" i="113"/>
  <c r="E938" i="113"/>
  <c r="E937" i="113"/>
  <c r="E936" i="113"/>
  <c r="E935" i="113"/>
  <c r="E934" i="113"/>
  <c r="E933" i="113"/>
  <c r="E932" i="113"/>
  <c r="E931" i="113"/>
  <c r="E930" i="113"/>
  <c r="E929" i="113"/>
  <c r="E928" i="113"/>
  <c r="E927" i="113"/>
  <c r="E926" i="113"/>
  <c r="E925" i="113"/>
  <c r="E924" i="113"/>
  <c r="E923" i="113"/>
  <c r="E922" i="113"/>
  <c r="E921" i="113"/>
  <c r="E920" i="113"/>
  <c r="E919" i="113"/>
  <c r="E918" i="113"/>
  <c r="E917" i="113"/>
  <c r="E916" i="113"/>
  <c r="E915" i="113"/>
  <c r="E914" i="113"/>
  <c r="E913" i="113"/>
  <c r="E912" i="113"/>
  <c r="E911" i="113"/>
  <c r="E910" i="113"/>
  <c r="E909" i="113"/>
  <c r="E908" i="113"/>
  <c r="E907" i="113"/>
  <c r="E906" i="113"/>
  <c r="E905" i="113"/>
  <c r="E904" i="113"/>
  <c r="E903" i="113"/>
  <c r="E902" i="113"/>
  <c r="E901" i="113"/>
  <c r="E900" i="113"/>
  <c r="E899" i="113"/>
  <c r="E898" i="113"/>
  <c r="E897" i="113"/>
  <c r="E896" i="113"/>
  <c r="E895" i="113"/>
  <c r="E894" i="113"/>
  <c r="E893" i="113"/>
  <c r="E892" i="113"/>
  <c r="E891" i="113"/>
  <c r="E890" i="113"/>
  <c r="E889" i="113"/>
  <c r="E887" i="113"/>
  <c r="E886" i="113"/>
  <c r="E885" i="113"/>
  <c r="E884" i="113"/>
  <c r="E883" i="113"/>
  <c r="E882" i="113"/>
  <c r="E881" i="113"/>
  <c r="E880" i="113"/>
  <c r="E879" i="113"/>
  <c r="E878" i="113"/>
  <c r="E877" i="113"/>
  <c r="E876" i="113"/>
  <c r="E875" i="113"/>
  <c r="E874" i="113"/>
  <c r="E873" i="113"/>
  <c r="E872" i="113"/>
  <c r="E871" i="113"/>
  <c r="E870" i="113"/>
  <c r="E869" i="113"/>
  <c r="E868" i="113"/>
  <c r="E867" i="113"/>
  <c r="E866" i="113"/>
  <c r="E865" i="113"/>
  <c r="E864" i="113"/>
  <c r="E863" i="113"/>
  <c r="E862" i="113"/>
  <c r="E861" i="113"/>
  <c r="E860" i="113"/>
  <c r="E859" i="113"/>
  <c r="E858" i="113"/>
  <c r="E857" i="113"/>
  <c r="E856" i="113"/>
  <c r="E855" i="113"/>
  <c r="E854" i="113"/>
  <c r="E853" i="113"/>
  <c r="E852" i="113"/>
  <c r="E851" i="113"/>
  <c r="E850" i="113"/>
  <c r="E849" i="113"/>
  <c r="E848" i="113"/>
  <c r="E847" i="113"/>
  <c r="E846" i="113"/>
  <c r="E845" i="113"/>
  <c r="E844" i="113"/>
  <c r="E843" i="113"/>
  <c r="E842" i="113"/>
  <c r="E841" i="113"/>
  <c r="E840" i="113"/>
  <c r="E839" i="113"/>
  <c r="E838" i="113"/>
  <c r="E837" i="113"/>
  <c r="E836" i="113"/>
  <c r="E835" i="113"/>
  <c r="E834" i="113"/>
  <c r="E833" i="113"/>
  <c r="E832" i="113"/>
  <c r="E831" i="113"/>
  <c r="E830" i="113"/>
  <c r="E829" i="113"/>
  <c r="E828" i="113"/>
  <c r="E827" i="113"/>
  <c r="E826" i="113"/>
  <c r="E825" i="113"/>
  <c r="E824" i="113"/>
  <c r="E823" i="113"/>
  <c r="E822" i="113"/>
  <c r="E821" i="113"/>
  <c r="E820" i="113"/>
  <c r="E819" i="113"/>
  <c r="E818" i="113"/>
  <c r="E817" i="113"/>
  <c r="E816" i="113"/>
  <c r="E815" i="113"/>
  <c r="E814" i="113"/>
  <c r="E813" i="113"/>
  <c r="E812" i="113"/>
  <c r="E811" i="113"/>
  <c r="E810" i="113"/>
  <c r="E809" i="113"/>
  <c r="E808" i="113"/>
  <c r="E807" i="113"/>
  <c r="E806" i="113"/>
  <c r="E805" i="113"/>
  <c r="E804" i="113"/>
  <c r="E803" i="113"/>
  <c r="E802" i="113"/>
  <c r="E801" i="113"/>
  <c r="E800" i="113"/>
  <c r="E799" i="113"/>
  <c r="E798" i="113"/>
  <c r="E797" i="113"/>
  <c r="E796" i="113"/>
  <c r="E795" i="113"/>
  <c r="E794" i="113"/>
  <c r="E793" i="113"/>
  <c r="E792" i="113"/>
  <c r="E791" i="113"/>
  <c r="E790" i="113"/>
  <c r="E789" i="113"/>
  <c r="E788" i="113"/>
  <c r="E787" i="113"/>
  <c r="E786" i="113"/>
  <c r="E785" i="113"/>
  <c r="E784" i="113"/>
  <c r="E783" i="113"/>
  <c r="E782" i="113"/>
  <c r="E781" i="113"/>
  <c r="E780" i="113"/>
  <c r="E779" i="113"/>
  <c r="E778" i="113"/>
  <c r="E777" i="113"/>
  <c r="E776" i="113"/>
  <c r="E775" i="113"/>
  <c r="E774" i="113"/>
  <c r="E773" i="113"/>
  <c r="E772" i="113"/>
  <c r="E771" i="113"/>
  <c r="E770" i="113"/>
  <c r="E769" i="113"/>
  <c r="E768" i="113"/>
  <c r="E767" i="113"/>
  <c r="E766" i="113"/>
  <c r="E765" i="113"/>
  <c r="E764" i="113"/>
  <c r="E763" i="113"/>
  <c r="E762" i="113"/>
  <c r="E761" i="113"/>
  <c r="E759" i="113"/>
  <c r="E758" i="113"/>
  <c r="E757" i="113"/>
  <c r="E756" i="113"/>
  <c r="E755" i="113"/>
  <c r="E754" i="113"/>
  <c r="E753" i="113"/>
  <c r="E752" i="113"/>
  <c r="E751" i="113"/>
  <c r="E750" i="113"/>
  <c r="E749" i="113"/>
  <c r="E748" i="113"/>
  <c r="E747" i="113"/>
  <c r="E746" i="113"/>
  <c r="E745" i="113"/>
  <c r="E744" i="113"/>
  <c r="E743" i="113"/>
  <c r="E742" i="113"/>
  <c r="E741" i="113"/>
  <c r="E740" i="113"/>
  <c r="E739" i="113"/>
  <c r="E738" i="113"/>
  <c r="E737" i="113"/>
  <c r="E736" i="113"/>
  <c r="E735" i="113"/>
  <c r="E734" i="113"/>
  <c r="E733" i="113"/>
  <c r="E732" i="113"/>
  <c r="E731" i="113"/>
  <c r="E730" i="113"/>
  <c r="E729" i="113"/>
  <c r="E728" i="113"/>
  <c r="E727" i="113"/>
  <c r="E726" i="113"/>
  <c r="E725" i="113"/>
  <c r="E724" i="113"/>
  <c r="E723" i="113"/>
  <c r="E722" i="113"/>
  <c r="E721" i="113"/>
  <c r="E720" i="113"/>
  <c r="E719" i="113"/>
  <c r="E718" i="113"/>
  <c r="E717" i="113"/>
  <c r="E716" i="113"/>
  <c r="E715" i="113"/>
  <c r="E714" i="113"/>
  <c r="E713" i="113"/>
  <c r="E712" i="113"/>
  <c r="E711" i="113"/>
  <c r="E710" i="113"/>
  <c r="E709" i="113"/>
  <c r="E708" i="113"/>
  <c r="E707" i="113"/>
  <c r="E706" i="113"/>
  <c r="E680" i="113"/>
  <c r="E679" i="113"/>
  <c r="E678" i="113"/>
  <c r="E677" i="113"/>
  <c r="E676" i="113"/>
  <c r="E675" i="113"/>
  <c r="E674" i="113"/>
  <c r="E673" i="113"/>
  <c r="E672" i="113"/>
  <c r="E671" i="113"/>
  <c r="E670" i="113"/>
  <c r="E669" i="113"/>
  <c r="E668" i="113"/>
  <c r="E667" i="113"/>
  <c r="E666" i="113"/>
  <c r="E665" i="113"/>
  <c r="E664" i="113"/>
  <c r="E663" i="113"/>
  <c r="E662" i="113"/>
  <c r="E661" i="113"/>
  <c r="E660" i="113"/>
  <c r="E659" i="113"/>
  <c r="E658" i="113"/>
  <c r="E657" i="113"/>
  <c r="E656" i="113"/>
  <c r="E655" i="113"/>
  <c r="E654" i="113"/>
  <c r="E653" i="113"/>
  <c r="E652" i="113"/>
  <c r="E651" i="113"/>
  <c r="E650" i="113"/>
  <c r="E648" i="113"/>
  <c r="E647" i="113"/>
  <c r="E646" i="113"/>
  <c r="E645" i="113"/>
  <c r="E644" i="113"/>
  <c r="E643" i="113"/>
  <c r="E642" i="113"/>
  <c r="E641" i="113"/>
  <c r="E640" i="113"/>
  <c r="E639" i="113"/>
  <c r="E638" i="113"/>
  <c r="E637" i="113"/>
  <c r="E636" i="113"/>
  <c r="E635" i="113"/>
  <c r="E634" i="113"/>
  <c r="E633" i="113"/>
  <c r="E632" i="113"/>
  <c r="E631" i="113"/>
  <c r="E630" i="113"/>
  <c r="E629" i="113"/>
  <c r="E628" i="113"/>
  <c r="E627" i="113"/>
  <c r="E626" i="113"/>
  <c r="E625" i="113"/>
  <c r="E624" i="113"/>
  <c r="E623" i="113"/>
  <c r="E622" i="113"/>
  <c r="E621" i="113"/>
  <c r="E620" i="113"/>
  <c r="E619" i="113"/>
  <c r="E618" i="113"/>
  <c r="E617" i="113"/>
  <c r="E616" i="113"/>
  <c r="E615" i="113"/>
  <c r="E614" i="113"/>
  <c r="E613" i="113"/>
  <c r="E612" i="113"/>
  <c r="E611" i="113"/>
  <c r="E610" i="113"/>
  <c r="E609" i="113"/>
  <c r="E608" i="113"/>
  <c r="E607" i="113"/>
  <c r="E606" i="113"/>
  <c r="E605" i="113"/>
  <c r="E604" i="113"/>
  <c r="E603" i="113"/>
  <c r="E602" i="113"/>
  <c r="E601" i="113"/>
  <c r="E600" i="113"/>
  <c r="E599" i="113"/>
  <c r="E598" i="113"/>
  <c r="E597" i="113"/>
  <c r="E596" i="113"/>
  <c r="E595" i="113"/>
  <c r="E594" i="113"/>
  <c r="E593" i="113"/>
  <c r="E592" i="113"/>
  <c r="E591" i="113"/>
  <c r="E590" i="113"/>
  <c r="E589" i="113"/>
  <c r="E588" i="113"/>
  <c r="E587" i="113"/>
  <c r="E586" i="113"/>
  <c r="E585" i="113"/>
  <c r="E584" i="113"/>
  <c r="E583" i="113"/>
  <c r="E582" i="113"/>
  <c r="E581" i="113"/>
  <c r="E580" i="113"/>
  <c r="E579" i="113"/>
  <c r="E578" i="113"/>
  <c r="E577" i="113"/>
  <c r="E576" i="113"/>
  <c r="E575" i="113"/>
  <c r="E574" i="113"/>
  <c r="E573" i="113"/>
  <c r="E572" i="113"/>
  <c r="E571" i="113"/>
  <c r="E570" i="113"/>
  <c r="E569" i="113"/>
  <c r="E568" i="113"/>
  <c r="E567" i="113"/>
  <c r="E566" i="113"/>
  <c r="E565" i="113"/>
  <c r="E564" i="113"/>
  <c r="E563" i="113"/>
  <c r="E562" i="113"/>
  <c r="E561" i="113"/>
  <c r="E560" i="113"/>
  <c r="E559" i="113"/>
  <c r="E558" i="113"/>
  <c r="E557" i="113"/>
  <c r="E556" i="113"/>
  <c r="E555" i="113"/>
  <c r="E554" i="113"/>
  <c r="E553" i="113"/>
  <c r="E552" i="113"/>
  <c r="E551" i="113"/>
  <c r="E550" i="113"/>
  <c r="E549" i="113"/>
  <c r="E548" i="113"/>
  <c r="E547" i="113"/>
  <c r="E546" i="113"/>
  <c r="E545" i="113"/>
  <c r="E544" i="113"/>
  <c r="E543" i="113"/>
  <c r="E542" i="113"/>
  <c r="E541" i="113"/>
  <c r="E540" i="113"/>
  <c r="E539" i="113"/>
  <c r="E538" i="113"/>
  <c r="E537" i="113"/>
  <c r="E536" i="113"/>
  <c r="E535" i="113"/>
  <c r="E534" i="113"/>
  <c r="E533" i="113"/>
  <c r="E532" i="113"/>
  <c r="E531" i="113"/>
  <c r="E530" i="113"/>
  <c r="E529" i="113"/>
  <c r="E528" i="113"/>
  <c r="E527" i="113"/>
  <c r="E526" i="113"/>
  <c r="E525" i="113"/>
  <c r="E524" i="113"/>
  <c r="E523" i="113"/>
  <c r="E522" i="113"/>
  <c r="E521" i="113"/>
  <c r="E520" i="113"/>
  <c r="E519" i="113"/>
  <c r="E518" i="113"/>
  <c r="E517" i="113"/>
  <c r="E516" i="113"/>
  <c r="E515" i="113"/>
  <c r="E514" i="113"/>
  <c r="E513" i="113"/>
  <c r="E512" i="113"/>
  <c r="E511" i="113"/>
  <c r="E510" i="113"/>
  <c r="E509" i="113"/>
  <c r="E508" i="113"/>
  <c r="E507" i="113"/>
  <c r="E506" i="113"/>
  <c r="E505" i="113"/>
  <c r="E504" i="113"/>
  <c r="E503" i="113"/>
  <c r="E502" i="113"/>
  <c r="E501" i="113"/>
  <c r="E500" i="113"/>
  <c r="E499" i="113"/>
  <c r="E498" i="113"/>
  <c r="E497" i="113"/>
  <c r="E496" i="113"/>
  <c r="E495" i="113"/>
  <c r="E494" i="113"/>
  <c r="E493" i="113"/>
  <c r="E492" i="113"/>
  <c r="E491" i="113"/>
  <c r="E490" i="113"/>
  <c r="E489" i="113"/>
  <c r="E488" i="113"/>
  <c r="E487" i="113"/>
  <c r="E486" i="113"/>
  <c r="E485" i="113"/>
  <c r="E484" i="113"/>
  <c r="E483" i="113"/>
  <c r="E482" i="113"/>
  <c r="E481" i="113"/>
  <c r="E480" i="113"/>
  <c r="E479" i="113"/>
  <c r="E478" i="113"/>
  <c r="E477" i="113"/>
  <c r="E476" i="113"/>
  <c r="E475" i="113"/>
  <c r="E474" i="113"/>
  <c r="E473" i="113"/>
  <c r="E472" i="113"/>
  <c r="E471" i="113"/>
  <c r="E470" i="113"/>
  <c r="E469" i="113"/>
  <c r="E468" i="113"/>
  <c r="E467" i="113"/>
  <c r="E466" i="113"/>
  <c r="E465" i="113"/>
  <c r="E464" i="113"/>
  <c r="E463" i="113"/>
  <c r="E462" i="113"/>
  <c r="E461" i="113"/>
  <c r="E460" i="113"/>
  <c r="E459" i="113"/>
  <c r="E458" i="113"/>
  <c r="E457" i="113"/>
  <c r="E456" i="113"/>
  <c r="E455" i="113"/>
  <c r="E454" i="113"/>
  <c r="E453" i="113"/>
  <c r="E452" i="113"/>
  <c r="E451" i="113"/>
  <c r="E450" i="113"/>
  <c r="E449" i="113"/>
  <c r="E448" i="113"/>
  <c r="E447" i="113"/>
  <c r="E446" i="113"/>
  <c r="E445" i="113"/>
  <c r="E444" i="113"/>
  <c r="E443" i="113"/>
  <c r="E442" i="113"/>
  <c r="E441" i="113"/>
  <c r="E440" i="113"/>
  <c r="E439" i="113"/>
  <c r="E438" i="113"/>
  <c r="E437" i="113"/>
  <c r="E436" i="113"/>
  <c r="E435" i="113"/>
  <c r="E434" i="113"/>
  <c r="E433" i="113"/>
  <c r="E432" i="113"/>
  <c r="E431" i="113"/>
  <c r="E430" i="113"/>
  <c r="E429" i="113"/>
  <c r="E428" i="113"/>
  <c r="E427" i="113"/>
  <c r="E426" i="113"/>
  <c r="E425" i="113"/>
  <c r="E424" i="113"/>
  <c r="E423" i="113"/>
  <c r="E422" i="113"/>
  <c r="E421" i="113"/>
  <c r="E420" i="113"/>
  <c r="E419" i="113"/>
  <c r="E418" i="113"/>
  <c r="E417" i="113"/>
  <c r="E416" i="113"/>
  <c r="E415" i="113"/>
  <c r="E414" i="113"/>
  <c r="E413" i="113"/>
  <c r="E412" i="113"/>
  <c r="E411" i="113"/>
  <c r="E410" i="113"/>
  <c r="E409" i="113"/>
  <c r="E408" i="113"/>
  <c r="E407" i="113"/>
  <c r="E406" i="113"/>
  <c r="E405" i="113"/>
  <c r="E404" i="113"/>
  <c r="E403" i="113"/>
  <c r="E402" i="113"/>
  <c r="E401" i="113"/>
  <c r="E400" i="113"/>
  <c r="E399" i="113"/>
  <c r="E398" i="113"/>
  <c r="E397" i="113"/>
  <c r="E396" i="113"/>
  <c r="E395" i="113"/>
  <c r="E394" i="113"/>
  <c r="E393" i="113"/>
  <c r="E392" i="113"/>
  <c r="E391" i="113"/>
  <c r="E390" i="113"/>
  <c r="E389" i="113"/>
  <c r="E388" i="113"/>
  <c r="E387" i="113"/>
  <c r="E386" i="113"/>
  <c r="E385" i="113"/>
  <c r="E384" i="113"/>
  <c r="E383" i="113"/>
  <c r="E382" i="113"/>
  <c r="E381" i="113"/>
  <c r="E380" i="113"/>
  <c r="E379" i="113"/>
  <c r="E378" i="113"/>
  <c r="E377" i="113"/>
  <c r="E376" i="113"/>
  <c r="E375" i="113"/>
  <c r="E374" i="113"/>
  <c r="E373" i="113"/>
  <c r="E372" i="113"/>
  <c r="E371" i="113"/>
  <c r="E370" i="113"/>
  <c r="E369" i="113"/>
  <c r="E368" i="113"/>
  <c r="E367" i="113"/>
  <c r="E366" i="113"/>
  <c r="E365" i="113"/>
  <c r="E364" i="113"/>
  <c r="E363" i="113"/>
  <c r="E362" i="113"/>
  <c r="E361" i="113"/>
  <c r="E360" i="113"/>
  <c r="E359" i="113"/>
  <c r="E358" i="113"/>
  <c r="E357" i="113"/>
  <c r="E356" i="113"/>
  <c r="E355" i="113"/>
  <c r="E354" i="113"/>
  <c r="E353" i="113"/>
  <c r="E352" i="113"/>
  <c r="E351" i="113"/>
  <c r="E350" i="113"/>
  <c r="E349" i="113"/>
  <c r="E348" i="113"/>
  <c r="E347" i="113"/>
  <c r="E346" i="113"/>
  <c r="E345" i="113"/>
  <c r="E344" i="113"/>
  <c r="E343" i="113"/>
  <c r="E342" i="113"/>
  <c r="E341" i="113"/>
  <c r="E340" i="113"/>
  <c r="E339" i="113"/>
  <c r="E338" i="113"/>
  <c r="E337" i="113"/>
  <c r="E336" i="113"/>
  <c r="E335" i="113"/>
  <c r="E334" i="113"/>
  <c r="E333" i="113"/>
  <c r="E332" i="113"/>
  <c r="E331" i="113"/>
  <c r="E330" i="113"/>
  <c r="E329" i="113"/>
  <c r="E328" i="113"/>
  <c r="E327" i="113"/>
  <c r="E326" i="113"/>
  <c r="E325" i="113"/>
  <c r="E324" i="113"/>
  <c r="E323" i="113"/>
  <c r="E322" i="113"/>
  <c r="E321" i="113"/>
  <c r="E320" i="113"/>
  <c r="E319" i="113"/>
  <c r="E318" i="113"/>
  <c r="E317" i="113"/>
  <c r="E316" i="113"/>
  <c r="E315" i="113"/>
  <c r="E314" i="113"/>
  <c r="E313" i="113"/>
  <c r="E312" i="113"/>
  <c r="E311" i="113"/>
  <c r="E310" i="113"/>
  <c r="E309" i="113"/>
  <c r="E308" i="113"/>
  <c r="E307" i="113"/>
  <c r="E306" i="113"/>
  <c r="E305" i="113"/>
  <c r="E304" i="113"/>
  <c r="E303" i="113"/>
  <c r="E302" i="113"/>
  <c r="E301" i="113"/>
  <c r="E300" i="113"/>
  <c r="E299" i="113"/>
  <c r="E298" i="113"/>
  <c r="E297" i="113"/>
  <c r="E296" i="113"/>
  <c r="E295" i="113"/>
  <c r="E294" i="113"/>
  <c r="E293" i="113"/>
  <c r="E292" i="113"/>
  <c r="E291" i="113"/>
  <c r="E290" i="113"/>
  <c r="E289" i="113"/>
  <c r="E288" i="113"/>
  <c r="E287" i="113"/>
  <c r="E286" i="113"/>
  <c r="E285" i="113"/>
  <c r="E284" i="113"/>
  <c r="E283" i="113"/>
  <c r="E282" i="113"/>
  <c r="E281" i="113"/>
  <c r="E280" i="113"/>
  <c r="E279" i="113"/>
  <c r="E278" i="113"/>
  <c r="E277" i="113"/>
  <c r="E276" i="113"/>
  <c r="E275" i="113"/>
  <c r="E274" i="113"/>
  <c r="E273" i="113"/>
  <c r="E272" i="113"/>
  <c r="E271" i="113"/>
  <c r="E270" i="113"/>
  <c r="E269" i="113"/>
  <c r="E268" i="113"/>
  <c r="E267" i="113"/>
  <c r="E266" i="113"/>
  <c r="E265" i="113"/>
  <c r="E264" i="113"/>
  <c r="E263" i="113"/>
  <c r="E262" i="113"/>
  <c r="E261" i="113"/>
  <c r="E260" i="113"/>
  <c r="E259" i="113"/>
  <c r="E258" i="113"/>
  <c r="E257" i="113"/>
  <c r="E256" i="113"/>
  <c r="E255" i="113"/>
  <c r="E254" i="113"/>
  <c r="E253" i="113"/>
  <c r="E252" i="113"/>
  <c r="E251" i="113"/>
  <c r="E250" i="113"/>
  <c r="E249" i="113"/>
  <c r="E248" i="113"/>
  <c r="E247" i="113"/>
  <c r="E246" i="113"/>
  <c r="E245" i="113"/>
  <c r="E244" i="113"/>
  <c r="E243" i="113"/>
  <c r="E242" i="113"/>
  <c r="E241" i="113"/>
  <c r="E240" i="113"/>
  <c r="E239" i="113"/>
  <c r="E238" i="113"/>
  <c r="E237" i="113"/>
  <c r="E236" i="113"/>
  <c r="E235" i="113"/>
  <c r="E234" i="113"/>
  <c r="E233" i="113"/>
  <c r="E232" i="113"/>
  <c r="E231" i="113"/>
  <c r="E230" i="113"/>
  <c r="E229" i="113"/>
  <c r="E228" i="113"/>
  <c r="E227" i="113"/>
  <c r="E226" i="113"/>
  <c r="E225" i="113"/>
  <c r="E224" i="113"/>
  <c r="E223" i="113"/>
  <c r="E222" i="113"/>
  <c r="E221" i="113"/>
  <c r="E220" i="113"/>
  <c r="E219" i="113"/>
  <c r="E218" i="113"/>
  <c r="E217" i="113"/>
  <c r="E216" i="113"/>
  <c r="E215" i="113"/>
  <c r="E214" i="113"/>
  <c r="E213" i="113"/>
  <c r="E212" i="113"/>
  <c r="E211" i="113"/>
  <c r="E210" i="113"/>
  <c r="E209" i="113"/>
  <c r="E208" i="113"/>
  <c r="E207" i="113"/>
  <c r="E206" i="113"/>
  <c r="E205" i="113"/>
  <c r="E204" i="113"/>
  <c r="E203" i="113"/>
  <c r="E202" i="113"/>
  <c r="E201" i="113"/>
  <c r="E200" i="113"/>
  <c r="E199" i="113"/>
  <c r="E198" i="113"/>
  <c r="E197" i="113"/>
  <c r="E196" i="113"/>
  <c r="E195" i="113"/>
  <c r="E194" i="113"/>
  <c r="E193" i="113"/>
  <c r="E192" i="113"/>
  <c r="E191" i="113"/>
  <c r="E190" i="113"/>
  <c r="E189" i="113"/>
  <c r="E188" i="113"/>
  <c r="E187" i="113"/>
  <c r="E186" i="113"/>
  <c r="E185" i="113"/>
  <c r="E184" i="113"/>
  <c r="E183" i="113"/>
  <c r="E182" i="113"/>
  <c r="E181" i="113"/>
  <c r="E180" i="113"/>
  <c r="E179" i="113"/>
  <c r="E178" i="113"/>
  <c r="E177" i="113"/>
  <c r="E176" i="113"/>
  <c r="E175" i="113"/>
  <c r="E174" i="113"/>
  <c r="E173" i="113"/>
  <c r="E172" i="113"/>
  <c r="E171" i="113"/>
  <c r="E170" i="113"/>
  <c r="E169" i="113"/>
  <c r="E168" i="113"/>
  <c r="E167" i="113"/>
  <c r="E166" i="113"/>
  <c r="E165" i="113"/>
  <c r="E164" i="113"/>
  <c r="E163" i="113"/>
  <c r="E162" i="113"/>
  <c r="E161" i="113"/>
  <c r="E160" i="113"/>
  <c r="E159" i="113"/>
  <c r="E158" i="113"/>
  <c r="E157" i="113"/>
  <c r="E156" i="113"/>
  <c r="E155" i="113"/>
  <c r="E154" i="113"/>
  <c r="E153" i="113"/>
  <c r="E152" i="113"/>
  <c r="E151" i="113"/>
  <c r="E150" i="113"/>
  <c r="E149" i="113"/>
  <c r="E148" i="113"/>
  <c r="E147" i="113"/>
  <c r="E146" i="113"/>
  <c r="E145" i="113"/>
  <c r="E144" i="113"/>
  <c r="E143" i="113"/>
  <c r="E142" i="113"/>
  <c r="E141" i="113"/>
  <c r="E140" i="113"/>
  <c r="E139" i="113"/>
  <c r="E138" i="113"/>
  <c r="E137" i="113"/>
  <c r="E136" i="113"/>
  <c r="E135" i="113"/>
  <c r="E134" i="113"/>
  <c r="E133" i="113"/>
  <c r="E132" i="113"/>
  <c r="E131" i="113"/>
  <c r="E130" i="113"/>
  <c r="E129" i="113"/>
  <c r="E128" i="113"/>
  <c r="E127" i="113"/>
  <c r="E126" i="113"/>
  <c r="E125" i="113"/>
  <c r="E124" i="113"/>
  <c r="E123" i="113"/>
  <c r="E122" i="113"/>
  <c r="E121" i="113"/>
  <c r="E120" i="113"/>
  <c r="E119" i="113"/>
  <c r="E118" i="113"/>
  <c r="E117" i="113"/>
  <c r="E116" i="113"/>
  <c r="E115" i="113"/>
  <c r="E114" i="113"/>
  <c r="E113" i="113"/>
  <c r="E112" i="113"/>
  <c r="E111" i="113"/>
  <c r="E110" i="113"/>
  <c r="E109" i="113"/>
  <c r="E108" i="113"/>
  <c r="E107" i="113"/>
  <c r="E106" i="113"/>
  <c r="E105" i="113"/>
  <c r="E104" i="113"/>
  <c r="E103" i="113"/>
  <c r="E102" i="113"/>
  <c r="E101" i="113"/>
  <c r="E100" i="113"/>
  <c r="E99" i="113"/>
  <c r="E98" i="113"/>
  <c r="E97" i="113"/>
  <c r="E96" i="113"/>
  <c r="E95" i="113"/>
  <c r="E94" i="113"/>
  <c r="E93" i="113"/>
  <c r="E92" i="113"/>
  <c r="E91" i="113"/>
  <c r="E90" i="113"/>
  <c r="E89" i="113"/>
  <c r="E88" i="113"/>
  <c r="E87" i="113"/>
  <c r="E86" i="113"/>
  <c r="E85" i="113"/>
  <c r="E84" i="113"/>
  <c r="E83" i="113"/>
  <c r="E82" i="113"/>
  <c r="E81" i="113"/>
  <c r="E80" i="113"/>
  <c r="E79" i="113"/>
  <c r="E78" i="113"/>
  <c r="E77" i="113"/>
  <c r="E76" i="113"/>
  <c r="E75" i="113"/>
  <c r="E74" i="113"/>
  <c r="E73" i="113"/>
  <c r="E72" i="113"/>
  <c r="E71" i="113"/>
  <c r="E70" i="113"/>
  <c r="E69" i="113"/>
  <c r="E68" i="113"/>
  <c r="E67" i="113"/>
  <c r="E66" i="113"/>
  <c r="E65" i="113"/>
  <c r="E64" i="113"/>
  <c r="E63" i="113"/>
  <c r="E62" i="113"/>
  <c r="E61" i="113"/>
  <c r="E60" i="113"/>
  <c r="E59" i="113"/>
  <c r="E58" i="113"/>
  <c r="E57" i="113"/>
  <c r="E56" i="113"/>
  <c r="E55" i="113"/>
  <c r="E54" i="113"/>
  <c r="E53" i="113"/>
  <c r="E52" i="113"/>
  <c r="E51" i="113"/>
  <c r="E50" i="113"/>
  <c r="E49" i="113"/>
  <c r="E48" i="113"/>
  <c r="E47" i="113"/>
  <c r="E46" i="113"/>
  <c r="E45" i="113"/>
  <c r="E44" i="113"/>
  <c r="E43" i="113"/>
  <c r="E42" i="113"/>
  <c r="E41" i="113"/>
  <c r="E40" i="113"/>
  <c r="E39" i="113"/>
  <c r="E38" i="113"/>
  <c r="E37" i="113"/>
  <c r="E36" i="113"/>
  <c r="E35" i="113"/>
  <c r="E34" i="113"/>
  <c r="E33" i="113"/>
  <c r="E32" i="113"/>
  <c r="E31" i="113"/>
  <c r="E30" i="113"/>
  <c r="E29" i="113"/>
  <c r="E28" i="113"/>
  <c r="E27" i="113"/>
  <c r="E26" i="113"/>
  <c r="E25" i="113"/>
  <c r="E24" i="113"/>
  <c r="E23" i="113"/>
  <c r="E22" i="113"/>
  <c r="E21" i="113"/>
  <c r="E20" i="113"/>
  <c r="E19" i="113"/>
  <c r="E18" i="113"/>
  <c r="E17" i="113"/>
  <c r="E16" i="113"/>
  <c r="E15" i="113"/>
  <c r="Q42" i="130" l="1"/>
  <c r="E766" i="117"/>
  <c r="E765" i="117"/>
  <c r="E727" i="117"/>
  <c r="E726" i="117"/>
  <c r="E725" i="117"/>
  <c r="E724" i="117"/>
  <c r="E723" i="117"/>
  <c r="E722" i="117"/>
  <c r="E721" i="117"/>
  <c r="E720" i="117"/>
  <c r="E719" i="117"/>
  <c r="E718" i="117"/>
  <c r="E717" i="117"/>
  <c r="E716" i="117"/>
  <c r="E715" i="117"/>
  <c r="E714" i="117"/>
  <c r="E713" i="117"/>
  <c r="E712" i="117"/>
  <c r="E711" i="117"/>
  <c r="E710" i="117"/>
  <c r="E709" i="117"/>
  <c r="E708" i="117"/>
  <c r="E707" i="117"/>
  <c r="E706" i="117"/>
  <c r="E79" i="128" l="1"/>
  <c r="D79" i="128"/>
  <c r="D78" i="128"/>
  <c r="F75" i="128"/>
  <c r="I74" i="128"/>
  <c r="F74" i="128"/>
  <c r="E73" i="128"/>
  <c r="F73" i="128" s="1"/>
  <c r="D73" i="128"/>
  <c r="F71" i="128"/>
  <c r="F70" i="128"/>
  <c r="F69" i="128"/>
  <c r="E69" i="128"/>
  <c r="D69" i="128"/>
  <c r="E68" i="128"/>
  <c r="F68" i="128" s="1"/>
  <c r="D68" i="128"/>
  <c r="D65" i="128"/>
  <c r="F65" i="128" s="1"/>
  <c r="D63" i="128"/>
  <c r="D62" i="128"/>
  <c r="F57" i="128"/>
  <c r="F56" i="128"/>
  <c r="E56" i="128"/>
  <c r="D56" i="128"/>
  <c r="F55" i="128"/>
  <c r="E55" i="128"/>
  <c r="D55" i="128"/>
  <c r="F54" i="128"/>
  <c r="E54" i="128"/>
  <c r="F53" i="128"/>
  <c r="E53" i="128"/>
  <c r="D53" i="128"/>
  <c r="E50" i="128"/>
  <c r="D50" i="128"/>
  <c r="E49" i="128"/>
  <c r="D49" i="128"/>
  <c r="F49" i="128" s="1"/>
  <c r="E47" i="128"/>
  <c r="F47" i="128" s="1"/>
  <c r="D47" i="128"/>
  <c r="F43" i="128"/>
  <c r="E43" i="128"/>
  <c r="D43" i="128"/>
  <c r="F42" i="128"/>
  <c r="F41" i="128"/>
  <c r="E41" i="128"/>
  <c r="D41" i="128"/>
  <c r="E40" i="128"/>
  <c r="E66" i="128" s="1"/>
  <c r="D40" i="128"/>
  <c r="D66" i="128" s="1"/>
  <c r="F39" i="128"/>
  <c r="E39" i="128"/>
  <c r="D39" i="128"/>
  <c r="D64" i="128" s="1"/>
  <c r="E38" i="128"/>
  <c r="E65" i="128" s="1"/>
  <c r="D38" i="128"/>
  <c r="F37" i="128"/>
  <c r="F35" i="128"/>
  <c r="F34" i="128"/>
  <c r="E34" i="128"/>
  <c r="F33" i="128"/>
  <c r="E32" i="128"/>
  <c r="F32" i="128" s="1"/>
  <c r="D31" i="128"/>
  <c r="E31" i="128" s="1"/>
  <c r="E30" i="128"/>
  <c r="F29" i="128"/>
  <c r="E29" i="128"/>
  <c r="E27" i="128"/>
  <c r="E20" i="128"/>
  <c r="D20" i="128"/>
  <c r="E19" i="128"/>
  <c r="E22" i="128" s="1"/>
  <c r="D19" i="128"/>
  <c r="D22" i="128" s="1"/>
  <c r="E18" i="128"/>
  <c r="E61" i="128" s="1"/>
  <c r="E17" i="128"/>
  <c r="E28" i="128" s="1"/>
  <c r="D17" i="128"/>
  <c r="H16" i="128"/>
  <c r="E16" i="128"/>
  <c r="D16" i="128"/>
  <c r="D28" i="128" s="1"/>
  <c r="L14" i="128"/>
  <c r="E14" i="128"/>
  <c r="F10" i="128"/>
  <c r="F50" i="128" s="1"/>
  <c r="F8" i="128"/>
  <c r="E4" i="128"/>
  <c r="E9" i="128" s="1"/>
  <c r="D4" i="128"/>
  <c r="D14" i="128" s="1"/>
  <c r="I3" i="128"/>
  <c r="K3" i="128" s="1"/>
  <c r="K4" i="128" s="1"/>
  <c r="I2" i="128"/>
  <c r="K2" i="128" s="1"/>
  <c r="D95" i="127"/>
  <c r="E95" i="127" s="1"/>
  <c r="E94" i="127"/>
  <c r="E89" i="127"/>
  <c r="D88" i="127"/>
  <c r="D89" i="127" s="1"/>
  <c r="G85" i="127"/>
  <c r="J84" i="127"/>
  <c r="G84" i="127"/>
  <c r="G83" i="127"/>
  <c r="F83" i="127"/>
  <c r="E83" i="127"/>
  <c r="D83" i="127"/>
  <c r="G81" i="127"/>
  <c r="G80" i="127"/>
  <c r="G79" i="127"/>
  <c r="G78" i="127"/>
  <c r="F78" i="127"/>
  <c r="E78" i="127"/>
  <c r="D78" i="127"/>
  <c r="F75" i="127"/>
  <c r="E75" i="127"/>
  <c r="D75" i="127"/>
  <c r="G75" i="127" s="1"/>
  <c r="F74" i="127"/>
  <c r="F73" i="127"/>
  <c r="E73" i="127"/>
  <c r="D73" i="127"/>
  <c r="G73" i="127" s="1"/>
  <c r="F72" i="127"/>
  <c r="E72" i="127"/>
  <c r="D72" i="127"/>
  <c r="G72" i="127" s="1"/>
  <c r="G67" i="127"/>
  <c r="G64" i="127"/>
  <c r="F64" i="127"/>
  <c r="D64" i="127"/>
  <c r="F59" i="127"/>
  <c r="E59" i="127"/>
  <c r="D59" i="127"/>
  <c r="G59" i="127" s="1"/>
  <c r="F53" i="127"/>
  <c r="F76" i="127" s="1"/>
  <c r="E53" i="127"/>
  <c r="G53" i="127" s="1"/>
  <c r="D53" i="127"/>
  <c r="D76" i="127" s="1"/>
  <c r="G52" i="127"/>
  <c r="G51" i="127"/>
  <c r="F51" i="127"/>
  <c r="E51" i="127"/>
  <c r="D51" i="127"/>
  <c r="G50" i="127"/>
  <c r="G49" i="127"/>
  <c r="F49" i="127"/>
  <c r="E49" i="127"/>
  <c r="E74" i="127" s="1"/>
  <c r="D49" i="127"/>
  <c r="D74" i="127" s="1"/>
  <c r="G48" i="127"/>
  <c r="G47" i="127"/>
  <c r="G45" i="127"/>
  <c r="G44" i="127"/>
  <c r="G42" i="127"/>
  <c r="F41" i="127"/>
  <c r="E41" i="127"/>
  <c r="D41" i="127"/>
  <c r="G39" i="127"/>
  <c r="E32" i="127"/>
  <c r="F30" i="127"/>
  <c r="E30" i="127"/>
  <c r="D30" i="127"/>
  <c r="D32" i="127" s="1"/>
  <c r="F29" i="127"/>
  <c r="F32" i="127" s="1"/>
  <c r="E29" i="127"/>
  <c r="D29" i="127"/>
  <c r="E21" i="127"/>
  <c r="E22" i="127" s="1"/>
  <c r="F20" i="127"/>
  <c r="E20" i="127"/>
  <c r="E19" i="127"/>
  <c r="E77" i="127" s="1"/>
  <c r="F18" i="127"/>
  <c r="F21" i="127" s="1"/>
  <c r="F22" i="127" s="1"/>
  <c r="E18" i="127"/>
  <c r="D18" i="127"/>
  <c r="D21" i="127" s="1"/>
  <c r="I17" i="127"/>
  <c r="F17" i="127"/>
  <c r="E17" i="127"/>
  <c r="E38" i="127" s="1"/>
  <c r="D17" i="127"/>
  <c r="M15" i="127"/>
  <c r="F11" i="127"/>
  <c r="F66" i="127" s="1"/>
  <c r="E11" i="127"/>
  <c r="E66" i="127" s="1"/>
  <c r="D11" i="127"/>
  <c r="D66" i="127" s="1"/>
  <c r="F9" i="127"/>
  <c r="E9" i="127"/>
  <c r="E65" i="127" s="1"/>
  <c r="D9" i="127"/>
  <c r="L4" i="127"/>
  <c r="J4" i="127"/>
  <c r="F4" i="127"/>
  <c r="F5" i="127" s="1"/>
  <c r="E4" i="127"/>
  <c r="E5" i="127" s="1"/>
  <c r="E10" i="127" s="1"/>
  <c r="D4" i="127"/>
  <c r="D5" i="127" s="1"/>
  <c r="J2" i="127"/>
  <c r="L2" i="127" s="1"/>
  <c r="F2" i="127"/>
  <c r="E2" i="127"/>
  <c r="D2" i="127"/>
  <c r="E72" i="126"/>
  <c r="D72" i="126"/>
  <c r="D71" i="126"/>
  <c r="E71" i="126" s="1"/>
  <c r="E68" i="126"/>
  <c r="D68" i="126"/>
  <c r="E67" i="126"/>
  <c r="D67" i="126"/>
  <c r="E66" i="126"/>
  <c r="D66" i="126"/>
  <c r="J65" i="126"/>
  <c r="E65" i="126"/>
  <c r="D65" i="126"/>
  <c r="E61" i="126"/>
  <c r="D61" i="126"/>
  <c r="E60" i="126"/>
  <c r="D60" i="126"/>
  <c r="E49" i="126"/>
  <c r="D49" i="126"/>
  <c r="E47" i="126"/>
  <c r="D47" i="126"/>
  <c r="D46" i="126"/>
  <c r="E45" i="126"/>
  <c r="D45" i="126"/>
  <c r="E44" i="126"/>
  <c r="A42" i="126"/>
  <c r="A52" i="126" s="1"/>
  <c r="A64" i="126" s="1"/>
  <c r="E35" i="126"/>
  <c r="E46" i="126" s="1"/>
  <c r="D35" i="126"/>
  <c r="E33" i="126"/>
  <c r="E59" i="126" s="1"/>
  <c r="D33" i="126"/>
  <c r="D59" i="126" s="1"/>
  <c r="E32" i="126"/>
  <c r="E58" i="126" s="1"/>
  <c r="D32" i="126"/>
  <c r="D58" i="126" s="1"/>
  <c r="E30" i="126"/>
  <c r="E56" i="126" s="1"/>
  <c r="D30" i="126"/>
  <c r="D56" i="126" s="1"/>
  <c r="E25" i="126"/>
  <c r="D25" i="126"/>
  <c r="E21" i="126"/>
  <c r="E22" i="126" s="1"/>
  <c r="D21" i="126"/>
  <c r="E20" i="126"/>
  <c r="D20" i="126"/>
  <c r="D22" i="126" s="1"/>
  <c r="E18" i="126"/>
  <c r="D18" i="126"/>
  <c r="D19" i="126" s="1"/>
  <c r="D54" i="126" s="1"/>
  <c r="E17" i="126"/>
  <c r="E19" i="126" s="1"/>
  <c r="E54" i="126" s="1"/>
  <c r="D17" i="126"/>
  <c r="E15" i="126"/>
  <c r="E16" i="126" s="1"/>
  <c r="D15" i="126"/>
  <c r="E14" i="126"/>
  <c r="D14" i="126"/>
  <c r="D16" i="126" s="1"/>
  <c r="E9" i="126"/>
  <c r="E53" i="126" s="1"/>
  <c r="E7" i="126"/>
  <c r="E6" i="126"/>
  <c r="E48" i="126" s="1"/>
  <c r="D6" i="126"/>
  <c r="D48" i="126" s="1"/>
  <c r="E3" i="126"/>
  <c r="E5" i="126" s="1"/>
  <c r="D3" i="126"/>
  <c r="D9" i="126" s="1"/>
  <c r="D53" i="126" s="1"/>
  <c r="E2" i="126"/>
  <c r="D2" i="126"/>
  <c r="D89" i="125"/>
  <c r="D88" i="125"/>
  <c r="F88" i="125" s="1"/>
  <c r="E87" i="125"/>
  <c r="D87" i="125" s="1"/>
  <c r="F87" i="125" s="1"/>
  <c r="E86" i="125"/>
  <c r="D86" i="125"/>
  <c r="F86" i="125" s="1"/>
  <c r="E85" i="125"/>
  <c r="D85" i="125" s="1"/>
  <c r="F85" i="125" s="1"/>
  <c r="E84" i="125"/>
  <c r="D84" i="125"/>
  <c r="F84" i="125" s="1"/>
  <c r="E83" i="125"/>
  <c r="D83" i="125" s="1"/>
  <c r="F83" i="125" s="1"/>
  <c r="H82" i="125"/>
  <c r="E82" i="125"/>
  <c r="D82" i="125"/>
  <c r="H81" i="125"/>
  <c r="E81" i="125"/>
  <c r="D81" i="125" s="1"/>
  <c r="E79" i="125"/>
  <c r="F79" i="125" s="1"/>
  <c r="D79" i="125"/>
  <c r="F78" i="125"/>
  <c r="E77" i="125"/>
  <c r="D77" i="125"/>
  <c r="F76" i="125"/>
  <c r="E76" i="125"/>
  <c r="D76" i="125"/>
  <c r="H75" i="125"/>
  <c r="F75" i="125"/>
  <c r="E75" i="125"/>
  <c r="D75" i="125"/>
  <c r="F74" i="125"/>
  <c r="E74" i="125"/>
  <c r="D74" i="125"/>
  <c r="A80" i="125"/>
  <c r="E49" i="125"/>
  <c r="D49" i="125"/>
  <c r="F49" i="125" s="1"/>
  <c r="F48" i="125"/>
  <c r="E48" i="125"/>
  <c r="D48" i="125"/>
  <c r="F46" i="125"/>
  <c r="E46" i="125"/>
  <c r="D46" i="125"/>
  <c r="F45" i="125"/>
  <c r="D45" i="125"/>
  <c r="F44" i="125"/>
  <c r="D44" i="125"/>
  <c r="E43" i="125"/>
  <c r="E47" i="125" s="1"/>
  <c r="E42" i="125"/>
  <c r="D42" i="125"/>
  <c r="E33" i="125"/>
  <c r="E44" i="125" s="1"/>
  <c r="D33" i="125"/>
  <c r="E31" i="125"/>
  <c r="E78" i="125" s="1"/>
  <c r="H30" i="125"/>
  <c r="E29" i="125"/>
  <c r="E28" i="125"/>
  <c r="D28" i="125"/>
  <c r="G27" i="125"/>
  <c r="E23" i="125"/>
  <c r="H22" i="125"/>
  <c r="H23" i="125" s="1"/>
  <c r="E22" i="125"/>
  <c r="D22" i="125"/>
  <c r="D23" i="125" s="1"/>
  <c r="E21" i="125"/>
  <c r="D21" i="125"/>
  <c r="E19" i="125"/>
  <c r="D19" i="125"/>
  <c r="E18" i="125"/>
  <c r="E20" i="125" s="1"/>
  <c r="D18" i="125"/>
  <c r="D20" i="125" s="1"/>
  <c r="E17" i="125"/>
  <c r="D17" i="125"/>
  <c r="I12" i="125"/>
  <c r="K12" i="125" s="1"/>
  <c r="K9" i="125"/>
  <c r="I9" i="125"/>
  <c r="K8" i="125"/>
  <c r="I7" i="125"/>
  <c r="K7" i="125" s="1"/>
  <c r="I6" i="125"/>
  <c r="K6" i="125" s="1"/>
  <c r="I5" i="125"/>
  <c r="K5" i="125" s="1"/>
  <c r="E5" i="125"/>
  <c r="G11" i="125" s="1"/>
  <c r="D5" i="125"/>
  <c r="F14" i="125" s="1"/>
  <c r="K4" i="125"/>
  <c r="G66" i="127" l="1"/>
  <c r="E15" i="127"/>
  <c r="G9" i="127"/>
  <c r="F60" i="127"/>
  <c r="E58" i="128"/>
  <c r="E23" i="128"/>
  <c r="E51" i="128" s="1"/>
  <c r="E52" i="128" s="1"/>
  <c r="F66" i="128"/>
  <c r="D9" i="128"/>
  <c r="E60" i="128"/>
  <c r="E64" i="128"/>
  <c r="F64" i="128" s="1"/>
  <c r="D27" i="128"/>
  <c r="F40" i="128"/>
  <c r="E63" i="128"/>
  <c r="F63" i="128" s="1"/>
  <c r="E67" i="128"/>
  <c r="E62" i="128"/>
  <c r="F62" i="128" s="1"/>
  <c r="D18" i="128"/>
  <c r="F38" i="128"/>
  <c r="D10" i="127"/>
  <c r="D15" i="127"/>
  <c r="L5" i="127"/>
  <c r="E23" i="127"/>
  <c r="E26" i="127" s="1"/>
  <c r="E24" i="127"/>
  <c r="G74" i="127"/>
  <c r="F10" i="127"/>
  <c r="F15" i="127"/>
  <c r="D37" i="127"/>
  <c r="D20" i="127"/>
  <c r="D22" i="127" s="1"/>
  <c r="D24" i="127"/>
  <c r="E37" i="127"/>
  <c r="F38" i="127"/>
  <c r="D60" i="127"/>
  <c r="D63" i="127"/>
  <c r="G11" i="127"/>
  <c r="G60" i="127" s="1"/>
  <c r="D19" i="127"/>
  <c r="D77" i="127" s="1"/>
  <c r="G77" i="127" s="1"/>
  <c r="D23" i="127"/>
  <c r="D26" i="127" s="1"/>
  <c r="E33" i="127"/>
  <c r="E61" i="127" s="1"/>
  <c r="E62" i="127" s="1"/>
  <c r="F37" i="127"/>
  <c r="E60" i="127"/>
  <c r="E63" i="127"/>
  <c r="F65" i="127"/>
  <c r="E68" i="127"/>
  <c r="E76" i="127"/>
  <c r="G76" i="127" s="1"/>
  <c r="D38" i="127"/>
  <c r="F63" i="127"/>
  <c r="G65" i="127"/>
  <c r="F19" i="127"/>
  <c r="F77" i="127" s="1"/>
  <c r="D65" i="127"/>
  <c r="E50" i="126"/>
  <c r="E26" i="126"/>
  <c r="E43" i="126" s="1"/>
  <c r="E55" i="126"/>
  <c r="E41" i="126"/>
  <c r="D55" i="126"/>
  <c r="D41" i="126"/>
  <c r="D57" i="126"/>
  <c r="E57" i="126"/>
  <c r="D5" i="126"/>
  <c r="D6" i="125"/>
  <c r="F42" i="125"/>
  <c r="E45" i="125"/>
  <c r="E6" i="125"/>
  <c r="D43" i="125"/>
  <c r="F43" i="125" s="1"/>
  <c r="I11" i="125"/>
  <c r="K11" i="125" s="1"/>
  <c r="K13" i="125" s="1"/>
  <c r="D31" i="125"/>
  <c r="D78" i="125" s="1"/>
  <c r="D60" i="128" l="1"/>
  <c r="F60" i="128" s="1"/>
  <c r="D61" i="128"/>
  <c r="F61" i="128" s="1"/>
  <c r="D67" i="128"/>
  <c r="F67" i="128" s="1"/>
  <c r="D23" i="128"/>
  <c r="D51" i="128" s="1"/>
  <c r="D58" i="128"/>
  <c r="F58" i="128" s="1"/>
  <c r="F24" i="127"/>
  <c r="F23" i="127"/>
  <c r="F26" i="127" s="1"/>
  <c r="D25" i="127"/>
  <c r="D27" i="127"/>
  <c r="D28" i="127" s="1"/>
  <c r="F68" i="127"/>
  <c r="F33" i="127"/>
  <c r="F61" i="127" s="1"/>
  <c r="F62" i="127" s="1"/>
  <c r="D68" i="127"/>
  <c r="G68" i="127" s="1"/>
  <c r="D33" i="127"/>
  <c r="D61" i="127" s="1"/>
  <c r="G63" i="127"/>
  <c r="E27" i="127"/>
  <c r="E28" i="127" s="1"/>
  <c r="E25" i="127"/>
  <c r="D27" i="126"/>
  <c r="D44" i="126" s="1"/>
  <c r="D50" i="126"/>
  <c r="D26" i="126"/>
  <c r="D43" i="126" s="1"/>
  <c r="D50" i="125"/>
  <c r="D24" i="125"/>
  <c r="D41" i="125" s="1"/>
  <c r="E50" i="125"/>
  <c r="E24" i="125"/>
  <c r="E41" i="125" s="1"/>
  <c r="D47" i="125"/>
  <c r="F47" i="125" s="1"/>
  <c r="D57" i="127" l="1"/>
  <c r="D52" i="128"/>
  <c r="F52" i="128" s="1"/>
  <c r="F51" i="128"/>
  <c r="G61" i="127"/>
  <c r="D62" i="127"/>
  <c r="G62" i="127" s="1"/>
  <c r="D70" i="127"/>
  <c r="F27" i="127"/>
  <c r="F28" i="127" s="1"/>
  <c r="F25" i="127"/>
  <c r="G57" i="127"/>
  <c r="E57" i="127"/>
  <c r="E70" i="127"/>
  <c r="E71" i="127" s="1"/>
  <c r="F41" i="125"/>
  <c r="F50" i="125"/>
  <c r="G70" i="127" l="1"/>
  <c r="D71" i="127"/>
  <c r="G71" i="127" s="1"/>
  <c r="F57" i="127"/>
  <c r="F70" i="127"/>
  <c r="F71" i="127" l="1"/>
  <c r="I67" i="121"/>
  <c r="I74" i="121" s="1"/>
  <c r="I63" i="121"/>
  <c r="I62" i="121"/>
  <c r="H62" i="121"/>
  <c r="G62" i="121"/>
  <c r="H61" i="121"/>
  <c r="I61" i="121" s="1"/>
  <c r="I65" i="121" s="1"/>
  <c r="I72" i="121" s="1"/>
  <c r="G61" i="121"/>
  <c r="H60" i="121"/>
  <c r="I60" i="121" s="1"/>
  <c r="I66" i="121" s="1"/>
  <c r="I73" i="121" s="1"/>
  <c r="G60" i="121"/>
  <c r="H59" i="121"/>
  <c r="G59" i="121"/>
  <c r="I59" i="121" s="1"/>
  <c r="H58" i="121"/>
  <c r="G58" i="121"/>
  <c r="I58" i="121" s="1"/>
  <c r="H57" i="121"/>
  <c r="I57" i="121" s="1"/>
  <c r="G57" i="121"/>
  <c r="H56" i="121"/>
  <c r="G56" i="121"/>
  <c r="H55" i="121"/>
  <c r="G55" i="121"/>
  <c r="I55" i="121" s="1"/>
  <c r="H54" i="121"/>
  <c r="G54" i="121"/>
  <c r="I54" i="121" s="1"/>
  <c r="H53" i="121"/>
  <c r="I53" i="121" s="1"/>
  <c r="G53" i="121"/>
  <c r="H52" i="121"/>
  <c r="I52" i="121" s="1"/>
  <c r="I68" i="121" s="1"/>
  <c r="I75" i="121" s="1"/>
  <c r="G52" i="121"/>
  <c r="H51" i="121"/>
  <c r="G51" i="121"/>
  <c r="I51" i="121" s="1"/>
  <c r="I69" i="121" s="1"/>
  <c r="I76" i="121" s="1"/>
  <c r="I50" i="121"/>
  <c r="H50" i="121"/>
  <c r="G50" i="121"/>
  <c r="H49" i="121"/>
  <c r="G49" i="121"/>
  <c r="I110" i="124"/>
  <c r="M119" i="124"/>
  <c r="Q119" i="124" s="1"/>
  <c r="N118" i="124"/>
  <c r="M118" i="124"/>
  <c r="O117" i="124"/>
  <c r="N117" i="124"/>
  <c r="M117" i="124"/>
  <c r="I116" i="124"/>
  <c r="I115" i="124"/>
  <c r="N114" i="124"/>
  <c r="M114" i="124"/>
  <c r="H105" i="124"/>
  <c r="F105" i="124"/>
  <c r="G105" i="124" s="1"/>
  <c r="D105" i="124"/>
  <c r="H104" i="124"/>
  <c r="F104" i="124"/>
  <c r="G104" i="124" s="1"/>
  <c r="I104" i="124" s="1"/>
  <c r="I107" i="124" s="1"/>
  <c r="D104" i="124"/>
  <c r="H103" i="124"/>
  <c r="F103" i="124"/>
  <c r="G103" i="124" s="1"/>
  <c r="D103" i="124"/>
  <c r="H102" i="124"/>
  <c r="F102" i="124"/>
  <c r="G102" i="124" s="1"/>
  <c r="I102" i="124" s="1"/>
  <c r="D102" i="124"/>
  <c r="H101" i="124"/>
  <c r="F101" i="124"/>
  <c r="G101" i="124" s="1"/>
  <c r="D101" i="124"/>
  <c r="H100" i="124"/>
  <c r="D100" i="124"/>
  <c r="H99" i="124"/>
  <c r="G99" i="124"/>
  <c r="F99" i="124"/>
  <c r="F100" i="124" s="1"/>
  <c r="G100" i="124" s="1"/>
  <c r="D99" i="124"/>
  <c r="H98" i="124"/>
  <c r="F98" i="124"/>
  <c r="G98" i="124" s="1"/>
  <c r="D98" i="124"/>
  <c r="H97" i="124"/>
  <c r="F97" i="124"/>
  <c r="G97" i="124" s="1"/>
  <c r="D97" i="124"/>
  <c r="H96" i="124"/>
  <c r="F96" i="124"/>
  <c r="G96" i="124" s="1"/>
  <c r="I96" i="124" s="1"/>
  <c r="D96" i="124"/>
  <c r="H95" i="124"/>
  <c r="F95" i="124"/>
  <c r="G95" i="124" s="1"/>
  <c r="D95" i="124"/>
  <c r="H94" i="124"/>
  <c r="D94" i="124"/>
  <c r="H93" i="124"/>
  <c r="F93" i="124"/>
  <c r="G93" i="124" s="1"/>
  <c r="I93" i="124" s="1"/>
  <c r="D93" i="124"/>
  <c r="H92" i="124"/>
  <c r="F92" i="124"/>
  <c r="G92" i="124" s="1"/>
  <c r="D92" i="124"/>
  <c r="H91" i="124"/>
  <c r="F91" i="124"/>
  <c r="G91" i="124" s="1"/>
  <c r="D91" i="124"/>
  <c r="H90" i="124"/>
  <c r="F90" i="124"/>
  <c r="G90" i="124" s="1"/>
  <c r="D90" i="124"/>
  <c r="H89" i="124"/>
  <c r="G89" i="124"/>
  <c r="D89" i="124"/>
  <c r="H88" i="124"/>
  <c r="F88" i="124"/>
  <c r="G88" i="124" s="1"/>
  <c r="I88" i="124" s="1"/>
  <c r="D88" i="124"/>
  <c r="H87" i="124"/>
  <c r="G87" i="124"/>
  <c r="D87" i="124"/>
  <c r="I65" i="124"/>
  <c r="L63" i="124"/>
  <c r="I64" i="124" s="1"/>
  <c r="H58" i="124"/>
  <c r="F58" i="124"/>
  <c r="G58" i="124" s="1"/>
  <c r="D58" i="124"/>
  <c r="H57" i="124"/>
  <c r="I57" i="124" s="1"/>
  <c r="G57" i="124"/>
  <c r="D57" i="124"/>
  <c r="H56" i="124"/>
  <c r="G56" i="124"/>
  <c r="D56" i="124"/>
  <c r="H55" i="124"/>
  <c r="G55" i="124"/>
  <c r="D55" i="124"/>
  <c r="I46" i="124"/>
  <c r="L44" i="124"/>
  <c r="I45" i="124" s="1"/>
  <c r="H39" i="124"/>
  <c r="F39" i="124"/>
  <c r="G39" i="124" s="1"/>
  <c r="D39" i="124"/>
  <c r="H38" i="124"/>
  <c r="G38" i="124"/>
  <c r="D38" i="124"/>
  <c r="H37" i="124"/>
  <c r="G37" i="124"/>
  <c r="D37" i="124"/>
  <c r="H36" i="124"/>
  <c r="G36" i="124"/>
  <c r="D36" i="124"/>
  <c r="I81" i="124"/>
  <c r="L79" i="124"/>
  <c r="I80" i="124" s="1"/>
  <c r="H74" i="124"/>
  <c r="F74" i="124"/>
  <c r="G74" i="124" s="1"/>
  <c r="D74" i="124"/>
  <c r="H73" i="124"/>
  <c r="G73" i="124"/>
  <c r="D73" i="124"/>
  <c r="H72" i="124"/>
  <c r="G72" i="124"/>
  <c r="D72" i="124"/>
  <c r="H71" i="124"/>
  <c r="G71" i="124"/>
  <c r="D71" i="124"/>
  <c r="F26" i="124"/>
  <c r="I24" i="124"/>
  <c r="I23" i="124"/>
  <c r="I22" i="124"/>
  <c r="I21" i="124"/>
  <c r="I20" i="124"/>
  <c r="H14" i="124"/>
  <c r="D14" i="124"/>
  <c r="H13" i="124"/>
  <c r="F13" i="124"/>
  <c r="E13" i="124"/>
  <c r="E14" i="124" s="1"/>
  <c r="D13" i="124"/>
  <c r="H12" i="124"/>
  <c r="G12" i="124"/>
  <c r="D12" i="124"/>
  <c r="H11" i="124"/>
  <c r="D11" i="124"/>
  <c r="H10" i="124"/>
  <c r="F10" i="124"/>
  <c r="F11" i="124" s="1"/>
  <c r="G11" i="124" s="1"/>
  <c r="D10" i="124"/>
  <c r="H9" i="124"/>
  <c r="F9" i="124"/>
  <c r="F14" i="124" s="1"/>
  <c r="D9" i="124"/>
  <c r="H8" i="124"/>
  <c r="F8" i="124"/>
  <c r="G8" i="124" s="1"/>
  <c r="D8" i="124"/>
  <c r="H7" i="124"/>
  <c r="G7" i="124"/>
  <c r="D7" i="124"/>
  <c r="H6" i="124"/>
  <c r="G6" i="124"/>
  <c r="D6" i="124"/>
  <c r="I20" i="121"/>
  <c r="H19" i="121"/>
  <c r="H18" i="121"/>
  <c r="H17" i="121"/>
  <c r="H16" i="121"/>
  <c r="H15" i="121"/>
  <c r="H14" i="121"/>
  <c r="H13" i="121"/>
  <c r="H12" i="121"/>
  <c r="H11" i="121"/>
  <c r="H10" i="121"/>
  <c r="H9" i="121"/>
  <c r="H8" i="121"/>
  <c r="H7" i="121"/>
  <c r="H6" i="121"/>
  <c r="G19" i="121"/>
  <c r="I19" i="121" s="1"/>
  <c r="G18" i="121"/>
  <c r="I18" i="121" s="1"/>
  <c r="G17" i="121"/>
  <c r="I17" i="121" s="1"/>
  <c r="I23" i="121" s="1"/>
  <c r="I30" i="121" s="1"/>
  <c r="G16" i="121"/>
  <c r="I16" i="121" s="1"/>
  <c r="G15" i="121"/>
  <c r="I15" i="121" s="1"/>
  <c r="G14" i="121"/>
  <c r="I14" i="121" s="1"/>
  <c r="G13" i="121"/>
  <c r="I13" i="121" s="1"/>
  <c r="I21" i="121" s="1"/>
  <c r="I28" i="121" s="1"/>
  <c r="G12" i="121"/>
  <c r="I12" i="121" s="1"/>
  <c r="I24" i="121" s="1"/>
  <c r="I31" i="121" s="1"/>
  <c r="G11" i="121"/>
  <c r="I11" i="121" s="1"/>
  <c r="G10" i="121"/>
  <c r="I10" i="121" s="1"/>
  <c r="G9" i="121"/>
  <c r="I9" i="121" s="1"/>
  <c r="G8" i="121"/>
  <c r="I8" i="121" s="1"/>
  <c r="I26" i="121" s="1"/>
  <c r="I33" i="121" s="1"/>
  <c r="G7" i="121"/>
  <c r="I7" i="121" s="1"/>
  <c r="G6" i="121"/>
  <c r="I6" i="121" s="1"/>
  <c r="J867" i="113"/>
  <c r="J829" i="113"/>
  <c r="J823" i="113"/>
  <c r="J839" i="113"/>
  <c r="J822" i="113"/>
  <c r="J840" i="113"/>
  <c r="J875" i="113"/>
  <c r="J830" i="113"/>
  <c r="J868" i="113"/>
  <c r="J874" i="113"/>
  <c r="J841" i="113"/>
  <c r="J842" i="113"/>
  <c r="I92" i="124" l="1"/>
  <c r="I95" i="124"/>
  <c r="I103" i="124"/>
  <c r="O114" i="124"/>
  <c r="I114" i="124" s="1"/>
  <c r="Q117" i="124"/>
  <c r="I49" i="121"/>
  <c r="I70" i="121" s="1"/>
  <c r="I77" i="121" s="1"/>
  <c r="I56" i="121"/>
  <c r="I64" i="121" s="1"/>
  <c r="I71" i="121" s="1"/>
  <c r="I11" i="124"/>
  <c r="I90" i="124"/>
  <c r="I101" i="124"/>
  <c r="I105" i="124"/>
  <c r="I91" i="124"/>
  <c r="I109" i="124" s="1"/>
  <c r="I38" i="124"/>
  <c r="I97" i="124"/>
  <c r="I56" i="124"/>
  <c r="I61" i="124" s="1"/>
  <c r="F94" i="124"/>
  <c r="G94" i="124" s="1"/>
  <c r="I94" i="124" s="1"/>
  <c r="G13" i="124"/>
  <c r="I13" i="124" s="1"/>
  <c r="I7" i="124"/>
  <c r="I58" i="124"/>
  <c r="I60" i="124" s="1"/>
  <c r="I89" i="124"/>
  <c r="I111" i="124" s="1"/>
  <c r="Q118" i="124"/>
  <c r="I117" i="124" s="1"/>
  <c r="G10" i="124"/>
  <c r="G14" i="124"/>
  <c r="I14" i="124" s="1"/>
  <c r="I87" i="124"/>
  <c r="I112" i="124" s="1"/>
  <c r="I99" i="124"/>
  <c r="I98" i="124"/>
  <c r="I100" i="124"/>
  <c r="I6" i="124"/>
  <c r="I12" i="124"/>
  <c r="I39" i="124"/>
  <c r="I55" i="124"/>
  <c r="I62" i="124"/>
  <c r="I8" i="124"/>
  <c r="I10" i="124"/>
  <c r="I72" i="124"/>
  <c r="I77" i="124" s="1"/>
  <c r="I78" i="124"/>
  <c r="I37" i="124"/>
  <c r="I42" i="124" s="1"/>
  <c r="I43" i="124"/>
  <c r="I63" i="124"/>
  <c r="K61" i="124" s="1"/>
  <c r="I36" i="124"/>
  <c r="I71" i="124"/>
  <c r="I74" i="124"/>
  <c r="I73" i="124"/>
  <c r="G9" i="124"/>
  <c r="I9" i="124" s="1"/>
  <c r="I25" i="121"/>
  <c r="I32" i="121" s="1"/>
  <c r="I27" i="121"/>
  <c r="I34" i="121" s="1"/>
  <c r="I22" i="121"/>
  <c r="I29" i="121" s="1"/>
  <c r="P127" i="123"/>
  <c r="L127" i="123"/>
  <c r="M126" i="123"/>
  <c r="L126" i="123"/>
  <c r="I126" i="123"/>
  <c r="I125" i="123"/>
  <c r="H119" i="123"/>
  <c r="F119" i="123"/>
  <c r="G119" i="123" s="1"/>
  <c r="D119" i="123"/>
  <c r="H118" i="123"/>
  <c r="F118" i="123"/>
  <c r="G118" i="123" s="1"/>
  <c r="D118" i="123"/>
  <c r="H117" i="123"/>
  <c r="F117" i="123"/>
  <c r="G117" i="123" s="1"/>
  <c r="D117" i="123"/>
  <c r="H116" i="123"/>
  <c r="F116" i="123"/>
  <c r="G116" i="123" s="1"/>
  <c r="D116" i="123"/>
  <c r="H115" i="123"/>
  <c r="G115" i="123"/>
  <c r="D115" i="123"/>
  <c r="H114" i="123"/>
  <c r="G114" i="123"/>
  <c r="D114" i="123"/>
  <c r="H113" i="123"/>
  <c r="F113" i="123"/>
  <c r="G113" i="123" s="1"/>
  <c r="D113" i="123"/>
  <c r="H112" i="123"/>
  <c r="F112" i="123"/>
  <c r="G112" i="123" s="1"/>
  <c r="D112" i="123"/>
  <c r="H111" i="123"/>
  <c r="G111" i="123"/>
  <c r="D111" i="123"/>
  <c r="I101" i="123"/>
  <c r="I102" i="123" s="1"/>
  <c r="I100" i="123"/>
  <c r="I99" i="123"/>
  <c r="I97" i="123"/>
  <c r="H92" i="123"/>
  <c r="F92" i="123"/>
  <c r="E92" i="123"/>
  <c r="D92" i="123"/>
  <c r="H91" i="123"/>
  <c r="G91" i="123"/>
  <c r="F91" i="123"/>
  <c r="D91" i="123"/>
  <c r="H90" i="123"/>
  <c r="F90" i="123"/>
  <c r="G90" i="123" s="1"/>
  <c r="D90" i="123"/>
  <c r="H89" i="123"/>
  <c r="I89" i="123" s="1"/>
  <c r="G89" i="123"/>
  <c r="D89" i="123"/>
  <c r="H88" i="123"/>
  <c r="G88" i="123"/>
  <c r="F88" i="123"/>
  <c r="D88" i="123"/>
  <c r="H87" i="123"/>
  <c r="F87" i="123"/>
  <c r="G87" i="123" s="1"/>
  <c r="D87" i="123"/>
  <c r="H86" i="123"/>
  <c r="G86" i="123"/>
  <c r="D86" i="123"/>
  <c r="H85" i="123"/>
  <c r="G85" i="123"/>
  <c r="D85" i="123"/>
  <c r="I81" i="123"/>
  <c r="I80" i="123"/>
  <c r="I79" i="123"/>
  <c r="I78" i="123"/>
  <c r="H71" i="123"/>
  <c r="G71" i="123"/>
  <c r="D71" i="123"/>
  <c r="H70" i="123"/>
  <c r="F70" i="123"/>
  <c r="G70" i="123" s="1"/>
  <c r="D70" i="123"/>
  <c r="H69" i="123"/>
  <c r="G69" i="123"/>
  <c r="D69" i="123"/>
  <c r="H68" i="123"/>
  <c r="G68" i="123"/>
  <c r="D68" i="123"/>
  <c r="H67" i="123"/>
  <c r="G67" i="123"/>
  <c r="D67" i="123"/>
  <c r="H66" i="123"/>
  <c r="G66" i="123"/>
  <c r="D66" i="123"/>
  <c r="H65" i="123"/>
  <c r="F65" i="123"/>
  <c r="G65" i="123" s="1"/>
  <c r="D65" i="123"/>
  <c r="H64" i="123"/>
  <c r="G64" i="123"/>
  <c r="D64" i="123"/>
  <c r="H63" i="123"/>
  <c r="F63" i="123"/>
  <c r="G63" i="123" s="1"/>
  <c r="D63" i="123"/>
  <c r="H62" i="123"/>
  <c r="G62" i="123"/>
  <c r="D62" i="123"/>
  <c r="H61" i="123"/>
  <c r="F61" i="123"/>
  <c r="E61" i="123"/>
  <c r="D61" i="123"/>
  <c r="H60" i="123"/>
  <c r="G60" i="123"/>
  <c r="D60" i="123"/>
  <c r="H59" i="123"/>
  <c r="F59" i="123"/>
  <c r="E59" i="123"/>
  <c r="D59" i="123"/>
  <c r="H58" i="123"/>
  <c r="G58" i="123"/>
  <c r="D58" i="123"/>
  <c r="H57" i="123"/>
  <c r="F57" i="123"/>
  <c r="G57" i="123" s="1"/>
  <c r="D57" i="123"/>
  <c r="H56" i="123"/>
  <c r="G56" i="123"/>
  <c r="I56" i="123" s="1"/>
  <c r="D56" i="123"/>
  <c r="I51" i="123"/>
  <c r="I50" i="123"/>
  <c r="I49" i="123"/>
  <c r="I48" i="123"/>
  <c r="H41" i="123"/>
  <c r="G41" i="123"/>
  <c r="D41" i="123"/>
  <c r="H40" i="123"/>
  <c r="G40" i="123"/>
  <c r="D40" i="123"/>
  <c r="H39" i="123"/>
  <c r="G39" i="123"/>
  <c r="D39" i="123"/>
  <c r="H38" i="123"/>
  <c r="G38" i="123"/>
  <c r="D38" i="123"/>
  <c r="H37" i="123"/>
  <c r="G37" i="123"/>
  <c r="D37" i="123"/>
  <c r="H36" i="123"/>
  <c r="G36" i="123"/>
  <c r="D36" i="123"/>
  <c r="H35" i="123"/>
  <c r="F35" i="123"/>
  <c r="G35" i="123" s="1"/>
  <c r="I35" i="123" s="1"/>
  <c r="D35" i="123"/>
  <c r="H34" i="123"/>
  <c r="G34" i="123"/>
  <c r="D34" i="123"/>
  <c r="H33" i="123"/>
  <c r="F33" i="123"/>
  <c r="G33" i="123" s="1"/>
  <c r="D33" i="123"/>
  <c r="H32" i="123"/>
  <c r="G32" i="123"/>
  <c r="D32" i="123"/>
  <c r="H31" i="123"/>
  <c r="E31" i="123"/>
  <c r="G31" i="123" s="1"/>
  <c r="D31" i="123"/>
  <c r="H30" i="123"/>
  <c r="G30" i="123"/>
  <c r="D30" i="123"/>
  <c r="H29" i="123"/>
  <c r="E29" i="123"/>
  <c r="G29" i="123" s="1"/>
  <c r="I29" i="123" s="1"/>
  <c r="D29" i="123"/>
  <c r="H28" i="123"/>
  <c r="G28" i="123"/>
  <c r="D28" i="123"/>
  <c r="H27" i="123"/>
  <c r="F27" i="123"/>
  <c r="E27" i="123"/>
  <c r="G27" i="123" s="1"/>
  <c r="D27" i="123"/>
  <c r="H26" i="123"/>
  <c r="G26" i="123"/>
  <c r="D26" i="123"/>
  <c r="K992" i="113"/>
  <c r="K994" i="113"/>
  <c r="K993" i="113"/>
  <c r="L995" i="113"/>
  <c r="J993" i="113"/>
  <c r="I62" i="123" l="1"/>
  <c r="I88" i="123"/>
  <c r="P126" i="123"/>
  <c r="I127" i="123" s="1"/>
  <c r="I39" i="123"/>
  <c r="I57" i="123"/>
  <c r="I63" i="123"/>
  <c r="I113" i="123"/>
  <c r="I117" i="123"/>
  <c r="I16" i="124"/>
  <c r="I18" i="124"/>
  <c r="I64" i="123"/>
  <c r="I68" i="123"/>
  <c r="I85" i="123"/>
  <c r="I95" i="123" s="1"/>
  <c r="I114" i="123"/>
  <c r="I118" i="123"/>
  <c r="I41" i="124"/>
  <c r="L42" i="124" s="1"/>
  <c r="I17" i="124"/>
  <c r="I108" i="124"/>
  <c r="L112" i="124" s="1"/>
  <c r="I113" i="124"/>
  <c r="I44" i="124"/>
  <c r="K42" i="124" s="1"/>
  <c r="I19" i="124"/>
  <c r="L61" i="124"/>
  <c r="M61" i="124" s="1"/>
  <c r="I79" i="124"/>
  <c r="K77" i="124" s="1"/>
  <c r="I76" i="124"/>
  <c r="L77" i="124" s="1"/>
  <c r="I86" i="123"/>
  <c r="I115" i="123"/>
  <c r="I58" i="123"/>
  <c r="I27" i="123"/>
  <c r="I66" i="123"/>
  <c r="I70" i="123"/>
  <c r="I71" i="123"/>
  <c r="G92" i="123"/>
  <c r="I92" i="123" s="1"/>
  <c r="I112" i="123"/>
  <c r="I116" i="123"/>
  <c r="I26" i="123"/>
  <c r="I31" i="123"/>
  <c r="I32" i="123"/>
  <c r="I60" i="123"/>
  <c r="I87" i="123"/>
  <c r="I96" i="123" s="1"/>
  <c r="I90" i="123"/>
  <c r="I91" i="123"/>
  <c r="I111" i="123"/>
  <c r="I119" i="123"/>
  <c r="I122" i="123" s="1"/>
  <c r="I37" i="123"/>
  <c r="I41" i="123"/>
  <c r="I28" i="123"/>
  <c r="I33" i="123"/>
  <c r="I34" i="123"/>
  <c r="I38" i="123"/>
  <c r="G59" i="123"/>
  <c r="I59" i="123" s="1"/>
  <c r="I65" i="123"/>
  <c r="I69" i="123"/>
  <c r="I30" i="123"/>
  <c r="I36" i="123"/>
  <c r="I40" i="123"/>
  <c r="G61" i="123"/>
  <c r="I61" i="123" s="1"/>
  <c r="I67" i="123"/>
  <c r="M987" i="113"/>
  <c r="N993" i="113"/>
  <c r="N989" i="113"/>
  <c r="P988" i="113" s="1"/>
  <c r="N986" i="113"/>
  <c r="G17" i="123"/>
  <c r="G16" i="123"/>
  <c r="G15" i="123"/>
  <c r="G14" i="123"/>
  <c r="G13" i="123"/>
  <c r="G12" i="123"/>
  <c r="G11" i="123"/>
  <c r="G10" i="123"/>
  <c r="G9" i="123"/>
  <c r="G8" i="123"/>
  <c r="G7" i="123"/>
  <c r="G6" i="123"/>
  <c r="F17" i="123"/>
  <c r="F16" i="123"/>
  <c r="F15" i="123"/>
  <c r="F14" i="123"/>
  <c r="F13" i="123"/>
  <c r="F12" i="123"/>
  <c r="F11" i="123"/>
  <c r="F10" i="123"/>
  <c r="F9" i="123"/>
  <c r="F8" i="123"/>
  <c r="F7" i="123"/>
  <c r="F6" i="123"/>
  <c r="D32" i="120"/>
  <c r="D35" i="120"/>
  <c r="D34" i="120"/>
  <c r="D33" i="120"/>
  <c r="D31" i="120"/>
  <c r="D30" i="120"/>
  <c r="D29" i="120"/>
  <c r="D28" i="120"/>
  <c r="D27" i="120"/>
  <c r="D26" i="120"/>
  <c r="D25" i="120"/>
  <c r="C26" i="120"/>
  <c r="C25" i="120"/>
  <c r="H22" i="120"/>
  <c r="G21" i="120"/>
  <c r="G20" i="120"/>
  <c r="G19" i="120"/>
  <c r="G18" i="120"/>
  <c r="G17" i="120"/>
  <c r="G16" i="120"/>
  <c r="G15" i="120"/>
  <c r="G14" i="120"/>
  <c r="G13" i="120"/>
  <c r="G12" i="120"/>
  <c r="G11" i="120"/>
  <c r="G10" i="120"/>
  <c r="G9" i="120"/>
  <c r="G8" i="120"/>
  <c r="G7" i="120"/>
  <c r="G6" i="120"/>
  <c r="F21" i="120"/>
  <c r="H21" i="120" s="1"/>
  <c r="F20" i="120"/>
  <c r="H20" i="120" s="1"/>
  <c r="F19" i="120"/>
  <c r="H19" i="120" s="1"/>
  <c r="C38" i="120" s="1"/>
  <c r="D38" i="120" s="1"/>
  <c r="F18" i="120"/>
  <c r="H18" i="120" s="1"/>
  <c r="F17" i="120"/>
  <c r="H17" i="120" s="1"/>
  <c r="F16" i="120"/>
  <c r="H16" i="120" s="1"/>
  <c r="F15" i="120"/>
  <c r="H15" i="120" s="1"/>
  <c r="F14" i="120"/>
  <c r="H14" i="120" s="1"/>
  <c r="C36" i="120" s="1"/>
  <c r="D36" i="120" s="1"/>
  <c r="F13" i="120"/>
  <c r="H13" i="120" s="1"/>
  <c r="C39" i="120" s="1"/>
  <c r="D39" i="120" s="1"/>
  <c r="F12" i="120"/>
  <c r="H12" i="120" s="1"/>
  <c r="F11" i="120"/>
  <c r="H11" i="120" s="1"/>
  <c r="F10" i="120"/>
  <c r="H10" i="120" s="1"/>
  <c r="F9" i="120"/>
  <c r="H9" i="120" s="1"/>
  <c r="C41" i="120" s="1"/>
  <c r="D41" i="120" s="1"/>
  <c r="F8" i="120"/>
  <c r="H8" i="120" s="1"/>
  <c r="F7" i="120"/>
  <c r="H7" i="120" s="1"/>
  <c r="F6" i="120"/>
  <c r="H6" i="120" s="1"/>
  <c r="J959" i="113"/>
  <c r="J987" i="113"/>
  <c r="J985" i="113"/>
  <c r="J967" i="113"/>
  <c r="J977" i="113"/>
  <c r="J975" i="113"/>
  <c r="J978" i="113"/>
  <c r="J986" i="113"/>
  <c r="J976" i="113"/>
  <c r="J960" i="113"/>
  <c r="I123" i="123" l="1"/>
  <c r="I75" i="123"/>
  <c r="I121" i="123"/>
  <c r="I73" i="123"/>
  <c r="K123" i="123"/>
  <c r="I74" i="123"/>
  <c r="I94" i="123"/>
  <c r="M42" i="124"/>
  <c r="M112" i="124"/>
  <c r="N112" i="124" s="1"/>
  <c r="M77" i="124"/>
  <c r="I124" i="123"/>
  <c r="L123" i="123" s="1"/>
  <c r="M123" i="123" s="1"/>
  <c r="I77" i="123"/>
  <c r="I98" i="123"/>
  <c r="I45" i="123"/>
  <c r="I43" i="123"/>
  <c r="I47" i="123"/>
  <c r="I44" i="123"/>
  <c r="H6" i="123"/>
  <c r="D22" i="123" s="1"/>
  <c r="H7" i="123"/>
  <c r="H15" i="123"/>
  <c r="H8" i="123"/>
  <c r="H12" i="123"/>
  <c r="H16" i="123"/>
  <c r="H11" i="123"/>
  <c r="H9" i="123"/>
  <c r="H13" i="123"/>
  <c r="H17" i="123"/>
  <c r="H10" i="123"/>
  <c r="H14" i="123"/>
  <c r="C42" i="120"/>
  <c r="D42" i="120" s="1"/>
  <c r="C37" i="120"/>
  <c r="D37" i="120" s="1"/>
  <c r="C43" i="120"/>
  <c r="D43" i="120" s="1"/>
  <c r="C40" i="120"/>
  <c r="D40" i="120" s="1"/>
  <c r="W806" i="113"/>
  <c r="S807" i="113" s="1"/>
  <c r="L809" i="113"/>
  <c r="M810" i="113"/>
  <c r="J805" i="113"/>
  <c r="J806" i="113"/>
  <c r="D21" i="123" l="1"/>
  <c r="D20" i="123"/>
  <c r="D19" i="123"/>
  <c r="N808" i="113"/>
  <c r="M808" i="113"/>
  <c r="I50" i="122"/>
  <c r="D59" i="122" s="1"/>
  <c r="H56" i="122"/>
  <c r="H55" i="122"/>
  <c r="H54" i="122"/>
  <c r="H53" i="122"/>
  <c r="H52" i="122"/>
  <c r="H51" i="122"/>
  <c r="H49" i="122"/>
  <c r="H48" i="122"/>
  <c r="H47" i="122"/>
  <c r="H46" i="122"/>
  <c r="H45" i="122"/>
  <c r="H44" i="122"/>
  <c r="H43" i="122"/>
  <c r="H42" i="122"/>
  <c r="H41" i="122"/>
  <c r="H40" i="122"/>
  <c r="H39" i="122"/>
  <c r="H38" i="122"/>
  <c r="H37" i="122"/>
  <c r="H36" i="122"/>
  <c r="G56" i="122"/>
  <c r="G55" i="122"/>
  <c r="G54" i="122"/>
  <c r="G53" i="122"/>
  <c r="G52" i="122"/>
  <c r="G51" i="122"/>
  <c r="G50" i="122"/>
  <c r="G49" i="122"/>
  <c r="G48" i="122"/>
  <c r="G47" i="122"/>
  <c r="G46" i="122"/>
  <c r="G45" i="122"/>
  <c r="G44" i="122"/>
  <c r="G43" i="122"/>
  <c r="G42" i="122"/>
  <c r="G41" i="122"/>
  <c r="G40" i="122"/>
  <c r="G39" i="122"/>
  <c r="G38" i="122"/>
  <c r="G37" i="122"/>
  <c r="G36" i="122"/>
  <c r="H27" i="122"/>
  <c r="H26" i="122"/>
  <c r="H25" i="122"/>
  <c r="H24" i="122"/>
  <c r="G27" i="122"/>
  <c r="I27" i="122" s="1"/>
  <c r="G26" i="122"/>
  <c r="G25" i="122"/>
  <c r="G24" i="122"/>
  <c r="H13" i="122"/>
  <c r="H12" i="122"/>
  <c r="H11" i="122"/>
  <c r="H10" i="122"/>
  <c r="H9" i="122"/>
  <c r="H8" i="122"/>
  <c r="H7" i="122"/>
  <c r="H6" i="122"/>
  <c r="H5" i="122"/>
  <c r="G13" i="122"/>
  <c r="G12" i="122"/>
  <c r="G11" i="122"/>
  <c r="G10" i="122"/>
  <c r="G9" i="122"/>
  <c r="G8" i="122"/>
  <c r="G7" i="122"/>
  <c r="G6" i="122"/>
  <c r="G5" i="122"/>
  <c r="E1387" i="117"/>
  <c r="E1386" i="117"/>
  <c r="E1385" i="117"/>
  <c r="E1384" i="117"/>
  <c r="E1383" i="117"/>
  <c r="E1382" i="117"/>
  <c r="E1381" i="117"/>
  <c r="E1380" i="117"/>
  <c r="E1379" i="117"/>
  <c r="E1378" i="117"/>
  <c r="E1377" i="117"/>
  <c r="E1376" i="117"/>
  <c r="E1375" i="117"/>
  <c r="E1374" i="117"/>
  <c r="E1373" i="117"/>
  <c r="E1372" i="117"/>
  <c r="E1371" i="117"/>
  <c r="E1370" i="117"/>
  <c r="E1369" i="117"/>
  <c r="E1368" i="117"/>
  <c r="E1367" i="117"/>
  <c r="E1366" i="117"/>
  <c r="E1365" i="117"/>
  <c r="E1364" i="117"/>
  <c r="E1363" i="117"/>
  <c r="E1362" i="117"/>
  <c r="E1361" i="117"/>
  <c r="E1360" i="117"/>
  <c r="E1359" i="117"/>
  <c r="E1285" i="117"/>
  <c r="E1284" i="117"/>
  <c r="E1283" i="117"/>
  <c r="E1282" i="117"/>
  <c r="E1281" i="117"/>
  <c r="E1280" i="117"/>
  <c r="E1279" i="117"/>
  <c r="E1278" i="117"/>
  <c r="E1277" i="117"/>
  <c r="E1276" i="117"/>
  <c r="E1275" i="117"/>
  <c r="E1274" i="117"/>
  <c r="E1273" i="117"/>
  <c r="E1272" i="117"/>
  <c r="E1271" i="117"/>
  <c r="E1270" i="117"/>
  <c r="E1269" i="117"/>
  <c r="E1268" i="117"/>
  <c r="E1267" i="117"/>
  <c r="E1266" i="117"/>
  <c r="E1265" i="117"/>
  <c r="E1264" i="117"/>
  <c r="E1263" i="117"/>
  <c r="E1262" i="117"/>
  <c r="E1261" i="117"/>
  <c r="E1260" i="117"/>
  <c r="E1259" i="117"/>
  <c r="E1258" i="117"/>
  <c r="E1257" i="117"/>
  <c r="E1256" i="117"/>
  <c r="E1255" i="117"/>
  <c r="E1254" i="117"/>
  <c r="E1253" i="117"/>
  <c r="E1252" i="117"/>
  <c r="E1251" i="117"/>
  <c r="E1250" i="117"/>
  <c r="E1249" i="117"/>
  <c r="E1248" i="117"/>
  <c r="E1247" i="117"/>
  <c r="E1246" i="117"/>
  <c r="E1245" i="117"/>
  <c r="E1244" i="117"/>
  <c r="E1243" i="117"/>
  <c r="E1242" i="117"/>
  <c r="E1241" i="117"/>
  <c r="E1240" i="117"/>
  <c r="E1239" i="117"/>
  <c r="E1238" i="117"/>
  <c r="E1237" i="117"/>
  <c r="E1236" i="117"/>
  <c r="E1235" i="117"/>
  <c r="E1234" i="117"/>
  <c r="E1233" i="117"/>
  <c r="E1232" i="117"/>
  <c r="E1231" i="117"/>
  <c r="E1230" i="117"/>
  <c r="E1229" i="117"/>
  <c r="E1228" i="117"/>
  <c r="E1227" i="117"/>
  <c r="E1226" i="117"/>
  <c r="E1225" i="117"/>
  <c r="E1224" i="117"/>
  <c r="E1223" i="117"/>
  <c r="E1222" i="117"/>
  <c r="E1221" i="117"/>
  <c r="E1220" i="117"/>
  <c r="E1219" i="117"/>
  <c r="E1218" i="117"/>
  <c r="E1217" i="117"/>
  <c r="E1216" i="117"/>
  <c r="E1215" i="117"/>
  <c r="E1214" i="117"/>
  <c r="E1213" i="117"/>
  <c r="E1212" i="117"/>
  <c r="E1211" i="117"/>
  <c r="E1210" i="117"/>
  <c r="E1209" i="117"/>
  <c r="E1208" i="117"/>
  <c r="E1207" i="117"/>
  <c r="E1206" i="117"/>
  <c r="E1205" i="117"/>
  <c r="E1204" i="117"/>
  <c r="E1203" i="117"/>
  <c r="E1202" i="117"/>
  <c r="E1201" i="117"/>
  <c r="E1200" i="117"/>
  <c r="E1199" i="117"/>
  <c r="E1198" i="117"/>
  <c r="E1197" i="117"/>
  <c r="E1196" i="117"/>
  <c r="E1195" i="117"/>
  <c r="E1194" i="117"/>
  <c r="E1193" i="117"/>
  <c r="E1192" i="117"/>
  <c r="E1191" i="117"/>
  <c r="E1190" i="117"/>
  <c r="E1189" i="117"/>
  <c r="E1188" i="117"/>
  <c r="E1187" i="117"/>
  <c r="E1186" i="117"/>
  <c r="E1185" i="117"/>
  <c r="E1184" i="117"/>
  <c r="E1183" i="117"/>
  <c r="E1182" i="117"/>
  <c r="E1181" i="117"/>
  <c r="E1180" i="117"/>
  <c r="E1179" i="117"/>
  <c r="E1178" i="117"/>
  <c r="E1177" i="117"/>
  <c r="E1176" i="117"/>
  <c r="E1175" i="117"/>
  <c r="E1174" i="117"/>
  <c r="E1173" i="117"/>
  <c r="E1172" i="117"/>
  <c r="E1171" i="117"/>
  <c r="E1170" i="117"/>
  <c r="E1169" i="117"/>
  <c r="E1168" i="117"/>
  <c r="E1167" i="117"/>
  <c r="E1166" i="117"/>
  <c r="E1165" i="117"/>
  <c r="E1164" i="117"/>
  <c r="E1163" i="117"/>
  <c r="E1162" i="117"/>
  <c r="E1161" i="117"/>
  <c r="E1160" i="117"/>
  <c r="E1159" i="117"/>
  <c r="E1158" i="117"/>
  <c r="E1157" i="117"/>
  <c r="E1156" i="117"/>
  <c r="E1155" i="117"/>
  <c r="E1154" i="117"/>
  <c r="E1153" i="117"/>
  <c r="E1152" i="117"/>
  <c r="E1151" i="117"/>
  <c r="E1150" i="117"/>
  <c r="E1149" i="117"/>
  <c r="E1148" i="117"/>
  <c r="E1147" i="117"/>
  <c r="E1146" i="117"/>
  <c r="E1145" i="117"/>
  <c r="E1144" i="117"/>
  <c r="E1143" i="117"/>
  <c r="E1142" i="117"/>
  <c r="E1141" i="117"/>
  <c r="E1140" i="117"/>
  <c r="E1139" i="117"/>
  <c r="E1138" i="117"/>
  <c r="E1137" i="117"/>
  <c r="E1136" i="117"/>
  <c r="E1135" i="117"/>
  <c r="E1134" i="117"/>
  <c r="E1133" i="117"/>
  <c r="E1132" i="117"/>
  <c r="E1131" i="117"/>
  <c r="E1130" i="117"/>
  <c r="E1129" i="117"/>
  <c r="E1128" i="117"/>
  <c r="E1127" i="117"/>
  <c r="E1126" i="117"/>
  <c r="E1125" i="117"/>
  <c r="E1124" i="117"/>
  <c r="E1123" i="117"/>
  <c r="E1122" i="117"/>
  <c r="E1121" i="117"/>
  <c r="E1120" i="117"/>
  <c r="E1119" i="117"/>
  <c r="E1118" i="117"/>
  <c r="E1117" i="117"/>
  <c r="E1116" i="117"/>
  <c r="E1115" i="117"/>
  <c r="E1114" i="117"/>
  <c r="E1113" i="117"/>
  <c r="E1112" i="117"/>
  <c r="E1111" i="117"/>
  <c r="E1110" i="117"/>
  <c r="E1109" i="117"/>
  <c r="E1108" i="117"/>
  <c r="E1107" i="117"/>
  <c r="E1106" i="117"/>
  <c r="E1105" i="117"/>
  <c r="E1104" i="117"/>
  <c r="E1103" i="117"/>
  <c r="E1102" i="117"/>
  <c r="E1101" i="117"/>
  <c r="E1100" i="117"/>
  <c r="E1099" i="117"/>
  <c r="E1098" i="117"/>
  <c r="E1097" i="117"/>
  <c r="E1096" i="117"/>
  <c r="E1095" i="117"/>
  <c r="E1094" i="117"/>
  <c r="E1093" i="117"/>
  <c r="E1092" i="117"/>
  <c r="E1091" i="117"/>
  <c r="E1090" i="117"/>
  <c r="E1089" i="117"/>
  <c r="E1088" i="117"/>
  <c r="E1087" i="117"/>
  <c r="E1086" i="117"/>
  <c r="E1085" i="117"/>
  <c r="E1084" i="117"/>
  <c r="E1083" i="117"/>
  <c r="E1082" i="117"/>
  <c r="E1081" i="117"/>
  <c r="E1080" i="117"/>
  <c r="E1079" i="117"/>
  <c r="E1078" i="117"/>
  <c r="E1077" i="117"/>
  <c r="E1076" i="117"/>
  <c r="E1075" i="117"/>
  <c r="E1074" i="117"/>
  <c r="E1073" i="117"/>
  <c r="E1072" i="117"/>
  <c r="E1071" i="117"/>
  <c r="E1070" i="117"/>
  <c r="E1069" i="117"/>
  <c r="E1068" i="117"/>
  <c r="E1067" i="117"/>
  <c r="E1066" i="117"/>
  <c r="E1065" i="117"/>
  <c r="E1064" i="117"/>
  <c r="E1063" i="117"/>
  <c r="E1062" i="117"/>
  <c r="E1061" i="117"/>
  <c r="E1060" i="117"/>
  <c r="E1059" i="117"/>
  <c r="E1058" i="117"/>
  <c r="E1057" i="117"/>
  <c r="E1056" i="117"/>
  <c r="E1055" i="117"/>
  <c r="E1054" i="117"/>
  <c r="E1053" i="117"/>
  <c r="E1052" i="117"/>
  <c r="E1051" i="117"/>
  <c r="E1050" i="117"/>
  <c r="E1049" i="117"/>
  <c r="E1048" i="117"/>
  <c r="E1047" i="117"/>
  <c r="E1046" i="117"/>
  <c r="E1045" i="117"/>
  <c r="E1044" i="117"/>
  <c r="E1043" i="117"/>
  <c r="E1042" i="117"/>
  <c r="E1041" i="117"/>
  <c r="E1040" i="117"/>
  <c r="E1039" i="117"/>
  <c r="E1038" i="117"/>
  <c r="E1037" i="117"/>
  <c r="E1036" i="117"/>
  <c r="E1035" i="117"/>
  <c r="E1034" i="117"/>
  <c r="E1033" i="117"/>
  <c r="E1032" i="117"/>
  <c r="E1031" i="117"/>
  <c r="E1030" i="117"/>
  <c r="E1029" i="117"/>
  <c r="E1028" i="117"/>
  <c r="E1027" i="117"/>
  <c r="E1026" i="117"/>
  <c r="E1025" i="117"/>
  <c r="E1024" i="117"/>
  <c r="E1023" i="117"/>
  <c r="E1022" i="117"/>
  <c r="E1021" i="117"/>
  <c r="E1020" i="117"/>
  <c r="E1019" i="117"/>
  <c r="E1018" i="117"/>
  <c r="E1017" i="117"/>
  <c r="E1016" i="117"/>
  <c r="E1015" i="117"/>
  <c r="E1014" i="117"/>
  <c r="E1013" i="117"/>
  <c r="E1012" i="117"/>
  <c r="E1011" i="117"/>
  <c r="E1010" i="117"/>
  <c r="E1009" i="117"/>
  <c r="E1008" i="117"/>
  <c r="E1007" i="117"/>
  <c r="E1006" i="117"/>
  <c r="E1005" i="117"/>
  <c r="E1004" i="117"/>
  <c r="E1003" i="117"/>
  <c r="E1002" i="117"/>
  <c r="E1001" i="117"/>
  <c r="E1000" i="117"/>
  <c r="E999" i="117"/>
  <c r="E998" i="117"/>
  <c r="E997" i="117"/>
  <c r="E996" i="117"/>
  <c r="E995" i="117"/>
  <c r="E994" i="117"/>
  <c r="E993" i="117"/>
  <c r="E992" i="117"/>
  <c r="E991" i="117"/>
  <c r="E990" i="117"/>
  <c r="E989" i="117"/>
  <c r="E988" i="117"/>
  <c r="E987" i="117"/>
  <c r="E986" i="117"/>
  <c r="E985" i="117"/>
  <c r="E984" i="117"/>
  <c r="E983" i="117"/>
  <c r="E982" i="117"/>
  <c r="E981" i="117"/>
  <c r="E980" i="117"/>
  <c r="E979" i="117"/>
  <c r="E978" i="117"/>
  <c r="E977" i="117"/>
  <c r="E976" i="117"/>
  <c r="E975" i="117"/>
  <c r="E974" i="117"/>
  <c r="E973" i="117"/>
  <c r="E972" i="117"/>
  <c r="E971" i="117"/>
  <c r="E970" i="117"/>
  <c r="E969" i="117"/>
  <c r="E968" i="117"/>
  <c r="E967" i="117"/>
  <c r="E966" i="117"/>
  <c r="E965" i="117"/>
  <c r="E964" i="117"/>
  <c r="E963" i="117"/>
  <c r="E962" i="117"/>
  <c r="E961" i="117"/>
  <c r="E960" i="117"/>
  <c r="E959" i="117"/>
  <c r="E958" i="117"/>
  <c r="E957" i="117"/>
  <c r="E956" i="117"/>
  <c r="E955" i="117"/>
  <c r="E954" i="117"/>
  <c r="E953" i="117"/>
  <c r="E952" i="117"/>
  <c r="E951" i="117"/>
  <c r="E950" i="117"/>
  <c r="E949" i="117"/>
  <c r="E948" i="117"/>
  <c r="E947" i="117"/>
  <c r="E946" i="117"/>
  <c r="E945" i="117"/>
  <c r="E944" i="117"/>
  <c r="E943" i="117"/>
  <c r="E942" i="117"/>
  <c r="E941" i="117"/>
  <c r="E940" i="117"/>
  <c r="E939" i="117"/>
  <c r="E938" i="117"/>
  <c r="E937" i="117"/>
  <c r="E936" i="117"/>
  <c r="E935" i="117"/>
  <c r="E934" i="117"/>
  <c r="E933" i="117"/>
  <c r="E932" i="117"/>
  <c r="E931" i="117"/>
  <c r="E930" i="117"/>
  <c r="E929" i="117"/>
  <c r="E928" i="117"/>
  <c r="E927" i="117"/>
  <c r="E926" i="117"/>
  <c r="E925" i="117"/>
  <c r="E924" i="117"/>
  <c r="E923" i="117"/>
  <c r="E922" i="117"/>
  <c r="E921" i="117"/>
  <c r="E920" i="117"/>
  <c r="E919" i="117"/>
  <c r="E918" i="117"/>
  <c r="E917" i="117"/>
  <c r="E916" i="117"/>
  <c r="E915" i="117"/>
  <c r="E914" i="117"/>
  <c r="E913" i="117"/>
  <c r="E912" i="117"/>
  <c r="E911" i="117"/>
  <c r="E910" i="117"/>
  <c r="E909" i="117"/>
  <c r="E908" i="117"/>
  <c r="E907" i="117"/>
  <c r="E906" i="117"/>
  <c r="E905" i="117"/>
  <c r="E904" i="117"/>
  <c r="E903" i="117"/>
  <c r="E902" i="117"/>
  <c r="E901" i="117"/>
  <c r="E900" i="117"/>
  <c r="E899" i="117"/>
  <c r="E898" i="117"/>
  <c r="E897" i="117"/>
  <c r="E896" i="117"/>
  <c r="E895" i="117"/>
  <c r="E894" i="117"/>
  <c r="E893" i="117"/>
  <c r="E892" i="117"/>
  <c r="E891" i="117"/>
  <c r="E890" i="117"/>
  <c r="E889" i="117"/>
  <c r="E888" i="117"/>
  <c r="E887" i="117"/>
  <c r="E886" i="117"/>
  <c r="E885" i="117"/>
  <c r="E884" i="117"/>
  <c r="E883" i="117"/>
  <c r="E882" i="117"/>
  <c r="E881" i="117"/>
  <c r="E880" i="117"/>
  <c r="E879" i="117"/>
  <c r="E878" i="117"/>
  <c r="E877" i="117"/>
  <c r="E876" i="117"/>
  <c r="E875" i="117"/>
  <c r="E874" i="117"/>
  <c r="E873" i="117"/>
  <c r="E872" i="117"/>
  <c r="E871" i="117"/>
  <c r="E870" i="117"/>
  <c r="E869" i="117"/>
  <c r="E868" i="117"/>
  <c r="E867" i="117"/>
  <c r="E866" i="117"/>
  <c r="E865" i="117"/>
  <c r="E864" i="117"/>
  <c r="E863" i="117"/>
  <c r="E862" i="117"/>
  <c r="E861" i="117"/>
  <c r="E860" i="117"/>
  <c r="E859" i="117"/>
  <c r="E858" i="117"/>
  <c r="E857" i="117"/>
  <c r="E856" i="117"/>
  <c r="E855" i="117"/>
  <c r="E854" i="117"/>
  <c r="E853" i="117"/>
  <c r="E852" i="117"/>
  <c r="E851" i="117"/>
  <c r="E850" i="117"/>
  <c r="E849" i="117"/>
  <c r="E848" i="117"/>
  <c r="E847" i="117"/>
  <c r="E846" i="117"/>
  <c r="E845" i="117"/>
  <c r="E844" i="117"/>
  <c r="E843" i="117"/>
  <c r="E842" i="117"/>
  <c r="E841" i="117"/>
  <c r="E840" i="117"/>
  <c r="E839" i="117"/>
  <c r="E838" i="117"/>
  <c r="E837" i="117"/>
  <c r="E836" i="117"/>
  <c r="E835" i="117"/>
  <c r="E834" i="117"/>
  <c r="E833" i="117"/>
  <c r="E832" i="117"/>
  <c r="E831" i="117"/>
  <c r="E830" i="117"/>
  <c r="E829" i="117"/>
  <c r="E828" i="117"/>
  <c r="E827" i="117"/>
  <c r="E826" i="117"/>
  <c r="E825" i="117"/>
  <c r="E824" i="117"/>
  <c r="E823" i="117"/>
  <c r="E822" i="117"/>
  <c r="E821" i="117"/>
  <c r="E820" i="117"/>
  <c r="E819" i="117"/>
  <c r="E818" i="117"/>
  <c r="E817" i="117"/>
  <c r="E816" i="117"/>
  <c r="E815" i="117"/>
  <c r="E814" i="117"/>
  <c r="E813" i="117"/>
  <c r="E812" i="117"/>
  <c r="E811" i="117"/>
  <c r="E810" i="117"/>
  <c r="E809" i="117"/>
  <c r="E808" i="117"/>
  <c r="E807" i="117"/>
  <c r="E806" i="117"/>
  <c r="E805" i="117"/>
  <c r="E804" i="117"/>
  <c r="E803" i="117"/>
  <c r="E802" i="117"/>
  <c r="E801" i="117"/>
  <c r="E800" i="117"/>
  <c r="E799" i="117"/>
  <c r="E798" i="117"/>
  <c r="E797" i="117"/>
  <c r="E796" i="117"/>
  <c r="E795" i="117"/>
  <c r="E794" i="117"/>
  <c r="E793" i="117"/>
  <c r="E792" i="117"/>
  <c r="E791" i="117"/>
  <c r="E790" i="117"/>
  <c r="E789" i="117"/>
  <c r="E788" i="117"/>
  <c r="E787" i="117"/>
  <c r="J790" i="113"/>
  <c r="J796" i="113"/>
  <c r="J791" i="113"/>
  <c r="J792" i="113"/>
  <c r="J797" i="113"/>
  <c r="I39" i="122" l="1"/>
  <c r="I43" i="122"/>
  <c r="I36" i="122"/>
  <c r="I44" i="122"/>
  <c r="I48" i="122"/>
  <c r="I40" i="122"/>
  <c r="I76" i="123"/>
  <c r="I46" i="123"/>
  <c r="I24" i="122"/>
  <c r="D31" i="122" s="1"/>
  <c r="K812" i="113"/>
  <c r="P808" i="113"/>
  <c r="I25" i="122"/>
  <c r="I37" i="122"/>
  <c r="D64" i="122" s="1"/>
  <c r="I45" i="122"/>
  <c r="I38" i="122"/>
  <c r="I42" i="122"/>
  <c r="I46" i="122"/>
  <c r="I51" i="122"/>
  <c r="I55" i="122"/>
  <c r="I53" i="122"/>
  <c r="I41" i="122"/>
  <c r="I49" i="122"/>
  <c r="I54" i="122"/>
  <c r="I47" i="122"/>
  <c r="I52" i="122"/>
  <c r="I56" i="122"/>
  <c r="I26" i="122"/>
  <c r="I5" i="122"/>
  <c r="I9" i="122"/>
  <c r="I13" i="122"/>
  <c r="I7" i="122"/>
  <c r="I11" i="122"/>
  <c r="D18" i="122" s="1"/>
  <c r="I6" i="122"/>
  <c r="I10" i="122"/>
  <c r="I8" i="122"/>
  <c r="I12" i="122"/>
  <c r="E774" i="117"/>
  <c r="E773" i="117"/>
  <c r="O765" i="117"/>
  <c r="P765" i="117" s="1"/>
  <c r="L12" i="117"/>
  <c r="E785" i="117"/>
  <c r="E784" i="117"/>
  <c r="E783" i="117"/>
  <c r="E782" i="117"/>
  <c r="E781" i="117"/>
  <c r="E780" i="117"/>
  <c r="E779" i="117"/>
  <c r="E778" i="117"/>
  <c r="E777" i="117"/>
  <c r="E56" i="119"/>
  <c r="F56" i="119"/>
  <c r="E776" i="117"/>
  <c r="E775" i="117"/>
  <c r="E772" i="117"/>
  <c r="E771" i="117"/>
  <c r="E770" i="117"/>
  <c r="E769" i="117"/>
  <c r="E768" i="117"/>
  <c r="E767" i="117"/>
  <c r="H44" i="119"/>
  <c r="H43" i="119"/>
  <c r="H40" i="119"/>
  <c r="H39" i="119"/>
  <c r="G38" i="119"/>
  <c r="G37" i="119"/>
  <c r="H31" i="119"/>
  <c r="G30" i="119"/>
  <c r="H30" i="119" s="1"/>
  <c r="E55" i="119" s="1"/>
  <c r="F55" i="119" s="1"/>
  <c r="G29" i="119"/>
  <c r="H29" i="119" s="1"/>
  <c r="G28" i="119"/>
  <c r="H28" i="119" s="1"/>
  <c r="G27" i="119"/>
  <c r="H27" i="119" s="1"/>
  <c r="G26" i="119"/>
  <c r="H26" i="119" s="1"/>
  <c r="G25" i="119"/>
  <c r="H25" i="119" s="1"/>
  <c r="G24" i="119"/>
  <c r="H24" i="119" s="1"/>
  <c r="G23" i="119"/>
  <c r="H23" i="119" s="1"/>
  <c r="G22" i="119"/>
  <c r="H22" i="119" s="1"/>
  <c r="G21" i="119"/>
  <c r="H21" i="119" s="1"/>
  <c r="G20" i="119"/>
  <c r="H20" i="119" s="1"/>
  <c r="G19" i="119"/>
  <c r="H19" i="119" s="1"/>
  <c r="G18" i="119"/>
  <c r="H18" i="119" s="1"/>
  <c r="G17" i="119"/>
  <c r="H17" i="119" s="1"/>
  <c r="G16" i="119"/>
  <c r="H16" i="119" s="1"/>
  <c r="G15" i="119"/>
  <c r="H15" i="119" s="1"/>
  <c r="E53" i="119" s="1"/>
  <c r="F53" i="119" s="1"/>
  <c r="G14" i="119"/>
  <c r="H14" i="119" s="1"/>
  <c r="G13" i="119"/>
  <c r="H13" i="119" s="1"/>
  <c r="G12" i="119"/>
  <c r="H12" i="119" s="1"/>
  <c r="G11" i="119"/>
  <c r="H11" i="119" s="1"/>
  <c r="G10" i="119"/>
  <c r="H10" i="119" s="1"/>
  <c r="G9" i="119"/>
  <c r="H9" i="119" s="1"/>
  <c r="E51" i="119" s="1"/>
  <c r="F51" i="119" s="1"/>
  <c r="G8" i="119"/>
  <c r="H8" i="119" s="1"/>
  <c r="G7" i="119"/>
  <c r="H7" i="119" s="1"/>
  <c r="G6" i="119"/>
  <c r="H6" i="119" s="1"/>
  <c r="G5" i="119"/>
  <c r="H5" i="119" s="1"/>
  <c r="J783" i="113"/>
  <c r="J782" i="113"/>
  <c r="J775" i="113"/>
  <c r="J774" i="113"/>
  <c r="D63" i="122" l="1"/>
  <c r="D62" i="122"/>
  <c r="D17" i="122"/>
  <c r="E54" i="119"/>
  <c r="F54" i="119" s="1"/>
  <c r="D60" i="122"/>
  <c r="D19" i="122"/>
  <c r="D61" i="122"/>
  <c r="D30" i="122"/>
  <c r="E52" i="119"/>
  <c r="F52" i="119" s="1"/>
  <c r="E50" i="119"/>
  <c r="F50" i="119" s="1"/>
  <c r="H785" i="117" l="1"/>
  <c r="H784" i="117"/>
  <c r="H783" i="117"/>
  <c r="H782" i="117"/>
  <c r="H781" i="117"/>
  <c r="H780" i="117"/>
  <c r="H779" i="117"/>
  <c r="H778" i="117"/>
  <c r="H777" i="117"/>
  <c r="H776" i="117"/>
  <c r="H775" i="117"/>
  <c r="H774" i="117"/>
  <c r="H773" i="117"/>
  <c r="H772" i="117"/>
  <c r="H771" i="117"/>
  <c r="H770" i="117"/>
  <c r="H769" i="117"/>
  <c r="H768" i="117"/>
  <c r="H767" i="117"/>
</calcChain>
</file>

<file path=xl/comments1.xml><?xml version="1.0" encoding="utf-8"?>
<comments xmlns="http://schemas.openxmlformats.org/spreadsheetml/2006/main">
  <authors>
    <author>PhamThao</author>
  </authors>
  <commentList>
    <comment ref="D69" authorId="0">
      <text>
        <r>
          <rPr>
            <b/>
            <sz val="9"/>
            <color indexed="81"/>
            <rFont val="Tahoma"/>
            <family val="2"/>
          </rPr>
          <t>PhamThao:</t>
        </r>
        <r>
          <rPr>
            <sz val="9"/>
            <color indexed="81"/>
            <rFont val="Tahoma"/>
            <family val="2"/>
          </rPr>
          <t xml:space="preserve">
Xem thi cong tru dan
</t>
        </r>
      </text>
    </comment>
    <comment ref="E69" authorId="0">
      <text>
        <r>
          <rPr>
            <b/>
            <sz val="9"/>
            <color indexed="81"/>
            <rFont val="Tahoma"/>
            <family val="2"/>
          </rPr>
          <t>PhamThao:</t>
        </r>
        <r>
          <rPr>
            <sz val="9"/>
            <color indexed="81"/>
            <rFont val="Tahoma"/>
            <family val="2"/>
          </rPr>
          <t xml:space="preserve">
Xem thi cong tru dan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27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Tuỳ vào mặt bằng để nội suy cho phù hợp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37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Tuỳ vào mặt bằng để nội suy cho phù hợp
</t>
        </r>
      </text>
    </comment>
  </commentList>
</comments>
</file>

<file path=xl/comments4.xml><?xml version="1.0" encoding="utf-8"?>
<comments xmlns="http://schemas.openxmlformats.org/spreadsheetml/2006/main">
  <authors>
    <author>Windows xp sp2 Full</author>
  </authors>
  <commentList>
    <comment ref="C3" authorId="0">
      <text>
        <r>
          <rPr>
            <b/>
            <sz val="8"/>
            <color indexed="81"/>
            <rFont val="Tahoma"/>
            <family val="2"/>
          </rPr>
          <t>Windows xp sp2 Full:</t>
        </r>
        <r>
          <rPr>
            <sz val="8"/>
            <color indexed="81"/>
            <rFont val="Tahoma"/>
            <family val="2"/>
          </rPr>
          <t xml:space="preserve">
lay theo cau Hang cau</t>
        </r>
      </text>
    </comment>
  </commentList>
</comments>
</file>

<file path=xl/sharedStrings.xml><?xml version="1.0" encoding="utf-8"?>
<sst xmlns="http://schemas.openxmlformats.org/spreadsheetml/2006/main" count="9124" uniqueCount="1507">
  <si>
    <t>Ghi chú</t>
  </si>
  <si>
    <t>Đơn vị tính</t>
  </si>
  <si>
    <t>TT</t>
  </si>
  <si>
    <t>TƯ VẤN GIÁM SÁT</t>
  </si>
  <si>
    <r>
      <rPr>
        <b/>
        <sz val="13"/>
        <color rgb="FF000000"/>
        <rFont val="Times New Roman"/>
        <family val="1"/>
      </rPr>
      <t>Dự án:</t>
    </r>
    <r>
      <rPr>
        <sz val="13"/>
        <color rgb="FF000000"/>
        <rFont val="Times New Roman"/>
        <family val="1"/>
      </rPr>
      <t xml:space="preserve"> Đầu tư xây dựng công trình cải tạo, nâng cấp Quốc lộ10, đoạn từ cầu Quán Toan đến cầu Nghìn, thành phố Hải Phòng, theo hình thức hợp đồng BOT.</t>
    </r>
  </si>
  <si>
    <r>
      <rPr>
        <b/>
        <sz val="13"/>
        <color rgb="FF000000"/>
        <rFont val="Times New Roman"/>
        <family val="1"/>
      </rPr>
      <t>Gói thầu:</t>
    </r>
    <r>
      <rPr>
        <sz val="13"/>
        <color rgb="FF000000"/>
        <rFont val="Times New Roman"/>
        <family val="1"/>
      </rPr>
      <t xml:space="preserve"> Gói thầu số 08 “Thi công xây dựng công trình đoạn từ Km25+500 – Km36+900 và Km38+900 – Km58+200”.</t>
    </r>
  </si>
  <si>
    <r>
      <rPr>
        <b/>
        <sz val="13"/>
        <color rgb="FF000000"/>
        <rFont val="Times New Roman"/>
        <family val="1"/>
      </rPr>
      <t>Hợp đồng số:</t>
    </r>
    <r>
      <rPr>
        <sz val="13"/>
        <color rgb="FF000000"/>
        <rFont val="Times New Roman"/>
        <family val="1"/>
      </rPr>
      <t xml:space="preserve"> 20/2015/HĐTC-TASCO.HP ngày 18/7/2015.</t>
    </r>
  </si>
  <si>
    <r>
      <rPr>
        <b/>
        <sz val="13"/>
        <color rgb="FF000000"/>
        <rFont val="Times New Roman"/>
        <family val="1"/>
      </rPr>
      <t>Phụ lục hợp đồng số: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"Ghi rõ số phụ lục, ngày tháng năm giữa CĐT, nhà thầu chính và nhà thầu phụ".</t>
    </r>
  </si>
  <si>
    <r>
      <rPr>
        <b/>
        <sz val="13"/>
        <color rgb="FF000000"/>
        <rFont val="Times New Roman"/>
        <family val="1"/>
      </rPr>
      <t>Chủ đầu tư:</t>
    </r>
    <r>
      <rPr>
        <sz val="13"/>
        <color rgb="FF000000"/>
        <rFont val="Times New Roman"/>
        <family val="1"/>
      </rPr>
      <t xml:space="preserve"> Công ty TNHH MTV Tasco Hải Phòng</t>
    </r>
  </si>
  <si>
    <r>
      <rPr>
        <b/>
        <sz val="13"/>
        <color rgb="FF000000"/>
        <rFont val="Times New Roman"/>
        <family val="1"/>
      </rPr>
      <t>Nhà thầu:</t>
    </r>
    <r>
      <rPr>
        <sz val="13"/>
        <color rgb="FF000000"/>
        <rFont val="Times New Roman"/>
        <family val="1"/>
      </rPr>
      <t xml:space="preserve"> Tổng Công ty Thăng Long – CTCP.</t>
    </r>
  </si>
  <si>
    <t>m3</t>
  </si>
  <si>
    <t>NHÀ THẦU PHỤ</t>
  </si>
  <si>
    <t xml:space="preserve"> CÔNG TY TNHH MTV TASCO HẢI PHÒNG</t>
  </si>
  <si>
    <r>
      <t xml:space="preserve">Dự án: </t>
    </r>
    <r>
      <rPr>
        <sz val="14"/>
        <color theme="1"/>
        <rFont val="Times New Roman"/>
        <family val="1"/>
      </rPr>
      <t xml:space="preserve">Đầu tư xây dựng công trình cải tạo nâng cấp QL 10 đoạn cầu Quán Toan đến cầu Nghìn, thành phố Hải Phòng, theo hình thức hợp đồng BOT. </t>
    </r>
  </si>
  <si>
    <r>
      <t xml:space="preserve">Gói thầu: </t>
    </r>
    <r>
      <rPr>
        <sz val="14"/>
        <color theme="1"/>
        <rFont val="Times New Roman"/>
        <family val="1"/>
      </rPr>
      <t>Gói thầu số 08 “Thi công xây dựng công trình đoạn từ Km25+500 – Km36+900 và Km38+900 – Km58+200”.</t>
    </r>
  </si>
  <si>
    <r>
      <t xml:space="preserve">Hạng mục: </t>
    </r>
    <r>
      <rPr>
        <i/>
        <sz val="14"/>
        <color theme="1"/>
        <rFont val="Times New Roman"/>
        <family val="1"/>
      </rPr>
      <t>"Ghi rõ tên của hạng mục công việc được giao như trong phụ lục hợp đồng".</t>
    </r>
  </si>
  <si>
    <r>
      <t xml:space="preserve">Hợp đồng số: </t>
    </r>
    <r>
      <rPr>
        <sz val="14"/>
        <color theme="1"/>
        <rFont val="Times New Roman"/>
        <family val="1"/>
      </rPr>
      <t>20/2015/HĐTC-TASCO.HP ngày 18/7/2015.</t>
    </r>
  </si>
  <si>
    <r>
      <t>Phụ lục hợp đồng số:</t>
    </r>
    <r>
      <rPr>
        <sz val="14"/>
        <color indexed="10"/>
        <rFont val="Times New Roman"/>
        <family val="1"/>
      </rPr>
      <t xml:space="preserve"> </t>
    </r>
    <r>
      <rPr>
        <i/>
        <sz val="14"/>
        <color indexed="8"/>
        <rFont val="Times New Roman"/>
        <family val="1"/>
      </rPr>
      <t>"Ghi rõ số phụ lục, ngày tháng năm giữa CĐT, nhà thầu chính và nhà thầu phụ".</t>
    </r>
  </si>
  <si>
    <r>
      <t xml:space="preserve">Chủ đầu tư:  </t>
    </r>
    <r>
      <rPr>
        <sz val="14"/>
        <color theme="1"/>
        <rFont val="Times New Roman"/>
        <family val="1"/>
      </rPr>
      <t>Công ty TNHH MTV Tasco Hải Phòng.</t>
    </r>
  </si>
  <si>
    <r>
      <t xml:space="preserve">Nhà thầu: </t>
    </r>
    <r>
      <rPr>
        <sz val="14"/>
        <color theme="1"/>
        <rFont val="Times New Roman"/>
        <family val="1"/>
      </rPr>
      <t>Tổng Công ty Thăng Long – CTCP.</t>
    </r>
  </si>
  <si>
    <r>
      <t xml:space="preserve">Nhà thầu phụ: </t>
    </r>
    <r>
      <rPr>
        <i/>
        <sz val="14"/>
        <color theme="1"/>
        <rFont val="Times New Roman"/>
        <family val="1"/>
      </rPr>
      <t>"Ghi tên nhà thầu phụ".</t>
    </r>
  </si>
  <si>
    <t>Hải Phòng, Tháng…./201…</t>
  </si>
  <si>
    <t>THUYẾT MINH KHỐI LƯỢNG HOÀN CÔNG</t>
  </si>
  <si>
    <t>BẢNG TỔNG HỢP KHỐI LƯỢNG HOÀN CÔNG</t>
  </si>
  <si>
    <t>BẢNG DIỄN GIẢI KHỐI LƯỢNG HOÀN CÔNG</t>
  </si>
  <si>
    <t>Diễn giải khối lượng</t>
  </si>
  <si>
    <t>(1)</t>
  </si>
  <si>
    <t>(2)</t>
  </si>
  <si>
    <t>(3)</t>
  </si>
  <si>
    <t>(4)</t>
  </si>
  <si>
    <t>(5)</t>
  </si>
  <si>
    <r>
      <t>Khối lượng</t>
    </r>
    <r>
      <rPr>
        <i/>
        <sz val="13"/>
        <color theme="1"/>
        <rFont val="Times New Roman"/>
        <family val="1"/>
      </rPr>
      <t/>
    </r>
  </si>
  <si>
    <t>Thiết kế</t>
  </si>
  <si>
    <t>Hoàn công</t>
  </si>
  <si>
    <t>NHÀ THÀU</t>
  </si>
  <si>
    <t xml:space="preserve">       ĐẠI DIỆN CHỦ ĐẦU TƯ               TƯ VẤN GIÁM SÁT                 NHÀ THẦU                       NHÀ THẦU PHỤ</t>
  </si>
  <si>
    <r>
      <t xml:space="preserve">Hải Phòng, </t>
    </r>
    <r>
      <rPr>
        <i/>
        <sz val="13"/>
        <color rgb="FFFF0000"/>
        <rFont val="Times New Roman"/>
        <family val="1"/>
      </rPr>
      <t>Ngày …. tháng ….. năm ….</t>
    </r>
  </si>
  <si>
    <t>(6)</t>
  </si>
  <si>
    <t>(7)</t>
  </si>
  <si>
    <t>Cäc khoan nhåi D=1,2m thi c«ng trªn c¹n</t>
  </si>
  <si>
    <t>cäc/m</t>
  </si>
  <si>
    <t>ThÐp trßn D10 CB240-T</t>
  </si>
  <si>
    <t>ThÐp trßn D12 CB400-V</t>
  </si>
  <si>
    <t>ThÐp trßn D16 CB400-V</t>
  </si>
  <si>
    <t>ThÐp trßn D18 CB400-V</t>
  </si>
  <si>
    <t>ThÐp trßn D20 CB400-V</t>
  </si>
  <si>
    <t>ThÐp trßn D22 CB400-V</t>
  </si>
  <si>
    <t>ThÐp trßn D25 CB400-V</t>
  </si>
  <si>
    <t>Bª t«ng 30MPa</t>
  </si>
  <si>
    <t>V÷a XM 30Mpa</t>
  </si>
  <si>
    <t>ThÐp b¶n</t>
  </si>
  <si>
    <t>Bul«ng D16, L=243mm (Lo¹i 1)</t>
  </si>
  <si>
    <t>bé</t>
  </si>
  <si>
    <t>Bul«ng D16, L=226mm (Lo¹i 2)</t>
  </si>
  <si>
    <t>Bul«ng D16, L=213mm (Lo¹i 3)</t>
  </si>
  <si>
    <t>Bul«ng D16, L=207mm (Lo¹i 4)</t>
  </si>
  <si>
    <t>èng thÐp D50/57</t>
  </si>
  <si>
    <t>100m</t>
  </si>
  <si>
    <t>èng thÐp D107/114</t>
  </si>
  <si>
    <t>Nót èng D59.9/65.9</t>
  </si>
  <si>
    <t>c¸i</t>
  </si>
  <si>
    <t>Nót èng D113.5/119.5</t>
  </si>
  <si>
    <t>BÖ trô</t>
  </si>
  <si>
    <t>BT bÖ trô trªn c¹n 30Mpa</t>
  </si>
  <si>
    <t>Bª t«ng 10MPa ®Öm mãng</t>
  </si>
  <si>
    <t>V¸n khu«n</t>
  </si>
  <si>
    <t>100m2</t>
  </si>
  <si>
    <t>QuÐt nhùa ®­êng nãng hai líp</t>
  </si>
  <si>
    <t>m2</t>
  </si>
  <si>
    <t>Th©n trô</t>
  </si>
  <si>
    <t>ThÐp trßn D14 CB400-V</t>
  </si>
  <si>
    <t>Bª t«ng 30Mpa</t>
  </si>
  <si>
    <t>Xµ mò, t­êng tai, ®¸ kª gèi</t>
  </si>
  <si>
    <t>ThÐp trßn D8 CB240-T</t>
  </si>
  <si>
    <t>ThÐp trßn D32 CB400-V</t>
  </si>
  <si>
    <t>V÷a Sika 30Mpa</t>
  </si>
  <si>
    <t>cọc/m</t>
  </si>
  <si>
    <t>tấn</t>
  </si>
  <si>
    <t>bộ</t>
  </si>
  <si>
    <t>cái</t>
  </si>
  <si>
    <t>Cọc khoan nhồi D=1,2m thi công trên cạn</t>
  </si>
  <si>
    <t>Thép tròn D10 CB240-T</t>
  </si>
  <si>
    <t>Thép tròn D12 CB400-V</t>
  </si>
  <si>
    <t>Thép tròn D16 CB400-V</t>
  </si>
  <si>
    <t>Thép tròn D18 CB400-V</t>
  </si>
  <si>
    <t>Thép tròn D20 CB400-V</t>
  </si>
  <si>
    <t>Thép tròn D22 CB400-V</t>
  </si>
  <si>
    <t>Thép tròn D25 CB400-V</t>
  </si>
  <si>
    <t>Bê tông 30MPa</t>
  </si>
  <si>
    <t>Vữa XM 30Mpa</t>
  </si>
  <si>
    <t>Thép bản</t>
  </si>
  <si>
    <t>Bulông D16, L=243mm (Loại 1)</t>
  </si>
  <si>
    <t>Bulông D16, L=226mm (Loại 2)</t>
  </si>
  <si>
    <t>Bulông D16, L=213mm (Loại 3)</t>
  </si>
  <si>
    <t>Bulông D16, L=207mm (Loại 4)</t>
  </si>
  <si>
    <t>ống thép D50/57</t>
  </si>
  <si>
    <t>ống thép D107/114</t>
  </si>
  <si>
    <t>Nút ống D59.9/65.9</t>
  </si>
  <si>
    <t>Nút ống D113.5/119.5</t>
  </si>
  <si>
    <t>Bệ trụ</t>
  </si>
  <si>
    <t>BT bệ trụ trên cạn 30Mpa</t>
  </si>
  <si>
    <t>Bê tông 10MPa đệm móng</t>
  </si>
  <si>
    <t>Ván khuôn</t>
  </si>
  <si>
    <t>Quét nhựa đường nóng hai lớp</t>
  </si>
  <si>
    <t>Thân trụ</t>
  </si>
  <si>
    <t>Thép tròn D14 CB400-V</t>
  </si>
  <si>
    <t>Bê tông 30Mpa</t>
  </si>
  <si>
    <t>Xà mũ, tường tai, đá kê gối</t>
  </si>
  <si>
    <t>Thép tròn D8 CB240-T</t>
  </si>
  <si>
    <t>Thép tròn D32 CB400-V</t>
  </si>
  <si>
    <t>Vữa Sika 30Mpa</t>
  </si>
  <si>
    <t>4/248</t>
  </si>
  <si>
    <t>4/232</t>
  </si>
  <si>
    <t>BT th©n trô trªn c¹n 30Mpa</t>
  </si>
  <si>
    <t>6/392,58</t>
  </si>
  <si>
    <t>5/315,75</t>
  </si>
  <si>
    <t>T</t>
  </si>
  <si>
    <t>Bitum</t>
  </si>
  <si>
    <t>V</t>
  </si>
  <si>
    <t>Bulong</t>
  </si>
  <si>
    <t>VI</t>
  </si>
  <si>
    <t>100m3</t>
  </si>
  <si>
    <t>10cm BTXM 15Mpa</t>
  </si>
  <si>
    <t>VII</t>
  </si>
  <si>
    <t>m</t>
  </si>
  <si>
    <t>=</t>
  </si>
  <si>
    <t>10m3</t>
  </si>
  <si>
    <t>ca</t>
  </si>
  <si>
    <t>35/315</t>
  </si>
  <si>
    <t>3/27</t>
  </si>
  <si>
    <t>X</t>
  </si>
  <si>
    <t>12/359.84</t>
  </si>
  <si>
    <t>XI</t>
  </si>
  <si>
    <t>24/180</t>
  </si>
  <si>
    <t>toàn bộ</t>
  </si>
  <si>
    <t>bệ</t>
  </si>
  <si>
    <t>thân</t>
  </si>
  <si>
    <t>cọc</t>
  </si>
  <si>
    <t>mặt cắt</t>
  </si>
  <si>
    <t>Tấn</t>
  </si>
  <si>
    <t>1lần</t>
  </si>
  <si>
    <t>Trụ biên đầu cầu T4 (thi công trên cạn)</t>
  </si>
  <si>
    <t>Cọc khoan nhồi D=1,5m thi công trên cạn</t>
  </si>
  <si>
    <t>Thép tròn D28 CB400-V</t>
  </si>
  <si>
    <t>Đập đầu cọc</t>
  </si>
  <si>
    <t>Bulông D16, L=324mm</t>
  </si>
  <si>
    <t>Bulông D16, L=317mm</t>
  </si>
  <si>
    <t>Bulông D16, L=297mm</t>
  </si>
  <si>
    <t>Bulông D16, L=284mm</t>
  </si>
  <si>
    <t>Bulông D16, L=275mm</t>
  </si>
  <si>
    <t>ống thép D59.9/65.9</t>
  </si>
  <si>
    <t>ống thép D113.5/119.5</t>
  </si>
  <si>
    <t>Bêtông 30Mpa</t>
  </si>
  <si>
    <t>Phát sinh KL lồng thép theo BB ngày 29/12/2015</t>
  </si>
  <si>
    <t>Cóc nối D32+D20 L=324mm</t>
  </si>
  <si>
    <t>Trụ dẫn cầu T1 (thi công trên cạn)</t>
  </si>
  <si>
    <t>Trụ dẫn cầu T2 (thi công trên cạn)</t>
  </si>
  <si>
    <t>Trụ dẫn cầu T3 (thi công trên cạn)</t>
  </si>
  <si>
    <t>Mố cầu M0 (thi công trên cạn)</t>
  </si>
  <si>
    <t>Bệ mố</t>
  </si>
  <si>
    <t>Tường thân, tường đầu</t>
  </si>
  <si>
    <t>Tường cánh, gờ lan can</t>
  </si>
  <si>
    <t>Bệ kê gối, tường tai</t>
  </si>
  <si>
    <t>Thép tròn D6 CB240-T</t>
  </si>
  <si>
    <t>Đắp lòng mố bằng vật liệu thoát nước</t>
  </si>
  <si>
    <t>Cóc nối D32+D20 L=213mm</t>
  </si>
  <si>
    <t>Khối chống chuyển vị</t>
  </si>
  <si>
    <t>Thép tròn D32 CB300-T (mạ kẽm)</t>
  </si>
  <si>
    <t>Thép tròn D80 CB300-T (mạ kẽm)</t>
  </si>
  <si>
    <t>Sản xuất thép bản ụ chuyển vị</t>
  </si>
  <si>
    <t>Tấm cao su dày 20mm</t>
  </si>
  <si>
    <t>Bê tông ụ chuyển vị 30Mpa</t>
  </si>
  <si>
    <t>Ván khuôn ụ chuyển vị</t>
  </si>
  <si>
    <t>Chi tiết khác</t>
  </si>
  <si>
    <t>Cầu thang lên dầm</t>
  </si>
  <si>
    <t>Thép hình</t>
  </si>
  <si>
    <t>Thép tròn D8 CB240T</t>
  </si>
  <si>
    <t>Thép tròn D20 CB400T</t>
  </si>
  <si>
    <t>Cửa thăm</t>
  </si>
  <si>
    <t>Thép tròn D16 CB400V</t>
  </si>
  <si>
    <t>Bánh xe thép D33</t>
  </si>
  <si>
    <t>Dây xích + ổ khóa</t>
  </si>
  <si>
    <t>Vít nở M16</t>
  </si>
  <si>
    <t>Vữa XM 10Mpa (dày 2cm)</t>
  </si>
  <si>
    <t>Mặt bằng thi công</t>
  </si>
  <si>
    <t>Bệ đúc dầm</t>
  </si>
  <si>
    <t>Bê tông 15Mpa</t>
  </si>
  <si>
    <t>Bê tông 10Mpa</t>
  </si>
  <si>
    <t>Vữa XM 10Mpa</t>
  </si>
  <si>
    <t>Ván khuôn  đổ bê tông</t>
  </si>
  <si>
    <t>Đá dăm đệm</t>
  </si>
  <si>
    <t>Đóng cọc tre L=3,0m, 25 cọc/m</t>
  </si>
  <si>
    <t>Cốt thép bệ đúc D&lt;18mm</t>
  </si>
  <si>
    <t>Cốt thép bệ đúc D&gt;18mm</t>
  </si>
  <si>
    <t>Thanh đà ngang U140</t>
  </si>
  <si>
    <t>Thu hồi thép phế liệu 70% KL</t>
  </si>
  <si>
    <t>Mặt bằng công trường</t>
  </si>
  <si>
    <t>Đào đắp mặt bằng công trường</t>
  </si>
  <si>
    <t>Vét bùn</t>
  </si>
  <si>
    <t>Đắp cát đen đầm chặt K98</t>
  </si>
  <si>
    <t>Đắp cát đen đầm chặt K95</t>
  </si>
  <si>
    <t>Vật liệu mặt bằng thi công</t>
  </si>
  <si>
    <t>Lớp móng CPĐD loại 2(dày 20cm)</t>
  </si>
  <si>
    <t>Quét nhựa đường</t>
  </si>
  <si>
    <t>Đắp bao nền đường (đất tận dụng)</t>
  </si>
  <si>
    <t>Thanh thải MBCT</t>
  </si>
  <si>
    <t>Đào bỏ BTXM 15Mpa</t>
  </si>
  <si>
    <t>Đào bỏ móng CPĐD loại 2, đắp bao</t>
  </si>
  <si>
    <t>Đào bỏ cát</t>
  </si>
  <si>
    <t>Thu hồi cát đen (60% KL)</t>
  </si>
  <si>
    <t>Khối lượng khác (thuộc 2% trực tiếp phí khác)</t>
  </si>
  <si>
    <t>Đường công vụ</t>
  </si>
  <si>
    <t>Đào đắp đường công vụ</t>
  </si>
  <si>
    <t>Vật liệu đường công vụ</t>
  </si>
  <si>
    <t>Thanh thải đường công vụ</t>
  </si>
  <si>
    <t>Thi công mố trụ</t>
  </si>
  <si>
    <t>Thi công Trụ chính 5 (thi công dưới nước)</t>
  </si>
  <si>
    <t>Thi công Cọc khoan nhồi</t>
  </si>
  <si>
    <t>Khoan sét dẻo, cát chặt cọc khoan nhồi D=1,5m *hs chiều sâu mực nước tăng thêm</t>
  </si>
  <si>
    <t>Khoan sét chảy (lớp 5b: từ +8,6 đến -27,5)</t>
  </si>
  <si>
    <t>Mực nước trụ T5</t>
  </si>
  <si>
    <t>Hệ số chiều sâu mực nước tăng thêm: 1 + (19,14-4)*0,5</t>
  </si>
  <si>
    <t>Vận chuyển mùn khoan cự ky 9km</t>
  </si>
  <si>
    <t>ống vách D=1.6m, dày 10mm L22m (KH 1,17%*14)</t>
  </si>
  <si>
    <t>ống vách D=1.6m, dày 10mm L22m (KH 1,17%*2 tháng thời gian chờ cắt)</t>
  </si>
  <si>
    <t>ống vách D=1.6m, dày 10mm khấu hao hoàn toàn</t>
  </si>
  <si>
    <t>Hạ ống vách trong đất D1,6m (Lnđ=8,5m)</t>
  </si>
  <si>
    <t>Lắp đặt ống vách cọc khoan nhồi dưới nước, D=1,5m (phần ngập trong nước)</t>
  </si>
  <si>
    <t>Tháo dỡ ống vách</t>
  </si>
  <si>
    <t>Khoan BT kiểm tra mũi cọc</t>
  </si>
  <si>
    <t>Siêu âm đầu cọc</t>
  </si>
  <si>
    <t>Đập đầu cọc khoan nhồi dưới nước</t>
  </si>
  <si>
    <t>Bơm dung dịch Bentonit dưới nước</t>
  </si>
  <si>
    <t>Thi công móng</t>
  </si>
  <si>
    <t>Thép hình thùng chụp (KH 2%*1,5+7%)</t>
  </si>
  <si>
    <t>Thép bản thùng chụp (KH 2%*1,5+7%)</t>
  </si>
  <si>
    <t>Giá nâng thùng chụp (KH 2%*1,5+7%)</t>
  </si>
  <si>
    <t>Thanh thép CĐC D32, L=9.5m (đồng bộ)</t>
  </si>
  <si>
    <t>Hạ và nâng thùng chụp, giá nâng thùng chụp thi công dưới nước</t>
  </si>
  <si>
    <t>Hệ thép liên kết trong thùng chup (KH 2%*1.5+7%)</t>
  </si>
  <si>
    <t>Dầm đỡ H500</t>
  </si>
  <si>
    <t>Giằng ngang U300</t>
  </si>
  <si>
    <t>Tôn đáy dày 10mm (Khấu hao hoàn toàn)</t>
  </si>
  <si>
    <t>Thép hình sàn đáy I200</t>
  </si>
  <si>
    <t>Thép bản liên kết với dầm treo (tạm tính)</t>
  </si>
  <si>
    <t>Thép hình văng chống  L75x75x6, L=1m</t>
  </si>
  <si>
    <t>Nẹp đứng [ ] 100, L=3.5m</t>
  </si>
  <si>
    <t>Khung chống H400</t>
  </si>
  <si>
    <t>Khung đứng I300</t>
  </si>
  <si>
    <t>Lắp dựng kết cấu thép thi công dưới nước</t>
  </si>
  <si>
    <t>Tháo dỡ thép đà giáo dưới nước</t>
  </si>
  <si>
    <t>Bê tông bịt đáy 20MPa</t>
  </si>
  <si>
    <t>Bơm nước hố móng</t>
  </si>
  <si>
    <t>Gỗ phục vụ thi công</t>
  </si>
  <si>
    <t>Hệ sàn thi công cọc khoan nhồi</t>
  </si>
  <si>
    <t>Cọc định vị 2H350, L=25m</t>
  </si>
  <si>
    <t>Hệ liên kết</t>
  </si>
  <si>
    <t>Hệ sàn thi công thân trụ</t>
  </si>
  <si>
    <t>KH thép I200 : 2%*2,5 tháng + 7%</t>
  </si>
  <si>
    <t>KH thép []300 : 2%*2,5 tháng + 7%</t>
  </si>
  <si>
    <t>Thép hình văng chống  I200, L=0.5m(KH 2%*2,5 tháng + 7%)</t>
  </si>
  <si>
    <t>Nẹp đứng ][ 100, L=10m(KH 2%*2,5 tháng + 7%)</t>
  </si>
  <si>
    <t>Bản chờ, thép bản phục vụ thi công(KH 2%*2,5 tháng + 7%)</t>
  </si>
  <si>
    <t>Lan can định hình(KH 2%*2,5 tháng + 7%)</t>
  </si>
  <si>
    <t>Thép tròn xuyên táo D16, L=3m, L=8.5m (Khấu hao hoàn toàn)</t>
  </si>
  <si>
    <t>Tháo dỡ thép đà giáo duới nước</t>
  </si>
  <si>
    <t>KL phát sinh theo BB ngày 13/1/2016 (tăng cường thi công PDA trụ T5)</t>
  </si>
  <si>
    <t>Cọc khoan nhồi D=1,5m thi công dưới nước</t>
  </si>
  <si>
    <t>Thi công Trụ biên đầu cầu T4 (thi công trên cạn)</t>
  </si>
  <si>
    <t>Đắp đất tạo mặt bằng thi công</t>
  </si>
  <si>
    <t>Khoan lớp 5a, 5b, 2a1</t>
  </si>
  <si>
    <t>Khoan sét dẻo, cát chặt cọc khoan nhồi D=1,5m</t>
  </si>
  <si>
    <t>Khoan cát sỏi cọc khoan nhồi D=1,5m</t>
  </si>
  <si>
    <t>SX ống vách thép ( KH 1,17%*6)</t>
  </si>
  <si>
    <t>Lắp đặt ống vách cọc khoan nhồi trên cạn, D=1,5m</t>
  </si>
  <si>
    <t>Đập đầu cọc khoan nhồi trên cạn</t>
  </si>
  <si>
    <t>Bơm dung dịch Bentonit trên cạn</t>
  </si>
  <si>
    <t>Kl bổ sung theo BB ngày 22/12/2015 (BS KL bản táp ống vách CKN)</t>
  </si>
  <si>
    <t>Sản xuất thép bản (KH 2%*0,5+7%)</t>
  </si>
  <si>
    <t>Lắp đặt thép bản</t>
  </si>
  <si>
    <t>Tháo dỡ thép bản</t>
  </si>
  <si>
    <t>Đào đất thi công móng trụ T4</t>
  </si>
  <si>
    <t>Đắp đất hố móng bằng đầm cóc</t>
  </si>
  <si>
    <t>Bê tông đệm móng 20Mpa</t>
  </si>
  <si>
    <t>Cọc ván thép Lasen IV,L=6m</t>
  </si>
  <si>
    <t>Cọc định vị 2I300, L=6m</t>
  </si>
  <si>
    <t>Lắp dựng nẹp đứng, văng chống</t>
  </si>
  <si>
    <t>Thi công thân xà mũ</t>
  </si>
  <si>
    <t>Thép hình I200 (KH 2%*2+7%)</t>
  </si>
  <si>
    <t>Thép hình []300 (KH 2%*2+7%)</t>
  </si>
  <si>
    <t>Thép hình khác (KH 2%*2+7%)</t>
  </si>
  <si>
    <t>Lắp dựng kết cấu thép thi công trên cạn</t>
  </si>
  <si>
    <t>Tháo dỡ thép đà giáo trên cạn</t>
  </si>
  <si>
    <t>KL phát sinh theo BB ngày 13/1/2016 (tăng cường thi công PDA trụ T4)</t>
  </si>
  <si>
    <t>Thi công Trụ dẫn T1</t>
  </si>
  <si>
    <t>Khoan đất cọc khoan nhồi D=1,2m trụ T1</t>
  </si>
  <si>
    <t>Vận chuyển mùn khoan cự ly 9km</t>
  </si>
  <si>
    <t>SX ống vách thép ( KH 1,17%*4)</t>
  </si>
  <si>
    <t>Lắp đặt ống vách cọc khoan nhồi trên cạn, D=1,2m</t>
  </si>
  <si>
    <t>Đào đất thi công móng</t>
  </si>
  <si>
    <t>Thép đà giáo</t>
  </si>
  <si>
    <t>Gỗ đệm sàn công tác</t>
  </si>
  <si>
    <t>KL bổ sung theo BB ngày 11/4/2016 (BS KL bản táp ống vách thi công)</t>
  </si>
  <si>
    <t>Thi công  Trụ dẫn T2</t>
  </si>
  <si>
    <t>Khoan đất cọc khoan nhồi D=1,2m mố trụ T2</t>
  </si>
  <si>
    <t>KL bổ sung theo BB ngày 13/4/2016 (BS KL tăng cườn PDA trụ T2)</t>
  </si>
  <si>
    <t>Thi công  Trụ dẫn T3</t>
  </si>
  <si>
    <t>Khoan đất cọc khoan nhồi D=1,2m trụ T3</t>
  </si>
  <si>
    <t>Thi công mố M0</t>
  </si>
  <si>
    <t>San ủi mặt bằng thi công đầm chặt K=0,90</t>
  </si>
  <si>
    <t>Khoan đất cọc khoan nhồi D=1,2m mố M0</t>
  </si>
  <si>
    <t>SX ống vách thép ( KH 1,17%*5)</t>
  </si>
  <si>
    <t>Đóng và nhổ cọc ván thép LS-IV (Lđóng/nhổ =9m)</t>
  </si>
  <si>
    <t>Cọc ván thép Lasen IV,L=10m</t>
  </si>
  <si>
    <t>Đóng cọc thép hình trên cạn L&lt;=10m ngập đất</t>
  </si>
  <si>
    <t>Đóng cọc thép hình trên cạn L&lt;=10m không ngập đất (*0,75)</t>
  </si>
  <si>
    <t>Nhổ cọc ván thép trên cạn</t>
  </si>
  <si>
    <t>KH cọc ván thép : 1,17%*2,5 tháng + 3,5%*1LC</t>
  </si>
  <si>
    <t>Đóng và nhổ cọc định vị 2I300(Lđóng/nhổ =9m)</t>
  </si>
  <si>
    <t>Cọc định vị 2I300, L=10m</t>
  </si>
  <si>
    <t>Đóng cọc thép hình trên cạn L&gt;10m ngập đất</t>
  </si>
  <si>
    <t>Đóng cọc thép hình trên cạn L&gt;10m không ngập đất (*0,75)</t>
  </si>
  <si>
    <t>Nhổ cọc thép hình trên cạn</t>
  </si>
  <si>
    <t>KH cọc thép hình : 1,17%*2,5 tháng + 3,5%*1LC</t>
  </si>
  <si>
    <t>Lắp dựng nẹp ngang, thanh chống 2I300</t>
  </si>
  <si>
    <t>Lắp dựng nẹp ngang thanh chống trên cạn</t>
  </si>
  <si>
    <t>Tháo dỡ nẹp ngang thanh chống trên cạn</t>
  </si>
  <si>
    <t>Khấu hao vật liệu: 50% KL khấu hao giá thành sản phẩm, 50% KL thu hồi thép phế liệu</t>
  </si>
  <si>
    <t>KH thép hình : thu hồi phế liệu  (50%KL)</t>
  </si>
  <si>
    <t>KH thép hình I300 : 1,17%*2,5 tháng + 3,5%*1LC</t>
  </si>
  <si>
    <t>Tấm bản BTXM (0,5x1,5x0,15)m (KH 20%)</t>
  </si>
  <si>
    <t>tấm</t>
  </si>
  <si>
    <t>Gỗ thi công</t>
  </si>
  <si>
    <t>Mố nhô</t>
  </si>
  <si>
    <t>t/bộ</t>
  </si>
  <si>
    <t>Sản xuất thép  (KH 2%*18+7%)</t>
  </si>
  <si>
    <t>Tháo dỡ thép trên cạn</t>
  </si>
  <si>
    <t>Đá hộc đắp chêm chèn chặt</t>
  </si>
  <si>
    <t>LD, TD rọ đá KT(1,5x1x1)m trên cạn</t>
  </si>
  <si>
    <t>rọ</t>
  </si>
  <si>
    <t>Đóng/ nhổ cọc thép hình 2I360 L=36m</t>
  </si>
  <si>
    <t>Cọc thép hình</t>
  </si>
  <si>
    <t>KH cọc thép hình : 1,17%*18 + 3,5%*1LC</t>
  </si>
  <si>
    <t>Hố thế</t>
  </si>
  <si>
    <t>hố</t>
  </si>
  <si>
    <t>Cầu công vụ</t>
  </si>
  <si>
    <t>Thép hình, cọc ván thép cầu công vụ</t>
  </si>
  <si>
    <t>Thép hình I360 (KH 2%*18+7%)</t>
  </si>
  <si>
    <t>Cọc ván thép Lasen IV (2%*18+7%)</t>
  </si>
  <si>
    <t>Thép hình 2I300 (KH 2%*18+7%)</t>
  </si>
  <si>
    <t>Thép hình C100 (KH 2%*18+7%)</t>
  </si>
  <si>
    <t>Thép góc thép bản, tròn</t>
  </si>
  <si>
    <t>Sản xuất thép góc, thép bản, thép tròn (KH 2%*18+7%)</t>
  </si>
  <si>
    <t>Tháo dỡ kết cấu thép thi công trên cạn</t>
  </si>
  <si>
    <t>Gỗ phục vụ thi công (18/24)</t>
  </si>
  <si>
    <t>LD, TD gỗ phục vụ thi công</t>
  </si>
  <si>
    <t>Đóng/ nhổ cọc thép hình I360  L=18m</t>
  </si>
  <si>
    <t>A1</t>
  </si>
  <si>
    <t>A2</t>
  </si>
  <si>
    <t>Q4</t>
  </si>
  <si>
    <t>T5</t>
  </si>
  <si>
    <t>A3</t>
  </si>
  <si>
    <t>Q4A</t>
  </si>
  <si>
    <t>A4</t>
  </si>
  <si>
    <t>Q4B</t>
  </si>
  <si>
    <t>A5</t>
  </si>
  <si>
    <t>Q4C</t>
  </si>
  <si>
    <t>A6</t>
  </si>
  <si>
    <t>Q4D</t>
  </si>
  <si>
    <t>A7</t>
  </si>
  <si>
    <t>B1</t>
  </si>
  <si>
    <t>B2</t>
  </si>
  <si>
    <t>Q6</t>
  </si>
  <si>
    <t>C1</t>
  </si>
  <si>
    <t>X1</t>
  </si>
  <si>
    <t>D10</t>
  </si>
  <si>
    <t>50x100x10</t>
  </si>
  <si>
    <t>STT</t>
  </si>
  <si>
    <t>Đường kính</t>
  </si>
  <si>
    <t>Dài</t>
  </si>
  <si>
    <t>Số lượng</t>
  </si>
  <si>
    <t>KLĐV</t>
  </si>
  <si>
    <t>1 đơn vị</t>
  </si>
  <si>
    <t>Hạng mục</t>
  </si>
  <si>
    <t>Tên thanh</t>
  </si>
  <si>
    <t>Chiều dài 1 thanh</t>
  </si>
  <si>
    <t>Tổng khối lượng</t>
  </si>
  <si>
    <t>Khung A1</t>
  </si>
  <si>
    <t>Khung A2</t>
  </si>
  <si>
    <t>Khung A3</t>
  </si>
  <si>
    <t>Khung A4</t>
  </si>
  <si>
    <t>Khung A5</t>
  </si>
  <si>
    <t>Khung A6</t>
  </si>
  <si>
    <t>Khung A7</t>
  </si>
  <si>
    <t>Móc lồng</t>
  </si>
  <si>
    <t>Cốt đai</t>
  </si>
  <si>
    <t>KLDV</t>
  </si>
  <si>
    <t>Đường kính thép</t>
  </si>
  <si>
    <t>Tổng hợp</t>
  </si>
  <si>
    <t>Khối lượng 1 cọc</t>
  </si>
  <si>
    <t>Khối lượng 6 cọc</t>
  </si>
  <si>
    <t>Ống kiểm tra</t>
  </si>
  <si>
    <t>Quy cách</t>
  </si>
  <si>
    <t>Tổng KL</t>
  </si>
  <si>
    <t>Ống D59,0/65,6</t>
  </si>
  <si>
    <t>Ống D113,5/119,5</t>
  </si>
  <si>
    <t>Thép bản 205x118x5</t>
  </si>
  <si>
    <t>Thép bản 205x180x5</t>
  </si>
  <si>
    <t>Nút ống D59,5/65,9</t>
  </si>
  <si>
    <t>Nút ống D113,5/119,5</t>
  </si>
  <si>
    <t>kG</t>
  </si>
  <si>
    <t>Chiều dài ống sonic</t>
  </si>
  <si>
    <t>D113,5</t>
  </si>
  <si>
    <t>Bê tông</t>
  </si>
  <si>
    <t>L</t>
  </si>
  <si>
    <t>mm</t>
  </si>
  <si>
    <t>kG/m</t>
  </si>
  <si>
    <t>BẢNG KHỐI LƯỢNG CỌC KHOAN NHỒI TRỤ T4</t>
  </si>
  <si>
    <t>Có bảng diễn giải kèm theo</t>
  </si>
  <si>
    <t>Về sheet diễn giải</t>
  </si>
  <si>
    <t>pi()*1,5^2*65,5*6/4-(pi()*0,1195^2*387+pi()*0,0659^2*1174)/4</t>
  </si>
  <si>
    <t>pi()*(0,1135^2*387+0,0599^2*1174)/4</t>
  </si>
  <si>
    <t>pi()*1,5^2*1,28*6/4</t>
  </si>
  <si>
    <t>(64-1+1,5)*6/100</t>
  </si>
  <si>
    <t>(64-0,2+1,5)*3*6/100</t>
  </si>
  <si>
    <t>Bangdiengiai</t>
  </si>
  <si>
    <t>CKN T4 '!A1</t>
  </si>
  <si>
    <t>Mác thép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</si>
  <si>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</si>
  <si>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</si>
  <si>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</si>
  <si>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</si>
  <si>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</si>
  <si>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</si>
  <si>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</si>
  <si>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</si>
  <si>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</si>
  <si>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CB400-V</t>
  </si>
  <si>
    <t>P1</t>
  </si>
  <si>
    <t>P2</t>
  </si>
  <si>
    <t>P3</t>
  </si>
  <si>
    <t>P4</t>
  </si>
  <si>
    <t>Đường kính
(mm)</t>
  </si>
  <si>
    <t>Chiều dài
(mm)</t>
  </si>
  <si>
    <t>Số lượng 
(thanh)</t>
  </si>
  <si>
    <t>Tổng chiều dài (m)</t>
  </si>
  <si>
    <t>KLĐV 
(kG/m)</t>
  </si>
  <si>
    <t>Khối lượng 
(kG)</t>
  </si>
  <si>
    <t>H1</t>
  </si>
  <si>
    <t>H1A</t>
  </si>
  <si>
    <t>H2</t>
  </si>
  <si>
    <t>H2A</t>
  </si>
  <si>
    <t>H3</t>
  </si>
  <si>
    <t>H3A</t>
  </si>
  <si>
    <t>H4</t>
  </si>
  <si>
    <t>H4A</t>
  </si>
  <si>
    <t>H5</t>
  </si>
  <si>
    <t>H6</t>
  </si>
  <si>
    <t>H7</t>
  </si>
  <si>
    <t>H8</t>
  </si>
  <si>
    <t>L1</t>
  </si>
  <si>
    <t>L2</t>
  </si>
  <si>
    <t>L3</t>
  </si>
  <si>
    <t>CB400-T</t>
  </si>
  <si>
    <t>TruT4!A1</t>
  </si>
  <si>
    <t>2,5*7,5*11-pi()*1,5^2*0,15*6/4</t>
  </si>
  <si>
    <t>0,1*11,2*7,7-pi()*1,5^2*0,1*6/4</t>
  </si>
  <si>
    <t>(2,5*11+2,5*7,5)*2/100</t>
  </si>
  <si>
    <t>Quay lai sheet dien giai</t>
  </si>
  <si>
    <t>(pi()*2^2/4+2*4)*7,5</t>
  </si>
  <si>
    <t>(pi()*2+2*4)*7,5</t>
  </si>
  <si>
    <t>S</t>
  </si>
  <si>
    <t>Chu vi</t>
  </si>
  <si>
    <t>Xà mũ</t>
  </si>
  <si>
    <t>Tường tai</t>
  </si>
  <si>
    <t>(7,7*1,75+8,91*1,25)+(6,5*0,8*3+0,9*3*2)+(0,15*1,5*3*2)</t>
  </si>
  <si>
    <t>(0,4+0,3)*0,04/2*5+((0,7+0,6)*0,5*0,025+1*1*0,03)*2</t>
  </si>
  <si>
    <t>Chiều dài</t>
  </si>
  <si>
    <t>Sô lượng thanh</t>
  </si>
  <si>
    <t>Tổng chiều dài</t>
  </si>
  <si>
    <t>B3</t>
  </si>
  <si>
    <t>O1</t>
  </si>
  <si>
    <t>N5B</t>
  </si>
  <si>
    <t>N5C</t>
  </si>
  <si>
    <t>N5D</t>
  </si>
  <si>
    <t>N5E</t>
  </si>
  <si>
    <t>N6</t>
  </si>
  <si>
    <t>N4</t>
  </si>
  <si>
    <t>Thép bản 370x60x8</t>
  </si>
  <si>
    <t>Ống thép D50/57</t>
  </si>
  <si>
    <t>Ống thép 107/114</t>
  </si>
  <si>
    <t>Cóc nối M16,L0,226</t>
  </si>
  <si>
    <t>Cóc nối M16, L=0,213</t>
  </si>
  <si>
    <t>Cóc nối M16, L=0,207</t>
  </si>
  <si>
    <t>Bản thép 106x60x14</t>
  </si>
  <si>
    <t>Bản thép 104x60x14</t>
  </si>
  <si>
    <t>Bản thép 370x60x8</t>
  </si>
  <si>
    <t>Bịt đầu M1</t>
  </si>
  <si>
    <t>Bịt đầu M2</t>
  </si>
  <si>
    <t>D12</t>
  </si>
  <si>
    <t>D16</t>
  </si>
  <si>
    <t>D18</t>
  </si>
  <si>
    <t>D20</t>
  </si>
  <si>
    <t>D22</t>
  </si>
  <si>
    <t>D25</t>
  </si>
  <si>
    <t>D28</t>
  </si>
  <si>
    <t>1 cọc</t>
  </si>
  <si>
    <t>5 cọc</t>
  </si>
  <si>
    <t>CKN M0'!A1</t>
  </si>
  <si>
    <t>pi()*1,2^2*5*(62+1,15)/4-(pi()*0,057^2*946+pi()*0,114^2*311)/4</t>
  </si>
  <si>
    <t>pi()*0,05^2/4*946+pi()*0,107^2/4*311</t>
  </si>
  <si>
    <t>Bản thép 100x30x14</t>
  </si>
  <si>
    <t>(62-0,2+1,28)*3*5/100</t>
  </si>
  <si>
    <t>(62-1+1,28)*5/100</t>
  </si>
  <si>
    <t>Tổng dài</t>
  </si>
  <si>
    <t>Khối lượng</t>
  </si>
  <si>
    <t>N1</t>
  </si>
  <si>
    <t>N2</t>
  </si>
  <si>
    <t>N3</t>
  </si>
  <si>
    <t>N5</t>
  </si>
  <si>
    <t>N7</t>
  </si>
  <si>
    <t>N8</t>
  </si>
  <si>
    <t>N9</t>
  </si>
  <si>
    <t>N10</t>
  </si>
  <si>
    <t>N11</t>
  </si>
  <si>
    <t>N12</t>
  </si>
  <si>
    <t>F10</t>
  </si>
  <si>
    <t>F11</t>
  </si>
  <si>
    <t>F12</t>
  </si>
  <si>
    <t>F13</t>
  </si>
  <si>
    <t>F14</t>
  </si>
  <si>
    <t>F15</t>
  </si>
  <si>
    <t>F16</t>
  </si>
  <si>
    <t>Thân mố M0</t>
  </si>
  <si>
    <t>E1</t>
  </si>
  <si>
    <t>2*11,7*6-pi()*1,2^2*0,15*5/4</t>
  </si>
  <si>
    <t>11,9*6,2*0,1-pi()*1,2^2*0,1*5/4</t>
  </si>
  <si>
    <t>(2*11,7+2*6)*2</t>
  </si>
  <si>
    <t>(2*11,7+2*6)*2+2*11,7+10,7*2,6</t>
  </si>
  <si>
    <t>Mo M0'!A1</t>
  </si>
  <si>
    <t>Quay Lại</t>
  </si>
  <si>
    <t>5364830,742*11,7*10^-6</t>
  </si>
  <si>
    <t>S1</t>
  </si>
  <si>
    <t>(12378*11700*10^-6-(424+270)*11700*10^-6-1000*10700*10^-6-300*10700*10^-6)/100</t>
  </si>
  <si>
    <t>(5456,865*10700*10^-6)/100</t>
  </si>
  <si>
    <t xml:space="preserve">Bệ trụ </t>
  </si>
  <si>
    <t>ống thép D60/57</t>
  </si>
  <si>
    <t>H¹ng môc</t>
  </si>
  <si>
    <t>Tªn thanh</t>
  </si>
  <si>
    <t xml:space="preserve">Đ­êng kÝnh </t>
  </si>
  <si>
    <t>M¸c thÐp</t>
  </si>
  <si>
    <t>ChiÒu dµi</t>
  </si>
  <si>
    <t>Sè l­îng</t>
  </si>
  <si>
    <t>Tæng chiÒu dµi</t>
  </si>
  <si>
    <t>Khèi l­îng ®¬n vÞ</t>
  </si>
  <si>
    <t>Khèi l­îng</t>
  </si>
  <si>
    <t>(mm)</t>
  </si>
  <si>
    <t>(Thanh)</t>
  </si>
  <si>
    <t>(m)</t>
  </si>
  <si>
    <t>(Kg/m)</t>
  </si>
  <si>
    <t>(Kg)</t>
  </si>
  <si>
    <t>T­êng c¸nh ph¶i mè</t>
  </si>
  <si>
    <t>Tæng khèi l­îng</t>
  </si>
  <si>
    <t xml:space="preserve">Ph©n lo¹i thÐp                                                                       </t>
  </si>
  <si>
    <t xml:space="preserve">Tæng khèi l­îng cèt thÐp (kg)                                    </t>
  </si>
  <si>
    <t>Bª t«ng t­êng c¸nh mè 30Mpa (m3)</t>
  </si>
  <si>
    <t>Bª t«ng gê lan can mè 30Mpa (m3)</t>
  </si>
  <si>
    <t>V¸n khu«n (m2)</t>
  </si>
  <si>
    <t>QuÐt nhùa (m2)</t>
  </si>
  <si>
    <t>T­êng c¸nh tr¸I mè</t>
  </si>
  <si>
    <t>BÖ mè</t>
  </si>
  <si>
    <t>Bª t«ng bÖ mè 30Mpa (m3)</t>
  </si>
  <si>
    <t>Bª t«ng ®Öm 10Mpa (m3)</t>
  </si>
  <si>
    <t>B</t>
  </si>
  <si>
    <t>H</t>
  </si>
  <si>
    <t>sè cäc</t>
  </si>
  <si>
    <t>cäc</t>
  </si>
  <si>
    <t>D</t>
  </si>
  <si>
    <t>BÖ kª gèi</t>
  </si>
  <si>
    <t>T­êng tai ( tÝnh cho 2 t­êng tai)</t>
  </si>
  <si>
    <t>Check thÐp</t>
  </si>
  <si>
    <t>Bª t«ng t­êng tai 30Mpa (m3)</t>
  </si>
  <si>
    <t>Bª t«ng cèt liÖu nhá kh«ng co ngãt 40Mpa (m3)</t>
  </si>
  <si>
    <t>T­êng tai</t>
  </si>
  <si>
    <t>§a kª</t>
  </si>
  <si>
    <t>thanh</t>
  </si>
  <si>
    <t>0,61*0,51*0,055*5</t>
  </si>
  <si>
    <t>Bệ trụ T4</t>
  </si>
  <si>
    <t>Thân trụ T4</t>
  </si>
  <si>
    <t>(tấn)</t>
  </si>
  <si>
    <t>Loại thép</t>
  </si>
  <si>
    <t>Chiều dài thanh</t>
  </si>
  <si>
    <t>N5A</t>
  </si>
  <si>
    <t>Phân loại cốt thép</t>
  </si>
  <si>
    <t>CB240-T</t>
  </si>
  <si>
    <t>Cọc khoan nhồi D1200, L=62 m</t>
  </si>
  <si>
    <t>CKN T1-T3'!A1</t>
  </si>
  <si>
    <t>PI()*1,2^2*4*(62+1,15)/4-pi()*0,057^2*(62-0,1+1,15)*3*4/4-pi()*0,114^2*(62-1+1,15)*4/4</t>
  </si>
  <si>
    <t>pi()*0,05^2*(62-0,1+1,15)*3*4/4+pi()*0,107^2*(62-1+1,15)*4/4</t>
  </si>
  <si>
    <t>(62-0,1+1,15)*3*4/100</t>
  </si>
  <si>
    <t>(62-1+1,15)*4/100</t>
  </si>
  <si>
    <t>6*7*2-pi()*1,2^2*4*0,15/4</t>
  </si>
  <si>
    <t>6,2*7,2*0,1-pi()*1,2^2*4*0,1/4</t>
  </si>
  <si>
    <t>(6+7)*2*2/100</t>
  </si>
  <si>
    <t>(6+7)*2*2+6*7-(4,4*1,6+pi()*1,6^2/4)</t>
  </si>
  <si>
    <t>Bª t«ng bÖ trô 30Mpa (m3)</t>
  </si>
  <si>
    <t>Cäc</t>
  </si>
  <si>
    <t>Bª t«ng th©n trô 30Mpa (m3)</t>
  </si>
  <si>
    <t>Htru</t>
  </si>
  <si>
    <t>Th©n trô T3</t>
  </si>
  <si>
    <t>Tru T1-T3'!A1</t>
  </si>
  <si>
    <t>Quay lai</t>
  </si>
  <si>
    <t xml:space="preserve"> </t>
  </si>
  <si>
    <t>Ghi chó</t>
  </si>
  <si>
    <t>Xµ mò trô</t>
  </si>
  <si>
    <t>Trung b×nh</t>
  </si>
  <si>
    <t>H9</t>
  </si>
  <si>
    <t>H10</t>
  </si>
  <si>
    <t>L4</t>
  </si>
  <si>
    <t>L5</t>
  </si>
  <si>
    <t>Bª t«ng xµ mò 30Mpa (m3)</t>
  </si>
  <si>
    <t>Xa mò</t>
  </si>
  <si>
    <t>V÷a Sika ®¸ kª gèi (m3)</t>
  </si>
  <si>
    <t>Xµ mò</t>
  </si>
  <si>
    <t>XÀ MŨ, TƯỜNG TAI, ĐÁ KÊ T1, T2, T3</t>
  </si>
  <si>
    <t>BỆ TRỤ T1, T2, T3</t>
  </si>
  <si>
    <t>THÂN TRỤ T1</t>
  </si>
  <si>
    <t>THÂN TRỤ T2</t>
  </si>
  <si>
    <t>ống thộp D113.5/119.5</t>
  </si>
  <si>
    <t>BT thân trụ trên cạn 30Mpa</t>
  </si>
  <si>
    <t>Cọc/m</t>
  </si>
  <si>
    <t>Bộ</t>
  </si>
  <si>
    <t>Nắp ống D59.9/65.9</t>
  </si>
  <si>
    <t>Nắp ống D113.5/119.5</t>
  </si>
  <si>
    <t>Hạng mục: "Ghi rõ Tấn của hạng mục công việc được giao như trong Phụ lục hợp đồng".</t>
  </si>
  <si>
    <t>Nhà thầu phụ: "Ghi Tấn nhà thầu phụ".</t>
  </si>
  <si>
    <t>Tấn công việc</t>
  </si>
  <si>
    <t>pi()*1,2^2*4*(58+1,15)/4-(pi()*0,057^2*3*(58-0,1+1,15)/4+pi()*0,114^2*(58-1+1,15)/4)*4</t>
  </si>
  <si>
    <t>(pi()*0,05^2*3*(58-0,1+1,15)/4+pi()*0,107^2*(58-1+1,15)/4)*4</t>
  </si>
  <si>
    <t>(58-0,1+1,15)*3*4/100</t>
  </si>
  <si>
    <t>(58-1+1,15)*4/100</t>
  </si>
  <si>
    <t>Khối lượng 4 cọc</t>
  </si>
  <si>
    <t>Cút nối D61/57</t>
  </si>
  <si>
    <t>Cút nối D118/114</t>
  </si>
  <si>
    <t>Cóc nối bu lông M16, L=0,213 m (Loại 1)</t>
  </si>
  <si>
    <t xml:space="preserve">Cóc nối bu lông M16, L=0,207 m (loại 2) </t>
  </si>
  <si>
    <t>Bản thép cóc nối 104x60x14</t>
  </si>
  <si>
    <t>Bản thép cóc nối 100x60x14</t>
  </si>
  <si>
    <t>Bịt đầu ống M1</t>
  </si>
  <si>
    <t>Bịt đầu ống M2</t>
  </si>
  <si>
    <t>120/34,92</t>
  </si>
  <si>
    <t>40/22,88</t>
  </si>
  <si>
    <t>1152/380,16</t>
  </si>
  <si>
    <t>288/97,92</t>
  </si>
  <si>
    <t>8/10,88</t>
  </si>
  <si>
    <t>24/14,4</t>
  </si>
  <si>
    <t>108/31,44</t>
  </si>
  <si>
    <t>36/20,6</t>
  </si>
  <si>
    <t>cái/kg</t>
  </si>
  <si>
    <t>kg</t>
  </si>
  <si>
    <t>CỌC KHOAN NHỒI T2, T3, L=58 m</t>
  </si>
  <si>
    <t>CỌC KHOAN NHỒI T1, L=62 m</t>
  </si>
  <si>
    <t>16/1238,88</t>
  </si>
  <si>
    <t>Trụ chính T5 (thi công dưới nước)</t>
  </si>
  <si>
    <t>Bê tông đập đầu cọc</t>
  </si>
  <si>
    <t>Bulông D16, L=352mm</t>
  </si>
  <si>
    <t>Bulông D16, L=350mm</t>
  </si>
  <si>
    <t>Bulông D16, L=397mm</t>
  </si>
  <si>
    <t xml:space="preserve">§¬n vÞ </t>
  </si>
  <si>
    <t>Tru T5 (đc)</t>
  </si>
  <si>
    <t>Tru T5</t>
  </si>
  <si>
    <t>ThÐp ®µ gi¸o</t>
  </si>
  <si>
    <t>sè thanh</t>
  </si>
  <si>
    <t>trong l­îng 
®.vi(kg/m)</t>
  </si>
  <si>
    <t>Tæng céng</t>
  </si>
  <si>
    <t>Cao ®é ®Ønh bÖ</t>
  </si>
  <si>
    <t>- Thanh D=114, L=1.0m</t>
  </si>
  <si>
    <t>Cao ®é ®¸y bÖ</t>
  </si>
  <si>
    <t>- Thanh D=114, L=1.5m</t>
  </si>
  <si>
    <t>Cao ®é mòi cäc khoan nhåi</t>
  </si>
  <si>
    <t>- Thanh D=48, L=1.975m</t>
  </si>
  <si>
    <t>ChiÒu dµi dù kiÕn cäc khoan nhåi</t>
  </si>
  <si>
    <t>- Thanh D=48, L=1.695m</t>
  </si>
  <si>
    <t>Cao ®é  mÆt ®Êt thiªn nhiªn TB</t>
  </si>
  <si>
    <t>- Thanh D=48, L=1.287m</t>
  </si>
  <si>
    <t>Sè cäc khoan nhåi D=1500</t>
  </si>
  <si>
    <t xml:space="preserve"> - Thanh D=48, L=0.88m</t>
  </si>
  <si>
    <t>ChiÒu cao ®µo ®Êt trung b×nh</t>
  </si>
  <si>
    <t>ChiÒu dµy ®æ bª t«ng bÞt ®¸y</t>
  </si>
  <si>
    <t xml:space="preserve"> Thanh D=48, L=1.38m</t>
  </si>
  <si>
    <t>Cao ®é gÆp c¸t lÉn sái</t>
  </si>
  <si>
    <t xml:space="preserve"> - Thanh cét chèng</t>
  </si>
  <si>
    <t>Cao ®é miÖng èng v¸ch</t>
  </si>
  <si>
    <t>Tæng</t>
  </si>
  <si>
    <t>Cao ®é gÆp ®¸ cÊp III (kh«ng cã)</t>
  </si>
  <si>
    <t>ChiÒu dµi hè mãng ®¸y</t>
  </si>
  <si>
    <t>ChiÒu réng hè mãng ®¸y</t>
  </si>
  <si>
    <t>S®¸y</t>
  </si>
  <si>
    <t>ChiÒu dµi hè mãng ®Ønh bÖ</t>
  </si>
  <si>
    <t>chiÒu réng hè mãng ®Ønh bÖ</t>
  </si>
  <si>
    <t>S ®Ønh bÖ</t>
  </si>
  <si>
    <t>ChiÒu dµi hè mãng tù nhiªn</t>
  </si>
  <si>
    <t>chiÒu réng hè mãng tù nhiªn</t>
  </si>
  <si>
    <t>S tù nhiªn</t>
  </si>
  <si>
    <t>H chiÒu s©u khoan ®Êt (c¸c lo¹i ®Êt dc tÝnh trung)</t>
  </si>
  <si>
    <t>H chiÒu s©u khoan c¸t lÉn sái</t>
  </si>
  <si>
    <t>H chiÒu s©u khoan ®¸ cÊp III</t>
  </si>
  <si>
    <t>CHiÒu dµi cäc v¸n thep, cäc ®Þnh vÞ</t>
  </si>
  <si>
    <t>Sè cäc v¸n thÐp</t>
  </si>
  <si>
    <t>chiÒu dµi ®ãng cäc v¸n thÐp ngµm trong ®Êt</t>
  </si>
  <si>
    <t xml:space="preserve"> Sè cäc ®Þnh vÞ 2I400</t>
  </si>
  <si>
    <t>chiÒu dµi ®ãng cäc ®Þnh vÞ ngµm trong ®Êt</t>
  </si>
  <si>
    <t>ChiÒu dµi èng v¸ch</t>
  </si>
  <si>
    <t>chiÒu dµi h¹ èng v¸ch</t>
  </si>
  <si>
    <t>b¶ng tæng hîp khèi l­îng thi c«ng trô</t>
  </si>
  <si>
    <t>§¬n vÞ</t>
  </si>
  <si>
    <t>CH£NH =(1)-(2)</t>
  </si>
  <si>
    <t>trô T5 ĐiỀU CHỈNH (1)</t>
  </si>
  <si>
    <t>trô T5 duYỆT (2)</t>
  </si>
  <si>
    <t>Thi c«ng cäc khoan nhåi</t>
  </si>
  <si>
    <t>-</t>
  </si>
  <si>
    <t xml:space="preserve"> Khoan sÐt dÎo vµ c¸t chÆt cäc khoan nhåi D=1.5m</t>
  </si>
  <si>
    <t>èng v¸ch D=1.6m, dµy 10mm, L=25m</t>
  </si>
  <si>
    <t xml:space="preserve">èng v¸ch D=1.6m ®Ó l¹i (KhÊu hao hoµn toµn)
</t>
  </si>
  <si>
    <t>H¹ èng v¸ch trong ®Êt D=1.6m( LngËp ®Êt=8.5m )</t>
  </si>
  <si>
    <t>lÇn/m</t>
  </si>
  <si>
    <t>H¹ èng v¸ch trong n­íc D=1.6m</t>
  </si>
  <si>
    <r>
      <t>Khoan BT kiÓm tra mòi cäc</t>
    </r>
    <r>
      <rPr>
        <sz val="10"/>
        <rFont val=".VnArial"/>
        <family val="2"/>
      </rPr>
      <t/>
    </r>
  </si>
  <si>
    <t>èng v¸ch D=1.6m thu håi</t>
  </si>
  <si>
    <t>Siªu ©m cäc (6 mÆt c¾t/ cäc)</t>
  </si>
  <si>
    <t>§Ëp bªt«ng ®Çu cäc</t>
  </si>
  <si>
    <t>V÷a Bent«nite gi÷ æn ®Þnh lç khoan (thu håi 60%)</t>
  </si>
  <si>
    <t>ThÝ nghiÖm PDA</t>
  </si>
  <si>
    <t>Thi c«ng mãng</t>
  </si>
  <si>
    <t>ThÐp h×nh thïng chôp</t>
  </si>
  <si>
    <t>ThÐp b¶n thïng chôp</t>
  </si>
  <si>
    <t>Gi¸ n©ng h¹ thïng chôp</t>
  </si>
  <si>
    <t>Bé</t>
  </si>
  <si>
    <t>+</t>
  </si>
  <si>
    <t>ThÐp h×nh</t>
  </si>
  <si>
    <t>ThÐp b¶n + thÐp èng nèi dµi ( bao gåm thÐp b¶n liªn kÕt )</t>
  </si>
  <si>
    <t>Thanh thÐp C§C D32, L=9.5m (®ång bé)</t>
  </si>
  <si>
    <t>thanh/T</t>
  </si>
  <si>
    <t>N©ng h¹ thïng chôp</t>
  </si>
  <si>
    <t>lÇn/T</t>
  </si>
  <si>
    <t>DÇm ®ì H500</t>
  </si>
  <si>
    <t>m/T</t>
  </si>
  <si>
    <t>Gi»ng ngang U300</t>
  </si>
  <si>
    <t>T«n ®¸y dµy 10mm (KhÊu hao hoµn toµn)</t>
  </si>
  <si>
    <t>ThÐp b¶n liªn kÕt víi dÇm treo (t¹m tÝnh)</t>
  </si>
  <si>
    <t>ThÐp h×nh sµn ®¸y I200</t>
  </si>
  <si>
    <t>Bª t«ng bÞt ®¸y 20MPa</t>
  </si>
  <si>
    <t>ThÐp h×nh v¨ng chèng  L75x75x6,L=1m, a=1.5m</t>
  </si>
  <si>
    <t>NÑp ®øng [ ] 100, L=3.5m</t>
  </si>
  <si>
    <t>B¬m n­íc hè mãng</t>
  </si>
  <si>
    <t>Gç ®Öm</t>
  </si>
  <si>
    <t>L¾p dùng+th¸o dì hÖ khung chèng H400 (02 tÇng )</t>
  </si>
  <si>
    <t>L¾p dùng+th¸o dì khung ®øng I300, L=8.6  (a=3.75m )</t>
  </si>
  <si>
    <t>Liªn kÕt c¸c tÇng khung chèng (t¹m tÝnh)</t>
  </si>
  <si>
    <t>HÖ sµn ®Þnh vÞ thi c«ng cäc khoan nhåi</t>
  </si>
  <si>
    <t>ThÐp h×nh H300, L=4.8m, L=21m(27m) , (LC2.5 lÇn)</t>
  </si>
  <si>
    <t>ThÐp h×nh liªn kÕt C200, L=21m (27m), L=3.9m, L=4.2m</t>
  </si>
  <si>
    <t>ThÐp h×nh liªn kÕt C100, L=21m (27m), L=0.9m</t>
  </si>
  <si>
    <t>Cäc ®Þnh vÞ 2H350, L=25m(LC 2.5 lÇn)</t>
  </si>
  <si>
    <t>cäc/m/T</t>
  </si>
  <si>
    <t>§ãng vµ nhæ cäc ®Þnh vÞ H350 ngµm trong ®Êt</t>
  </si>
  <si>
    <t>Gç sµn c«ng t¸c (LC 8 lÇn)</t>
  </si>
  <si>
    <t>Thi c«ng th©n</t>
  </si>
  <si>
    <t>L¾p dùng+th¸o dì ®µ gi¸o thÐp h×nh I200, L=5.5m, L=9.5m</t>
  </si>
  <si>
    <t>L¾p dùng+th¸o dì ®µ gi¸o thÐp h×nh [ ] 300, L=10m</t>
  </si>
  <si>
    <t>ThÐp h×nh v¨ng chèng  I200, L=0.5m</t>
  </si>
  <si>
    <t>NÑp ®øng ][ 100, L=10m</t>
  </si>
  <si>
    <t>B¶n chê, thÐp b¶n phôc vô thi c«ng</t>
  </si>
  <si>
    <t>Lan can ®Þnh h×nh</t>
  </si>
  <si>
    <t>ThÐp trßn xuyªn t¸o D16, L=3m, L=8.5m (KhÊu hao hoµn toµn)</t>
  </si>
  <si>
    <t xml:space="preserve">Gç phôc vô thi c«ng  </t>
  </si>
  <si>
    <t>CKN T5'!A1</t>
  </si>
  <si>
    <t>T4</t>
  </si>
  <si>
    <t>T7</t>
  </si>
  <si>
    <t>Cao ®é san ñi</t>
  </si>
  <si>
    <t>Cao ®é gÆp c¸t chÆt, sÐt dÎo cøng</t>
  </si>
  <si>
    <t>chiÒu dµi san ñi</t>
  </si>
  <si>
    <t>ChiÒu réng san ñi</t>
  </si>
  <si>
    <t>S san ñi</t>
  </si>
  <si>
    <t>trô T4</t>
  </si>
  <si>
    <t>trô T7</t>
  </si>
  <si>
    <t>§¾p ®Êt t¹o mÆt b»ng thi c«ng</t>
  </si>
  <si>
    <t xml:space="preserve"> Khoan  sÐt dÎo vµ c¸t chÆt cäc khoan nhåi D=1.5m</t>
  </si>
  <si>
    <t xml:space="preserve"> Khoan c¸t sái cäc khoan nhåi D=1.5m</t>
  </si>
  <si>
    <t>èng v¸ch D=1.6m, dµy 10mm, L=10m
(tÝnh 1 èng vµ lu©n chuyÓn 6 lÇn)</t>
  </si>
  <si>
    <t>H¹/nhæ èng v¸ch t¹m D=1.6m, L=10m</t>
  </si>
  <si>
    <t xml:space="preserve">§µo ®Êt cÊp II </t>
  </si>
  <si>
    <t>§¾p bï hè mãng K95</t>
  </si>
  <si>
    <t>Bª t«ng ®Öm mãng  20MPa</t>
  </si>
  <si>
    <t>Cäc v¸n thÐp Lasen IV,L=6m</t>
  </si>
  <si>
    <t>§ãng vµ nhæ cäc v¸n thÐp ngµm trong ®Êt(Lđãng/nhæ =5.7m )</t>
  </si>
  <si>
    <t>Cäc ®Þnh vÞ 2I300, L=6m</t>
  </si>
  <si>
    <t>§ãng vµ nhæ cäc ®Þnh vÞ 2I300 ngµm trong ®Êt(Lđãng/nhæ =5.7m)</t>
  </si>
  <si>
    <t>ThÐp h×nh v¨ng chèng  L75x75x6</t>
  </si>
  <si>
    <t>NÑp ®øng [ ] 100</t>
  </si>
  <si>
    <t xml:space="preserve">Gç ®Öm </t>
  </si>
  <si>
    <t>Thi c«ng th©n, xµ mò</t>
  </si>
  <si>
    <t>L¾p dùng+th¸o dì ®µ gi¸o thÐp h×nh I200, L=4m, L=7.5m</t>
  </si>
  <si>
    <t xml:space="preserve">L¾p dùng+th¸o dì ®µ gi¸o thÐp h×nh [ ] 300, L=7.5m (L=9m) </t>
  </si>
  <si>
    <t xml:space="preserve">ThÐp h×nh v¨ng chèng  I200, L=0.5m </t>
  </si>
  <si>
    <t>NÑp ®øng ][ 100, L=7.5m (L=9m)</t>
  </si>
  <si>
    <t xml:space="preserve">ThÐp h×nh ®µ gi¸o xµ mò </t>
  </si>
  <si>
    <t xml:space="preserve">B¶n chê, thÐp b¶n phôc vô thi c«ng </t>
  </si>
  <si>
    <t>ThÐp trßn xuyªn t¸o D16, L=3m, L=7m (KH hoµn toµn)</t>
  </si>
  <si>
    <t xml:space="preserve">Gç phôc vô thi c«ng </t>
  </si>
  <si>
    <t>TC T4'!A1</t>
  </si>
  <si>
    <t>T1</t>
  </si>
  <si>
    <t>T2</t>
  </si>
  <si>
    <t>T3</t>
  </si>
  <si>
    <t>Trô T11(H=11.53m)</t>
  </si>
  <si>
    <t>sè l­îng</t>
  </si>
  <si>
    <t>träng l­îng</t>
  </si>
  <si>
    <t>Cao ®é mÆt ®Êt sau san ñi (C§)</t>
  </si>
  <si>
    <t>Cao ®é mÆt ®Êt thiªn nhiªn (C§)</t>
  </si>
  <si>
    <t>Cao ®é ®Ønh bÖ (C§1)</t>
  </si>
  <si>
    <t>Cao ®é ®¸y bÖ (C§2)</t>
  </si>
  <si>
    <t>ChiÒu réng bÖ mãng (Ab)</t>
  </si>
  <si>
    <t>ChiÒu dµi bÖ mãng (Bb)</t>
  </si>
  <si>
    <t xml:space="preserve"> ChiÒu cao bÖ mãng (Hb)</t>
  </si>
  <si>
    <t>ChiÒu dµi dù kiÕn cäc khoan nhåi (L)</t>
  </si>
  <si>
    <t>Cao ®é mòi cäc khoan nhåi (C§3)</t>
  </si>
  <si>
    <t>Sè cäc khoan nhåi D=1.2m</t>
  </si>
  <si>
    <t>Cao ®é mòi khoan gÆp cuéi sái</t>
  </si>
  <si>
    <t>Cao ®é mòi khoan gÆp ®¸ cÊp IV</t>
  </si>
  <si>
    <t>Cao ®é mòi khoan gÆp ®¸ cÊp III</t>
  </si>
  <si>
    <t>ChiÒu cao ®µo ®Êt trung b×nh (Htb)</t>
  </si>
  <si>
    <t>ChiÒu dµy líp bª t«ng bÞt ®¸y</t>
  </si>
  <si>
    <t>ChiÒu réng hè mãng (Ah)</t>
  </si>
  <si>
    <t>ChiÒu dµi hè mãng (Bh)</t>
  </si>
  <si>
    <t>DiÖn tich hè mãng (S®)</t>
  </si>
  <si>
    <t>ChiÒu réng hè mãng ®Ønh bÖ</t>
  </si>
  <si>
    <t>ChiÒu réng hè mãng tù nhiªn</t>
  </si>
  <si>
    <t>chiÒu dµi hè mãng tù nhiªn</t>
  </si>
  <si>
    <t>chiÒu réng san ñi</t>
  </si>
  <si>
    <t>Sbt</t>
  </si>
  <si>
    <t>ChiÒu réng líp bª t«ng ®Öm (Abt)</t>
  </si>
  <si>
    <t>ChiÒu dµi líp bª t«ng ®Öm (Bbt)</t>
  </si>
  <si>
    <t>ChiÒu dµy líp bª t«ng ®Öm (Hbt)</t>
  </si>
  <si>
    <t>ThÓ tÝch líp bª t«ng ®Öm (Sbt)</t>
  </si>
  <si>
    <t xml:space="preserve"> ChiÒu dµi khoan ®Êt (H®)</t>
  </si>
  <si>
    <t xml:space="preserve"> ChiÒu s©u khoan cuéi sái (Hcs)</t>
  </si>
  <si>
    <t xml:space="preserve"> ChiÒu s©u khoan ®¸ cÊp IV</t>
  </si>
  <si>
    <t xml:space="preserve"> ChiÒu s©u khoan ®¸ cÊp III</t>
  </si>
  <si>
    <t>DiÖn tÝch ®· san ñi t¹o mÆt b»ng</t>
  </si>
  <si>
    <t>DiÖn tÝch ®Ønh bÖ</t>
  </si>
  <si>
    <t xml:space="preserve"> DiÖn tich R·nh tho¸t n­íc (Sr)</t>
  </si>
  <si>
    <t xml:space="preserve"> ChiÒu dµi R·nh tho¸t n­íc </t>
  </si>
  <si>
    <t>chiÒu dµi cäc v¸n thÐp, cäc ®Þnh vÞ</t>
  </si>
  <si>
    <t>s</t>
  </si>
  <si>
    <t>chiÒu dµi ®ãng cäc v¸n thÐp (LS-IV)</t>
  </si>
  <si>
    <t>Träng l­îng riªng cäc v¸n thÐp (LS-IV)</t>
  </si>
  <si>
    <t>T/m</t>
  </si>
  <si>
    <t>ChiÒu dµy cäc v¸n thÐp</t>
  </si>
  <si>
    <t xml:space="preserve"> Sè cäc ®Þnh vÞ (2I300)</t>
  </si>
  <si>
    <t>chiÒu dµi ®ãng cäc ®Þnh vÞ</t>
  </si>
  <si>
    <t>Träng l­îng riªng cäc ®Þnh vÞ(2I300)</t>
  </si>
  <si>
    <t xml:space="preserve">chiÒu dµi nÑp ngang </t>
  </si>
  <si>
    <t xml:space="preserve">Träng l­îng riªng nÑp ngang(2I300) </t>
  </si>
  <si>
    <t>chiÒu dµi thanh chèng (2I300)</t>
  </si>
  <si>
    <t>Träng l­îng riªng thanh chèng</t>
  </si>
  <si>
    <t>b¶ng tæng hîp khèi l­îng thi c«ng Trô</t>
  </si>
  <si>
    <t>L ®æ th¶I ®Çu vµ cuèi cÇu</t>
  </si>
  <si>
    <t>stt</t>
  </si>
  <si>
    <t>Trô T1</t>
  </si>
  <si>
    <t>Trô T2</t>
  </si>
  <si>
    <t>Trô T3</t>
  </si>
  <si>
    <t xml:space="preserve">§¾p ®Êt t¹o mÆt b»ng </t>
  </si>
  <si>
    <t>Thi c«ng cäc:</t>
  </si>
  <si>
    <r>
      <t>è</t>
    </r>
    <r>
      <rPr>
        <sz val="10"/>
        <rFont val=".VnArial"/>
        <family val="2"/>
      </rPr>
      <t>ng v¸ch D=1.3m, dµy 10mm, L=8m
(tÝnh 1 èng vµ lu©n chuyÓn)</t>
    </r>
  </si>
  <si>
    <t>èng/T</t>
  </si>
  <si>
    <t xml:space="preserve">H¹+nhæ èng v¸ch t¹m L=8m </t>
  </si>
  <si>
    <t>Khoan ®Êt cäc khoan nhåi D=1.2m</t>
  </si>
  <si>
    <t>Thanh th¶i ®Êt mïn khoan cäc khoan nhåi</t>
  </si>
  <si>
    <t>Khoan ®¸ cäc khoan nhåi D=1.2m</t>
  </si>
  <si>
    <t>Siªu ©m cäc D=1.2m (4 mÆt c¾t/ cäc)</t>
  </si>
  <si>
    <t>§Ëp bª t«ng ®Çu cäc</t>
  </si>
  <si>
    <t xml:space="preserve">V÷a Bent«nite gi÷ æn ®Þnh lç khoan </t>
  </si>
  <si>
    <t>Thi c«ng mãng:</t>
  </si>
  <si>
    <t>§µo ®Êt hè mãng</t>
  </si>
  <si>
    <t>§¾p tr¶ hè mãng ®Êt ®Çm chÆt K95</t>
  </si>
  <si>
    <t>Cäc v¸n thÐp Lasen IV,L=10m</t>
  </si>
  <si>
    <t>§ãng vµ nhæ cäc v¸n thÐp (Ltb=9.0m)</t>
  </si>
  <si>
    <t>Cäc ®Þnh vÞ 2I300, L=10m</t>
  </si>
  <si>
    <t>§ãng vµ nhæ cäc ®Þnh vÞ 2I300 (Ltb =9.0m)</t>
  </si>
  <si>
    <t>L¾p dùng nÑp ngang, thanh chèng 2I300</t>
  </si>
  <si>
    <t>Bª t«ng bÞt ®¸y 20Mpa</t>
  </si>
  <si>
    <t>ThÐp h×nh khung chèng v¸n khu«n</t>
  </si>
  <si>
    <t>TÊm BTXM 15MPa -KT (0.5x1.5x0.15)</t>
  </si>
  <si>
    <t>tÊm</t>
  </si>
  <si>
    <t>Thi c«ng th©n, xµ mò:</t>
  </si>
  <si>
    <t>§µ gi¸o</t>
  </si>
  <si>
    <t>Gç ®Öm, sµn c«ng t¸c</t>
  </si>
  <si>
    <t>Thanh th¶i ®Êt</t>
  </si>
  <si>
    <t>C«ng t¸c khoan  tao lç</t>
  </si>
  <si>
    <t>- §Êt &gt; khoan ®Êt</t>
  </si>
  <si>
    <t>- §¸ phong ho¸ m¹ng, RQD&lt;50(3a, 5a,5b) -&gt; ®¸ cÊp IV</t>
  </si>
  <si>
    <t>- §¸ RQD&gt;50(3b,5c,6) -&gt; ®¸ cÊp IV</t>
  </si>
  <si>
    <t>TC T1-T3'!A1</t>
  </si>
  <si>
    <t>TC T1-T3'!Print_Area</t>
  </si>
  <si>
    <t>M0</t>
  </si>
  <si>
    <t>M12</t>
  </si>
  <si>
    <t>Cao ®é mÆt ®Êt thiªn nhiªn sau san ñi (C§)</t>
  </si>
  <si>
    <t>b¶ng tæng hîp khèi l­îng thi c«ng mè</t>
  </si>
  <si>
    <t>Mè M0</t>
  </si>
  <si>
    <t>Mè M12</t>
  </si>
  <si>
    <t xml:space="preserve">§µo ®Êt t¹o mÆt b»ng </t>
  </si>
  <si>
    <r>
      <t>è</t>
    </r>
    <r>
      <rPr>
        <sz val="10"/>
        <rFont val=".VnArial"/>
        <family val="2"/>
      </rPr>
      <t>ng v¸ch D=1.3m, dµy 10mm, L=8m
(tÝnh 1 èng vµ lu©n chuyÓn 10 lÇn)</t>
    </r>
  </si>
  <si>
    <t>Thi c«ng t­êng th©n, t­êng c¸nh:</t>
  </si>
  <si>
    <t>§µ gi¸o (Lu©n chuyÓn 2 lÇn)</t>
  </si>
  <si>
    <t>TC mo M0'!A1</t>
  </si>
  <si>
    <t>II</t>
  </si>
  <si>
    <t>Neo 9tao 15,2mm</t>
  </si>
  <si>
    <t>Keo Epoxy</t>
  </si>
  <si>
    <t>khe</t>
  </si>
  <si>
    <t>phiến</t>
  </si>
  <si>
    <t>dầm</t>
  </si>
  <si>
    <t>Kết cấu phần trên nhịp dầm dẫn I35m</t>
  </si>
  <si>
    <t>Dầm I L=35m</t>
  </si>
  <si>
    <t>Dầm giữa loại 1</t>
  </si>
  <si>
    <t>Cáp DƯL tao D15,2mm</t>
  </si>
  <si>
    <t>ống gen D80/87</t>
  </si>
  <si>
    <t>Thép tròn D10-CB240-T</t>
  </si>
  <si>
    <t>Thép tròn D12-CB400-V</t>
  </si>
  <si>
    <t>Thép tròn D14-CB400-V</t>
  </si>
  <si>
    <t>Thép tròn D16-CB400-V</t>
  </si>
  <si>
    <t>Thép tròn D22-CB400-V</t>
  </si>
  <si>
    <t>Bê tông 40Mpa</t>
  </si>
  <si>
    <t>Vữa ximăng 40Mpa phụt ống ghen</t>
  </si>
  <si>
    <t>Dầm biên loại 1</t>
  </si>
  <si>
    <t>Dầm giữa loại 2</t>
  </si>
  <si>
    <t>Dầm biên loại 2</t>
  </si>
  <si>
    <t>Bản thép đệm đáy dầm</t>
  </si>
  <si>
    <t>Gối cầu (gối cao su cốt bản thép nhập ngoại)</t>
  </si>
  <si>
    <t>Gối cao su 350x450x99mm</t>
  </si>
  <si>
    <t>Gối cao su 350x450x101mm</t>
  </si>
  <si>
    <t>Dầm ngang</t>
  </si>
  <si>
    <t>Thép tròn D8-CB240-T</t>
  </si>
  <si>
    <t>Bản ván khuôn</t>
  </si>
  <si>
    <t>Bê tông 25Mpa</t>
  </si>
  <si>
    <t>Mặt cầu</t>
  </si>
  <si>
    <t>Bản mặt cầu</t>
  </si>
  <si>
    <t>Thép tròn D18-CB400-V</t>
  </si>
  <si>
    <t>ống PVC D110/103.6</t>
  </si>
  <si>
    <t>Liên tục nhiệt</t>
  </si>
  <si>
    <t>bản</t>
  </si>
  <si>
    <t>Thép tròn D20-CB400-V</t>
  </si>
  <si>
    <t>Thép tròn D25-CB400-V</t>
  </si>
  <si>
    <t>Lớp đệm đàn hồi dày 5mm</t>
  </si>
  <si>
    <t>Lớp phủ mặt cầu (nhịp dẫn)</t>
  </si>
  <si>
    <t>Bê tông nhựa Polyme dày 7cm</t>
  </si>
  <si>
    <t>Tưới lớp dính bám mặt đường, lượng nhựa 0,5kg/m2</t>
  </si>
  <si>
    <t>Lớp phòng nước dạng phun (báo giá vật liệu bao gồm cả thi công)</t>
  </si>
  <si>
    <t>Khe co giãn thép răng lược</t>
  </si>
  <si>
    <t>Tấm cao su sợi thép dày 5mm</t>
  </si>
  <si>
    <t>Lắp đặt khe co giãn răng lược</t>
  </si>
  <si>
    <t>Vữa không co ngót Sikagrout</t>
  </si>
  <si>
    <t>Cốt liệu trộn vữa không co ngót</t>
  </si>
  <si>
    <t>I</t>
  </si>
  <si>
    <t>Bu long M10x50</t>
  </si>
  <si>
    <t>III</t>
  </si>
  <si>
    <t>IV</t>
  </si>
  <si>
    <t>VIII</t>
  </si>
  <si>
    <t>Cọc tre D6-:-8cm, L=2.5m, 25cọc/m2</t>
  </si>
  <si>
    <t>IX</t>
  </si>
  <si>
    <t>XVI</t>
  </si>
  <si>
    <t>đốt</t>
  </si>
  <si>
    <t>vị trí</t>
  </si>
  <si>
    <t>chiếc</t>
  </si>
  <si>
    <t>biển</t>
  </si>
  <si>
    <t>Kết cấu phần trên nhịp liên tục</t>
  </si>
  <si>
    <t>Đốt K0 (dưới nước)</t>
  </si>
  <si>
    <t>Khối Ko (BT, CT, VK dưới nước)</t>
  </si>
  <si>
    <t>Côt thép D14; CB400V</t>
  </si>
  <si>
    <t>Côt thép D16; CB400V</t>
  </si>
  <si>
    <t>Côt thép D18; CB400V</t>
  </si>
  <si>
    <t>Côt thép D20; CB400V</t>
  </si>
  <si>
    <t>Côt thép D22; CB400V</t>
  </si>
  <si>
    <t>Côt thép D25; CB400V</t>
  </si>
  <si>
    <t>Côt thép D28; CB400V</t>
  </si>
  <si>
    <t>Bê tông 40MPa</t>
  </si>
  <si>
    <t>DƯL</t>
  </si>
  <si>
    <t>Thép DƯL f15,2</t>
  </si>
  <si>
    <t>ống gen D90/D97</t>
  </si>
  <si>
    <t>ống gen nối D100/D107</t>
  </si>
  <si>
    <t>ống thoát khí</t>
  </si>
  <si>
    <t>Neo cáp DƯL 12tao 15,2mm</t>
  </si>
  <si>
    <t>Vữa XM 45Mpa</t>
  </si>
  <si>
    <t>Đốt K1 (dưới nước)</t>
  </si>
  <si>
    <t>Khối K1 (BT, CT, VK dưới nước)</t>
  </si>
  <si>
    <t>Đốt K1' (dưới nước)</t>
  </si>
  <si>
    <t>Khối K1' (BT, CT, VK dưới nước)</t>
  </si>
  <si>
    <t>Đốt K2 (dưới nước)</t>
  </si>
  <si>
    <t>Khối K2 (BT, CT, VK dưới nước)</t>
  </si>
  <si>
    <t>ụ neo</t>
  </si>
  <si>
    <t>Đốt K2' (dưới nước)</t>
  </si>
  <si>
    <t>Khối K2' (BT, CT, VK dưới nước)</t>
  </si>
  <si>
    <t>Đốt K3 (dưới nước)</t>
  </si>
  <si>
    <t>Khối K3 (BT, CT, VK dưới nước)</t>
  </si>
  <si>
    <t>Đốt K3' (dưới nước)</t>
  </si>
  <si>
    <t>Khối K3' (BT, CT, VK dưới nước)</t>
  </si>
  <si>
    <t>Đốt K4 (dưới nước)</t>
  </si>
  <si>
    <t>Khối K4 (BT, CT, VK dưới nước)</t>
  </si>
  <si>
    <t>Đốt K4' (dưới nước)</t>
  </si>
  <si>
    <t>Khối K4' (BT, CT, VK dưới nước)</t>
  </si>
  <si>
    <t>Đốt K5 (dưới nước)</t>
  </si>
  <si>
    <t>Khối K5 (BT, CT, VK dưới nước)</t>
  </si>
  <si>
    <t>Đốt K5' (dưới nước)</t>
  </si>
  <si>
    <t>Khối K5' (BT, CT, VK dưới nước)</t>
  </si>
  <si>
    <t>Đốt K6 (dưới nước)</t>
  </si>
  <si>
    <t>Khối K6 (BT, CT, VK dưới nước)</t>
  </si>
  <si>
    <t>Đốt K6' (dưới nước)</t>
  </si>
  <si>
    <t>Khối K6' (BT, CT, VK dưới nước)</t>
  </si>
  <si>
    <t>Đốt K7 (dưới nước)</t>
  </si>
  <si>
    <t>Khối K7 (BT, CT, VK dưới nước)</t>
  </si>
  <si>
    <t>Đốt K7' (dưới nước)</t>
  </si>
  <si>
    <t>Khối K7' (BT, CT, VK dưới nước)</t>
  </si>
  <si>
    <t>Đốt K8 (dưới nước)</t>
  </si>
  <si>
    <t>Khối K8 (BT, CT, VK dưới nước)</t>
  </si>
  <si>
    <t>Đốt K8' (dưới nước)</t>
  </si>
  <si>
    <t>Khối K8' (BT, CT, VK dưới nước)</t>
  </si>
  <si>
    <t>Đốt K9 (dưới nước)</t>
  </si>
  <si>
    <t>Khối K9 (BT, CT, VK dưới nước)</t>
  </si>
  <si>
    <t>Ván khuôn ụ neo dưới nước</t>
  </si>
  <si>
    <t>Đốt K9' (dưới nước)</t>
  </si>
  <si>
    <t>Khối K9' (BT, CT, VK dưới nước)</t>
  </si>
  <si>
    <t>Đốt K10 (dưới nước)</t>
  </si>
  <si>
    <t>Khối K10 (BT, CT, VK dưới nước)</t>
  </si>
  <si>
    <t>Đốt K10' (dưới nước)</t>
  </si>
  <si>
    <t>Khối K10' (BT, CT, VK dưới nước)</t>
  </si>
  <si>
    <t>Đốt K11 (dưới nước)</t>
  </si>
  <si>
    <t>Khối K11 (BT, CT, VK dưới nước)</t>
  </si>
  <si>
    <t>Đốt K11' (dưới nước)</t>
  </si>
  <si>
    <t>Khối K11' (BT, CT, VK dưới nước)</t>
  </si>
  <si>
    <t>Đốt K12-Hợp long nhịp giữa (dưới nước)</t>
  </si>
  <si>
    <t>Khối K12 (BT, CT, VK dưới nước)</t>
  </si>
  <si>
    <t>Ván khuôn (tính trong phần thi công)</t>
  </si>
  <si>
    <t>Đốt K12' - Hợp long nhịp biên (trên cạn)</t>
  </si>
  <si>
    <t>Khối K12' (BT, CT, VK trên cạn)</t>
  </si>
  <si>
    <t>Khối K13 Trên đà giáo (trên cạn)</t>
  </si>
  <si>
    <t>Gối cầu - Gối chậu</t>
  </si>
  <si>
    <t>Lắp đặt gối cầu thép di động 1 phương loại 1 tải trọng 8000KN</t>
  </si>
  <si>
    <t>Lắp đặt gối cầu thép di động 2 phương loại 2 tải trọng 8000KN</t>
  </si>
  <si>
    <t>Lớp phủ mặt cầu (Nhịp liên tục)</t>
  </si>
  <si>
    <t>Bê tông nhựa chặt dày 7cm</t>
  </si>
  <si>
    <t>Gờ lan can tay vị lan can</t>
  </si>
  <si>
    <t>Gờ lan can</t>
  </si>
  <si>
    <t>ống PVC D100</t>
  </si>
  <si>
    <t>Bệ đỡ cột đèn chiếu sáng</t>
  </si>
  <si>
    <t>Tay vịn lan can</t>
  </si>
  <si>
    <t>ống tay vịn D110xT6</t>
  </si>
  <si>
    <t>ống tay vịn D95xT5</t>
  </si>
  <si>
    <t>Cột lan can</t>
  </si>
  <si>
    <t>ống liên kết D96, L=250mm</t>
  </si>
  <si>
    <t>ống liên kết D83, L=250mm</t>
  </si>
  <si>
    <t>Bu lông M16x150</t>
  </si>
  <si>
    <t>Bu lông U-M22x650</t>
  </si>
  <si>
    <t>Nắp đậy ống D110</t>
  </si>
  <si>
    <t>Nắp đậy ống D95</t>
  </si>
  <si>
    <t>Thoát nước</t>
  </si>
  <si>
    <t>LĐ ống gang D150/D162 thoát nước mặt cầu</t>
  </si>
  <si>
    <t>LĐ ống PVC D214/D225</t>
  </si>
  <si>
    <t>LĐ ống PVC D150/D160</t>
  </si>
  <si>
    <t>SX thép bản định vị ống nước</t>
  </si>
  <si>
    <t>Lắp đặt cút nối chữ T</t>
  </si>
  <si>
    <t>Lắp đặt cút nối chữ C</t>
  </si>
  <si>
    <t>Lắp đặt tấm chắn rác</t>
  </si>
  <si>
    <t>Kết cấu khác</t>
  </si>
  <si>
    <t>Tín hiệu giao thông thuỷ</t>
  </si>
  <si>
    <t>Vị trí 1</t>
  </si>
  <si>
    <t>Sàn công tác 1</t>
  </si>
  <si>
    <t>Thép hình L50x50x5</t>
  </si>
  <si>
    <t>Thép vuông 12x12</t>
  </si>
  <si>
    <t>Lồng đèn</t>
  </si>
  <si>
    <t>Thép tấm 5mm</t>
  </si>
  <si>
    <t>Biển báo hiệu đuờng sông C-1-1.1.3+C-1-1.1.4</t>
  </si>
  <si>
    <t>Thép tấm 3mm</t>
  </si>
  <si>
    <t>Vị trí 2</t>
  </si>
  <si>
    <t>Sàn công tác 2</t>
  </si>
  <si>
    <t>Biển báo hiệu đuờng sông C-5.1+B-5.2</t>
  </si>
  <si>
    <t>Cột thuỷ trí ngược</t>
  </si>
  <si>
    <t>cột</t>
  </si>
  <si>
    <t>Cột thủy trí ngược</t>
  </si>
  <si>
    <t>Kết cấu phần dưới</t>
  </si>
  <si>
    <t>Bê tông 35Mpa</t>
  </si>
  <si>
    <t>Cốt thép thanh cường độ cao</t>
  </si>
  <si>
    <t>Lắp đặt neo cáp DƯL 12T-15.2mm</t>
  </si>
  <si>
    <t>ống thép D100/104</t>
  </si>
  <si>
    <t>Bơm vữa Sika không co ngót đầu neo</t>
  </si>
  <si>
    <t>Thanh neo CĐC điều chỉnh</t>
  </si>
  <si>
    <t>Cáp DƯL tao D15,2mm (giá cáp 12,7= giá cáp 15,2)</t>
  </si>
  <si>
    <t>Cóc nối D32+D20 L=350mm</t>
  </si>
  <si>
    <t>Thi công nhịp dầm liên tục</t>
  </si>
  <si>
    <t>Thi công khối K0 (dưới nước)</t>
  </si>
  <si>
    <t>Hệ đà giáo khối K0 (dưới nước)</t>
  </si>
  <si>
    <t>Thép hình thi công khối K0</t>
  </si>
  <si>
    <t>Thép hình I450 (KH 2%*0,5+7%)</t>
  </si>
  <si>
    <t>Thép hình 2I200</t>
  </si>
  <si>
    <t>Thép hình 2C100</t>
  </si>
  <si>
    <t>Thanh thép CĐC D32, L=4.5m (đồng bộ)</t>
  </si>
  <si>
    <t>Thép liên kết, đà giáo định hình</t>
  </si>
  <si>
    <t>Sản xuất thép liên kết, đà giáo định hình (KH 2%*2,5+7%)</t>
  </si>
  <si>
    <t>Tháo dỡ kết cấu thép thi công duới nước</t>
  </si>
  <si>
    <t>Gỗ phục vụ thi công (1/24)</t>
  </si>
  <si>
    <t>Đối trọng thử tải hệ đà giáo</t>
  </si>
  <si>
    <t>Thi công khối đúc trên đà giáo</t>
  </si>
  <si>
    <t>LD, TD rọ đá KT(2x1x1,5)m trên cạn</t>
  </si>
  <si>
    <t>Đắp đất tạo mặt bằng K=0,90 (tận dụng đất đào)</t>
  </si>
  <si>
    <t>Đá dăm đệm đầm chặt</t>
  </si>
  <si>
    <t>Tấm bản BTXM (2x1.5x0.2)m (KH 20%)</t>
  </si>
  <si>
    <t>Đà giáo thép, tấm sàn công tác</t>
  </si>
  <si>
    <t>Sản xuất thép đà giáo (KH 2%*2,5+7%)</t>
  </si>
  <si>
    <t>KL điều chỉnh  theo BB ngày 9/9/2016</t>
  </si>
  <si>
    <t>Hệ đà giáo trong (Cột chống, giằng chéo, giằng ngang)</t>
  </si>
  <si>
    <t>Hệ đà giáo ngoài (Cột chống, giằng chéo, giằng ngang)</t>
  </si>
  <si>
    <t>Hệ đà giáo dưới (toàn bộ)</t>
  </si>
  <si>
    <t>Thép hình H200 (KH 2%*2,5+7%)</t>
  </si>
  <si>
    <t>Thép hình H300 (KH 2%*2,5+7%)</t>
  </si>
  <si>
    <t>Thép hình H350 (KH 2%*2,5+7%)</t>
  </si>
  <si>
    <t>Thép hình khác (KH 2%*2,5+7%)</t>
  </si>
  <si>
    <t>Cọc khoan nhồi D=1,2m trên cạn</t>
  </si>
  <si>
    <t>Khoan sét dẻo cát chặt ( 30m đầu)</t>
  </si>
  <si>
    <t>Khoan sét dẻo cát chặt ( m thứ 31)</t>
  </si>
  <si>
    <t>SX ống vách thép ( KH 1,17%*2)</t>
  </si>
  <si>
    <t>Thi công Đốt hợp long biên (trên cạn)</t>
  </si>
  <si>
    <t>Sản xuất thép thi công đốt hợp long (KH 2%*1th+7%)</t>
  </si>
  <si>
    <t>Lắp dựng kết cấu trên cạn</t>
  </si>
  <si>
    <t>Tháo dỡ kết cấu thép trên cạn (60% ĐM)</t>
  </si>
  <si>
    <t>Thanh thép CĐC D38</t>
  </si>
  <si>
    <t>Chi tiết phục vụ thi công hợp long (ụ bê tông)</t>
  </si>
  <si>
    <t>Bêtông 40Mpa</t>
  </si>
  <si>
    <t>Cốt thép</t>
  </si>
  <si>
    <t>Thu hồi thép sau khi thi công xong (70% KL* 50% giá thép)</t>
  </si>
  <si>
    <t>Thi công dầm dẫn I35 (trên cạn)</t>
  </si>
  <si>
    <t>Phụ trợ thi công</t>
  </si>
  <si>
    <t>Đường lao dầm trên bãi</t>
  </si>
  <si>
    <t>Gỗ chồng nền</t>
  </si>
  <si>
    <t>Di chuyển dầm trên bãi</t>
  </si>
  <si>
    <t>Di chuyển dầm I35</t>
  </si>
  <si>
    <t>Nâng hạ dầm I35</t>
  </si>
  <si>
    <t>Vận chuyển dầm vào bệ gối hoàn chỉnh</t>
  </si>
  <si>
    <t>Vận chuyển dầm và cẩu dầm vào vị trí bằng PP đấu cẩu 80T</t>
  </si>
  <si>
    <t>Chi phí khác</t>
  </si>
  <si>
    <t>THKL-I35.xlsx</t>
  </si>
  <si>
    <t>Đ­êng kÝnh</t>
  </si>
  <si>
    <t>Bª t«ng 30Mpa (m3)</t>
  </si>
  <si>
    <t>Khèi chèng chuyÓn vÞ trªn trô dÉn (tÝnh cho 1 khèi)</t>
  </si>
  <si>
    <t>E2</t>
  </si>
  <si>
    <t>E3</t>
  </si>
  <si>
    <t>E4</t>
  </si>
  <si>
    <t>E5</t>
  </si>
  <si>
    <t>Khèi chèng chuyÓn vÞ trªn trô T4, T7 (phÝa dÇm hép) - TÝnh cho 1 khèi</t>
  </si>
  <si>
    <t>M1</t>
  </si>
  <si>
    <t>M2</t>
  </si>
  <si>
    <t>M3</t>
  </si>
  <si>
    <t>M4</t>
  </si>
  <si>
    <t>M5</t>
  </si>
  <si>
    <t>Chi tiÕt chèt cè ®Þnh (vÞ trÝ dÇm I)</t>
  </si>
  <si>
    <t>Thanh chèt m¹ kÏm D32, L=0.7m</t>
  </si>
  <si>
    <t>èng thÐp m¹ kÏm T1, 154x310x3mm</t>
  </si>
  <si>
    <t>ThÐp b¶n T4, dµy 3mm</t>
  </si>
  <si>
    <t>TÊm cao su dµy 20mm (m2)</t>
  </si>
  <si>
    <t>Bitum chÌn kÝn (m3)</t>
  </si>
  <si>
    <t>Chi tiÕt chèt di ®éng (vÞ trÝ dÇm I)</t>
  </si>
  <si>
    <t>èng thÐp m¹ kÏm T2, 326x310x3mm</t>
  </si>
  <si>
    <t>ThÐp b¶n T5, dµy 3mm</t>
  </si>
  <si>
    <t>Chi tiÕt chèt vÞ trÝ dÇm hép</t>
  </si>
  <si>
    <t>Thanh chèt m¹ kÏm D80, L=1.2m</t>
  </si>
  <si>
    <t>èng thÐp m¹ kÏm T3, 757x485xx3mm</t>
  </si>
  <si>
    <t>ThÐp b¶n T6, dµy 3mm</t>
  </si>
  <si>
    <t>Tæng cho 1 khèi</t>
  </si>
  <si>
    <t>Tæng khèi chèng chuyÓn vÞ cè ®Þnh cña dÇm I (tÝnh cho 1 khèi)</t>
  </si>
  <si>
    <t>ThÐp m¹ kÏm D32</t>
  </si>
  <si>
    <t>TÊm cao su dµy 20mm</t>
  </si>
  <si>
    <t>Tæng khèi chèng chuyÓn vÞ di ®éng cña dÇm I (tÝnh cho 1 khèi)</t>
  </si>
  <si>
    <t>Tæng khèi chèng chuyÓn vÞ cña hép (tÝnh cho 1 khèi)</t>
  </si>
  <si>
    <t>ThÐp m¹ kÏm D80</t>
  </si>
  <si>
    <t>Tæng cho toµn cÇu</t>
  </si>
  <si>
    <t>Tæng khèi chèng chuyÓn vÞ cè ®Þnh cña dÇm I  (toµn cÇu cã 20 khèi)</t>
  </si>
  <si>
    <t>Tæng khèi chèng chuyÓn vÞ di ®éng cña dÇm I (toµn cÇu cã 20 khèi)</t>
  </si>
  <si>
    <t>Tæng khèi chèng chuyÓn vÞ cña hép (toµn cÇu cã 2 khèi)</t>
  </si>
  <si>
    <t>Tªn 
thanh</t>
  </si>
  <si>
    <t>§uêng kÝnh
(mm)</t>
  </si>
  <si>
    <t>Khèi 
l­îng 
®¬n vÞ
(kg/m)</t>
  </si>
  <si>
    <t>Khèi G1</t>
  </si>
  <si>
    <t>Khèi G2</t>
  </si>
  <si>
    <t>Khèi G3</t>
  </si>
  <si>
    <t>Sè l­îng 
thanh
(mm)</t>
  </si>
  <si>
    <t>ChiÒu dµi 1
thanh 
(mm)</t>
  </si>
  <si>
    <t>Tæng
 chiÒu dµi
 (m)</t>
  </si>
  <si>
    <t>Tæng
K.L­îng
(kg)</t>
  </si>
  <si>
    <t>TÝnh1 khèi 
gê lan
 can</t>
  </si>
  <si>
    <t>C2</t>
  </si>
  <si>
    <t>C3</t>
  </si>
  <si>
    <t>C4</t>
  </si>
  <si>
    <t>èng PVC D100 (m):</t>
  </si>
  <si>
    <t>D14-CB400-V (kg):</t>
  </si>
  <si>
    <t>Bªt«ng 30MPa (m3):</t>
  </si>
  <si>
    <t>V¸n khu«n (m2):</t>
  </si>
  <si>
    <t>Ghi chó:</t>
  </si>
  <si>
    <t>Thanh C4 cña khèi G7 ®uîc nèi, chiÒu dµi thanh ®· tÝnh c¶ chiÒu dµi ®o¹n nèi (40d)</t>
  </si>
  <si>
    <t>DiÖn tÝch mÆt c¾t ngang lan can (trõ èng trßn):</t>
  </si>
  <si>
    <t>Chu vi mÆt c¾t ngang ch©n lan can:</t>
  </si>
  <si>
    <t xml:space="preserve">m </t>
  </si>
  <si>
    <t>ChiÒu dµi èng PVC b»ng chiÒu dµi mçi ®¬n nguyªn ch©n lan can</t>
  </si>
  <si>
    <t>Tªn khèi 
gê lan can</t>
  </si>
  <si>
    <t>§Çu cÇu</t>
  </si>
  <si>
    <t>Golancan_Tayvin!A1</t>
  </si>
  <si>
    <t>CÇu c«ng vô phÝa ®I h¶I phßng</t>
  </si>
  <si>
    <t>chiÒu dµi (m)</t>
  </si>
  <si>
    <t>sè l­îng
(thanh)</t>
  </si>
  <si>
    <t>Khèi l­îng 
®¬n vÞ (kg)</t>
  </si>
  <si>
    <t>Tæng KL (T)</t>
  </si>
  <si>
    <t xml:space="preserve"> ThÐp h×nh I360x150x12x24</t>
  </si>
  <si>
    <t>Cäc V¸n thÐp Lasen IV</t>
  </si>
  <si>
    <t>DÇm chñ</t>
  </si>
  <si>
    <t xml:space="preserve"> ThÐp h×nh 2I300x150x10x18.5</t>
  </si>
  <si>
    <t>DÇm ngang</t>
  </si>
  <si>
    <t xml:space="preserve"> ThÐp h×nh C100x50x5x7.5</t>
  </si>
  <si>
    <t>ThÐp h×nh L75x75x7</t>
  </si>
  <si>
    <t>Lan can</t>
  </si>
  <si>
    <t>ThÐp trßn D14</t>
  </si>
  <si>
    <t>ThÐp b¶n 1500x1000x4 ®ôc lç</t>
  </si>
  <si>
    <t>MÆt cÇu</t>
  </si>
  <si>
    <t>ThÐp b¶n 150x150x5</t>
  </si>
  <si>
    <t>b¶n liªn kÕt</t>
  </si>
  <si>
    <t>C¸c lo¹i thÐp liªn kÕt kh¸c (t¹m tÝnh)</t>
  </si>
  <si>
    <t>§ãng/nhæ cäc I360 ngµm trong ®Êt (cäc/m)</t>
  </si>
  <si>
    <t>L®ãng/nhæ=7.5m</t>
  </si>
  <si>
    <t>CÇu c«ng vô phÝa ®I th¸I b×nh</t>
  </si>
  <si>
    <t xml:space="preserve"> ThÐp h×nh I350x150x12x24</t>
  </si>
  <si>
    <t>Lan can ®Þnh h×nh sµn c«ng t¸c</t>
  </si>
  <si>
    <t>H×nh d¹ng</t>
  </si>
  <si>
    <t>ChiÒu dµi
 (mm)</t>
  </si>
  <si>
    <t>Träng l­îng
 ®¬n vÞ(kg/m)</t>
  </si>
  <si>
    <t>Khèi l­îng
 mè nh« ®Çu cÇu(kg)</t>
  </si>
  <si>
    <t>Khèi l­îng
 mè nh« cuèi cÇu(kg)</t>
  </si>
  <si>
    <t>KÕt cÊu phÇn trªn</t>
  </si>
  <si>
    <t>T«n tÊm dµy 6mm, b=3000</t>
  </si>
  <si>
    <t>ThÐp U160</t>
  </si>
  <si>
    <t>ThÐp h×nh I360</t>
  </si>
  <si>
    <t>ThÐp b¶n 10x60x335</t>
  </si>
  <si>
    <t>ThÐp h×nh 2I360</t>
  </si>
  <si>
    <t>ThÐp b¶n 10x250x300</t>
  </si>
  <si>
    <t>ThÐp L75</t>
  </si>
  <si>
    <t>ThÐp b¶n 10x140x350</t>
  </si>
  <si>
    <t>KÕt cÊu phÇn d­íi</t>
  </si>
  <si>
    <t>Mèi nèi s­ên 20x285x500</t>
  </si>
  <si>
    <t>Mèi nèi c¸nh 20x300x500</t>
  </si>
  <si>
    <t>B¶n t¸p 10x300x400</t>
  </si>
  <si>
    <t>B¶n t¸p 10x360x400</t>
  </si>
  <si>
    <t>ThÐp 2U300</t>
  </si>
  <si>
    <t>Cäc 2I360</t>
  </si>
  <si>
    <t>§¸ héc xÕp khan</t>
  </si>
  <si>
    <t>Rä ®¸ 1.5x1x1</t>
  </si>
  <si>
    <t>Tæng
 céng</t>
  </si>
  <si>
    <t>T«n dÇy 6mm</t>
  </si>
  <si>
    <t>Đơn vị</t>
  </si>
  <si>
    <t>Khối l­îng</t>
  </si>
  <si>
    <t>Cuèi cÇu</t>
  </si>
  <si>
    <t>§ãng/ nhæ cäc thÐp h×nh 2I360</t>
  </si>
  <si>
    <t>CÈu l¾p/ th¸o dì hÖ dÇm</t>
  </si>
  <si>
    <t>Hè thÕ</t>
  </si>
  <si>
    <t>hè</t>
  </si>
  <si>
    <t xml:space="preserve">§µo ®Êt hè thÕ </t>
  </si>
  <si>
    <t>Tµ vÑt gç hè thÕ</t>
  </si>
  <si>
    <t>§¸ héc hè thÕ</t>
  </si>
  <si>
    <t>Caucongvu!A1</t>
  </si>
  <si>
    <t>Monho!A1</t>
  </si>
  <si>
    <t>Bª ®óc</t>
  </si>
  <si>
    <t>ThÐp trßn</t>
  </si>
  <si>
    <t>§¸ d¨m</t>
  </si>
  <si>
    <t>§­êng lao dÇm trªn b·I</t>
  </si>
  <si>
    <t>§¸ d¨m dµy 25cm (trªn b·i)</t>
  </si>
  <si>
    <r>
      <t>m</t>
    </r>
    <r>
      <rPr>
        <vertAlign val="superscript"/>
        <sz val="10"/>
        <rFont val=".VnArial"/>
        <family val="2"/>
      </rPr>
      <t>3</t>
    </r>
  </si>
  <si>
    <t xml:space="preserve">Tµ vÑt 20x20x200cm </t>
  </si>
  <si>
    <r>
      <t>thanh/m</t>
    </r>
    <r>
      <rPr>
        <vertAlign val="superscript"/>
        <sz val="10"/>
        <rFont val=".VnArial"/>
        <family val="2"/>
      </rPr>
      <t>3</t>
    </r>
  </si>
  <si>
    <t xml:space="preserve">Ray P43 </t>
  </si>
  <si>
    <t>m/kg</t>
  </si>
  <si>
    <t>§inh Cr¨mp«ng</t>
  </si>
  <si>
    <t>con</t>
  </si>
  <si>
    <t>LËp l¸ch nèi ray</t>
  </si>
  <si>
    <t xml:space="preserve">Hè thÕ </t>
  </si>
  <si>
    <t>§Êt ®µo/®¾p hè thÕ</t>
  </si>
  <si>
    <t xml:space="preserve">§¸ héc xÕp/dì hè thÕ </t>
  </si>
  <si>
    <t xml:space="preserve">Tµ vÑt hè thÕ </t>
  </si>
  <si>
    <t>Gç chång nÒ (§Çu cÇu LC 4 lÇn, cuèi cÇu LC 5 lÇn)</t>
  </si>
  <si>
    <t>CÈu dÇm tõ b·I chøa dÇm ra ®­êng di chuyÓn dÇm</t>
  </si>
  <si>
    <t>dÇm/T</t>
  </si>
  <si>
    <t>Lao kÐo tõ b·I ®óc ra vÞ trÝ nhÞp</t>
  </si>
  <si>
    <t>dÇm/m</t>
  </si>
  <si>
    <t>Sang ngang dÇm vµo gèi (sµng ngang b»ng cÈu)</t>
  </si>
  <si>
    <t>STT 1</t>
  </si>
  <si>
    <t>Thicongnhip!A1</t>
  </si>
  <si>
    <t>Khoichongchuyenvi!A1</t>
  </si>
  <si>
    <t>Phần đầu cầu</t>
  </si>
  <si>
    <t>số lượng chốt cố định</t>
  </si>
  <si>
    <t>Số lượng chốt di động</t>
  </si>
  <si>
    <t>Chốt dầm hộp</t>
  </si>
  <si>
    <t>Tổng</t>
  </si>
  <si>
    <t>Tªn</t>
  </si>
  <si>
    <t>Quy C¸ch</t>
  </si>
  <si>
    <t>§¬n VÞ</t>
  </si>
  <si>
    <t>Sè L­îng</t>
  </si>
  <si>
    <t>Träng l­îng ®¬n vÞ (Kg/m)</t>
  </si>
  <si>
    <t>Khèi l­îng
(Kg)</t>
  </si>
  <si>
    <t>Ghi Chó</t>
  </si>
  <si>
    <t>H×nh D¹ng</t>
  </si>
  <si>
    <t>Réng</t>
  </si>
  <si>
    <t>Dµy</t>
  </si>
  <si>
    <t>Dµi</t>
  </si>
  <si>
    <t>L75x75x9 , L=4400</t>
  </si>
  <si>
    <t>Thanh</t>
  </si>
  <si>
    <t>1'</t>
  </si>
  <si>
    <t>L75x75x9 , L=4000</t>
  </si>
  <si>
    <t>L75x75x9 , L=8200</t>
  </si>
  <si>
    <t>ThÐp trßn D20 , L=600</t>
  </si>
  <si>
    <t>ThÐp trßn D8 , L=3000</t>
  </si>
  <si>
    <t>ThÐp trßn D8 , L=2588</t>
  </si>
  <si>
    <t>[ 100x50x5x7.5 -L=3431</t>
  </si>
  <si>
    <t>[ 100x50x5x7.5 -L=2000</t>
  </si>
  <si>
    <t>[ 100x50x5x7.5 -L=1799</t>
  </si>
  <si>
    <t>[ 100x50x5x7.5 -L=1500</t>
  </si>
  <si>
    <t>L75x75x9 - L=1559</t>
  </si>
  <si>
    <t>L75x75x9 - L=950</t>
  </si>
  <si>
    <t xml:space="preserve">□ 3431x1500 , δ=5 </t>
  </si>
  <si>
    <t>TÊm</t>
  </si>
  <si>
    <t xml:space="preserve">□ 150x45 , δ=10 </t>
  </si>
  <si>
    <t xml:space="preserve">□ 400x400 , δ=15 </t>
  </si>
  <si>
    <t>L75x75x9 - L=1100</t>
  </si>
  <si>
    <t>L75x75x9 - L=3220</t>
  </si>
  <si>
    <t>ThÐp trßn D8 , L=3190</t>
  </si>
  <si>
    <t>L75x75x9 - L=1500</t>
  </si>
  <si>
    <t>ThÐp trßn D8 , L=1390</t>
  </si>
  <si>
    <t xml:space="preserve">□ 400x400 , δ=10 </t>
  </si>
  <si>
    <t>Bu l«ng M20 , L=958</t>
  </si>
  <si>
    <t>ChiÕc</t>
  </si>
  <si>
    <t>21A</t>
  </si>
  <si>
    <t>§ai èc M20 ,TCVN 1905-76</t>
  </si>
  <si>
    <t>21B</t>
  </si>
  <si>
    <t>Vßng ®Öm 20 - TCVN 2061-77</t>
  </si>
  <si>
    <t>L75x75x9 - L=600</t>
  </si>
  <si>
    <t>01 CÇu thang</t>
  </si>
  <si>
    <t>ThÐp h×nh (Kg)  :</t>
  </si>
  <si>
    <t>ThÐp b¶n  (Kg)  :</t>
  </si>
  <si>
    <t>ThÐp trßn D8  (Kg)  :</t>
  </si>
  <si>
    <t>ThÐp trßn D20  (Kg)  :</t>
  </si>
  <si>
    <t>Bu l«ng     (Bé/Kg) :</t>
  </si>
  <si>
    <t>02 CÇu thang</t>
  </si>
  <si>
    <t>ThÐp trßn D20 (Kg)  :</t>
  </si>
  <si>
    <t>Khèi L­îng (KG)</t>
  </si>
  <si>
    <t>[ 75x40x5x7 - L=2100</t>
  </si>
  <si>
    <t>L50x50x6 - L=1080</t>
  </si>
  <si>
    <t>L90x150x9 - L=1080</t>
  </si>
  <si>
    <t>L90x150x9 - L=2100</t>
  </si>
  <si>
    <t xml:space="preserve">□ 1050x1050 , δ=3 </t>
  </si>
  <si>
    <t>L50x50x6 -L=950</t>
  </si>
  <si>
    <t>L50x50x6 -L=1050</t>
  </si>
  <si>
    <t>ThÐp trßn D16 , L=950</t>
  </si>
  <si>
    <t>□ 109x30 , δ=2</t>
  </si>
  <si>
    <t>ThÐp trßn D16 , L=565</t>
  </si>
  <si>
    <t>Ch«n s½n</t>
  </si>
  <si>
    <t>01 cöa thÐp</t>
  </si>
  <si>
    <t>Khèi l­îng thÐp h×nh</t>
  </si>
  <si>
    <t>KG</t>
  </si>
  <si>
    <t>Khèi l­îng thÐp b¶n</t>
  </si>
  <si>
    <t>Khèi l­îng thÐp trßn</t>
  </si>
  <si>
    <t>B¸nh xe thÐp D33 (B¸nh xe ,vßng bi , o trôc)</t>
  </si>
  <si>
    <t>D©y xÝch</t>
  </si>
  <si>
    <t>M/KG</t>
  </si>
  <si>
    <t>1/0.69</t>
  </si>
  <si>
    <t>æ kho¸</t>
  </si>
  <si>
    <t>C¸i</t>
  </si>
  <si>
    <t>VÝt në thÐp M16</t>
  </si>
  <si>
    <t>V÷a t¹o ph¼ng 20Mpa</t>
  </si>
  <si>
    <t>02 cöa thÐp</t>
  </si>
  <si>
    <t>Khèi l­îng thÐp trßn D16</t>
  </si>
  <si>
    <t>2/1.38</t>
  </si>
  <si>
    <t>Thanglendam!A1</t>
  </si>
  <si>
    <t>Quaylai</t>
  </si>
  <si>
    <t>§­êng kÝnh</t>
  </si>
  <si>
    <t>Lo¹i thÐp</t>
  </si>
  <si>
    <t>C.dµi 1 thanh</t>
  </si>
  <si>
    <t>Tæng dµi</t>
  </si>
  <si>
    <t>KL§V</t>
  </si>
  <si>
    <t>BÖ ®ì cét ®Ìn</t>
  </si>
  <si>
    <t>C2a</t>
  </si>
  <si>
    <t>C2b</t>
  </si>
  <si>
    <t>C5</t>
  </si>
  <si>
    <t>Khèi l­îng 1 bÖ ®ì</t>
  </si>
  <si>
    <t>ThÐp</t>
  </si>
  <si>
    <t>((0,5*518*259*363+0,5*311*259*518/3)*2+(52+52+311)*518*363+0,5*311*518*(52+52+311))*10^-9*16</t>
  </si>
  <si>
    <t>b¶ng tæng hîp khèi l­îng</t>
  </si>
  <si>
    <t>C.dµi</t>
  </si>
  <si>
    <t>S. l­îng</t>
  </si>
  <si>
    <t>Tr.l­îng</t>
  </si>
  <si>
    <t>Bª t«ng</t>
  </si>
  <si>
    <t>1 thanh</t>
  </si>
  <si>
    <t>®.v</t>
  </si>
  <si>
    <t>tæng céng</t>
  </si>
  <si>
    <t>30Mpa</t>
  </si>
  <si>
    <t>kg/m</t>
  </si>
  <si>
    <t>V¸n khu«n (m2) :</t>
  </si>
  <si>
    <t>Bª t«ng 30MPa (m3) :</t>
  </si>
  <si>
    <t xml:space="preserve">Khèi l­îng ®Çu  cÇu
</t>
  </si>
  <si>
    <t>Khe co gian - Quy Cao.xls</t>
  </si>
  <si>
    <r>
      <rPr>
        <b/>
        <sz val="13"/>
        <color theme="1"/>
        <rFont val="Times New Roman"/>
        <family val="1"/>
      </rPr>
      <t>Dự án:</t>
    </r>
    <r>
      <rPr>
        <sz val="13"/>
        <color theme="1"/>
        <rFont val="Times New Roman"/>
        <family val="1"/>
      </rPr>
      <t xml:space="preserve"> Đầu tư xây dựng công trình cải tạo, nâng cấp Quốc lộ10, đoạn từ cầu Quán Toan đến cầu Nghìn, thành phố Hải Phòng, theo hình thức hợp đồng BOT.</t>
    </r>
  </si>
  <si>
    <r>
      <rPr>
        <b/>
        <sz val="13"/>
        <color theme="1"/>
        <rFont val="Times New Roman"/>
        <family val="1"/>
      </rPr>
      <t>Gói thầu:</t>
    </r>
    <r>
      <rPr>
        <sz val="13"/>
        <color theme="1"/>
        <rFont val="Times New Roman"/>
        <family val="1"/>
      </rPr>
      <t xml:space="preserve"> Gói thầu số 08 “Thi công xây dựng công trình đoạn từ Km25+500 – Km36+900 và Km38+900 – Km58+200”.</t>
    </r>
  </si>
  <si>
    <r>
      <rPr>
        <b/>
        <sz val="13"/>
        <color theme="1"/>
        <rFont val="Times New Roman"/>
        <family val="1"/>
      </rPr>
      <t>Hợp đồng số:</t>
    </r>
    <r>
      <rPr>
        <sz val="13"/>
        <color theme="1"/>
        <rFont val="Times New Roman"/>
        <family val="1"/>
      </rPr>
      <t xml:space="preserve"> 20/2015/HĐTC-TASCO.HP ngày 18/7/2015.</t>
    </r>
  </si>
  <si>
    <r>
      <rPr>
        <b/>
        <sz val="13"/>
        <color theme="1"/>
        <rFont val="Times New Roman"/>
        <family val="1"/>
      </rPr>
      <t>Phụ lục hợp đồng số:</t>
    </r>
    <r>
      <rPr>
        <sz val="13"/>
        <color theme="1"/>
        <rFont val="Times New Roman"/>
        <family val="1"/>
      </rPr>
      <t xml:space="preserve"> </t>
    </r>
    <r>
      <rPr>
        <i/>
        <sz val="13"/>
        <color theme="1"/>
        <rFont val="Times New Roman"/>
        <family val="1"/>
      </rPr>
      <t>"Ghi rõ số phụ lục, ngày tháng năm giữa CĐT, nhà thầu chính và nhà thầu phụ".</t>
    </r>
  </si>
  <si>
    <r>
      <rPr>
        <b/>
        <sz val="13"/>
        <color theme="1"/>
        <rFont val="Times New Roman"/>
        <family val="1"/>
      </rPr>
      <t>Chủ đầu tư:</t>
    </r>
    <r>
      <rPr>
        <sz val="13"/>
        <color theme="1"/>
        <rFont val="Times New Roman"/>
        <family val="1"/>
      </rPr>
      <t xml:space="preserve"> Công ty TNHH MTV Tasco Hải Phòng</t>
    </r>
  </si>
  <si>
    <r>
      <rPr>
        <b/>
        <sz val="13"/>
        <color theme="1"/>
        <rFont val="Times New Roman"/>
        <family val="1"/>
      </rPr>
      <t>Nhà thầu:</t>
    </r>
    <r>
      <rPr>
        <sz val="13"/>
        <color theme="1"/>
        <rFont val="Times New Roman"/>
        <family val="1"/>
      </rPr>
      <t xml:space="preserve"> Tổng Công ty Thăng Long – CTCP.</t>
    </r>
  </si>
  <si>
    <t>Hải Phòng, Ngày …. tháng ….. năm ….</t>
  </si>
  <si>
    <t>5*4</t>
  </si>
  <si>
    <t>Gối di động</t>
  </si>
  <si>
    <t>Gối cố định</t>
  </si>
  <si>
    <t>Cộng</t>
  </si>
  <si>
    <t>50x132x10</t>
  </si>
  <si>
    <t>Khung A1
(1 khung)</t>
  </si>
  <si>
    <t>Khung A2
(1 khung)</t>
  </si>
  <si>
    <t>Khung A3
(1 khung)</t>
  </si>
  <si>
    <t>Khung A4
(1 khung)</t>
  </si>
  <si>
    <t>Khung A5
(1 khung)</t>
  </si>
  <si>
    <t>Khung A6
(1 khung)</t>
  </si>
  <si>
    <t>Khung A7
(1 khung)</t>
  </si>
  <si>
    <t>Khung A8
(1 khung)</t>
  </si>
  <si>
    <t>Khối lượng 16 cọc</t>
  </si>
  <si>
    <t>Thép bản 50x132x10</t>
  </si>
  <si>
    <t>Thép bản 50x100x10</t>
  </si>
  <si>
    <t>Bu lông d16,L=352mm</t>
  </si>
  <si>
    <t>Bu lông d16,L=350mm</t>
  </si>
  <si>
    <t>Bu lông d16,L=317mm</t>
  </si>
  <si>
    <t>Bu lông d16,L=297mm</t>
  </si>
  <si>
    <t>Bu lông d16,L=284mm</t>
  </si>
  <si>
    <t>Bu lông d16,L=275mm</t>
  </si>
  <si>
    <t>Vữa xi măng lấp ống thăm dò</t>
  </si>
  <si>
    <t>Bê tông đầu cọc</t>
  </si>
  <si>
    <t>3648/1871,2</t>
  </si>
  <si>
    <t>1824/1007,68</t>
  </si>
  <si>
    <t>1824/912,64</t>
  </si>
  <si>
    <t>1824/855,04</t>
  </si>
  <si>
    <t>1216/545,12</t>
  </si>
  <si>
    <t>1216/527,84</t>
  </si>
  <si>
    <t>Kg</t>
  </si>
  <si>
    <t>Bộ/kG</t>
  </si>
  <si>
    <t>BT 30 MPA</t>
  </si>
  <si>
    <t>CỌC KHOAN NHỒI T5, L=76,5 m</t>
  </si>
  <si>
    <t>(PI()*1,5^2*(76,5+0,15+1,28+0,1)-PI()*0,0659^2*247,64-PI()*0,1195^2*81,75)*16/4</t>
  </si>
  <si>
    <t>(PI()*0,0599^2*247,64+PI()*0,1135^2*81,75)*16/4</t>
  </si>
  <si>
    <t>PI()*1,5^2/4*1,28*16</t>
  </si>
  <si>
    <t>CKN T5(KC)'!A1</t>
  </si>
  <si>
    <t>Bảng tổng hợp khối lượng mố M0</t>
  </si>
  <si>
    <t>B¶ng tæng hîp khèi l­îng thi c«ng trô</t>
  </si>
  <si>
    <t>Kí hiệu thanh</t>
  </si>
  <si>
    <t>Lưới A5</t>
  </si>
  <si>
    <t>Tổng cộng khối lượng thép</t>
  </si>
  <si>
    <t>Ống thép D107/114</t>
  </si>
  <si>
    <t>Bê tông 30 MPA</t>
  </si>
  <si>
    <t>Trụ T2</t>
  </si>
  <si>
    <t>Trụ T4</t>
  </si>
  <si>
    <t>Trụ T5</t>
  </si>
  <si>
    <t>PHÁT SINH KHỐI LƯỢNG CỌC PDA</t>
  </si>
  <si>
    <t>Cóc nối 2D32+D20, L=350mm</t>
  </si>
  <si>
    <t>Mố M0</t>
  </si>
  <si>
    <t>Phatsinh!A1</t>
  </si>
  <si>
    <t>(Biên bản phát sinh ngày 13/1/2016)</t>
  </si>
  <si>
    <r>
      <t xml:space="preserve">KHỐI LƯỢNG LỒNG THÉP THI CÔNG </t>
    </r>
    <r>
      <rPr>
        <b/>
        <sz val="12"/>
        <color rgb="FFFF0000"/>
        <rFont val="Calibri"/>
        <family val="2"/>
        <scheme val="minor"/>
      </rPr>
      <t>(Biên bản phát sinh ngày 29/12/2015)</t>
    </r>
  </si>
  <si>
    <t>Bảng khối lượng tính thiếu bản táp lốc vách</t>
  </si>
  <si>
    <t>Mat bang cong truong, duong cong vu.xlsx</t>
  </si>
  <si>
    <t>Cọc khoan nhồi mố M0</t>
  </si>
  <si>
    <t>BẢNG KHỐI LƯỢNG CỌC KHOAN NHỒI MỐ M0</t>
  </si>
  <si>
    <t>HẠNG MỤC</t>
  </si>
  <si>
    <t>v¸n khu«n</t>
  </si>
  <si>
    <t>TæNG HîP KHèI l­îng</t>
  </si>
  <si>
    <t>PI()*1,3*0,01*8*7850*10^-3</t>
  </si>
  <si>
    <t>8*4</t>
  </si>
  <si>
    <t>8*4/100</t>
  </si>
  <si>
    <t>1</t>
  </si>
  <si>
    <t>4*4</t>
  </si>
  <si>
    <t>PI()*1,2^2*1,0*4/4</t>
  </si>
  <si>
    <t>PI()*1,2^2/4*(2-(-63,369)+0,3)*4</t>
  </si>
  <si>
    <t>(0,2*0,15*0,01*8*6+PI()*1,3*0,2*0,01*2)*7850*10^-3</t>
  </si>
  <si>
    <t>(27,5-8,6)*16</t>
  </si>
  <si>
    <t>PI()*1,5^2*(80,267-8,6)*16/4</t>
  </si>
  <si>
    <t>PI()*1,6*0,01*25*7850*10^-3*16</t>
  </si>
  <si>
    <t>+PI()*(0,8^2-0,79^2)*7850/1000*(25-(3-(-4,267)+0,15))*16</t>
  </si>
  <si>
    <t>(-10,5-(3-25))*16</t>
  </si>
  <si>
    <t>(3-(-10,5))*16</t>
  </si>
  <si>
    <t>16*1</t>
  </si>
  <si>
    <t>4*16</t>
  </si>
  <si>
    <t>PI()*1,5^2*1,28*16/4</t>
  </si>
  <si>
    <t>PI()*1,5^2*(3-(-80,767))*16/4</t>
  </si>
  <si>
    <t>(32,42-3,22)*6</t>
  </si>
  <si>
    <t>((64,769-32,42)+(3,22-0,768))*6</t>
  </si>
  <si>
    <t>(64,769-61,42)*6</t>
  </si>
  <si>
    <t>PI()*1,5^2*(64,769+2,7)*6/4</t>
  </si>
  <si>
    <t>PI()*1,6*0,01*10*7850*10^-3</t>
  </si>
  <si>
    <t>10*6</t>
  </si>
  <si>
    <t>10*6/100</t>
  </si>
  <si>
    <t>1*6</t>
  </si>
  <si>
    <t>6*6</t>
  </si>
  <si>
    <t>PI()*1,5^2*1,28/4*6</t>
  </si>
  <si>
    <t>PI()*1,5^2*(64,769+2,7)/4*6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</si>
</sst>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###0.00;\-###0.00;\-"/>
    <numFmt numFmtId="166" formatCode="#,##0;\-#,##0;\-"/>
    <numFmt numFmtId="167" formatCode="0.000"/>
    <numFmt numFmtId="168" formatCode="#,##0.000"/>
    <numFmt numFmtId="169" formatCode="#,##0.0000"/>
    <numFmt numFmtId="170" formatCode="&quot;b¶ng khèi l­îng th©n cèng hép 4.0x3.2m, l=&quot;0.000&quot;m&quot;"/>
    <numFmt numFmtId="171" formatCode="&quot;D&quot;0"/>
    <numFmt numFmtId="172" formatCode="0.0"/>
    <numFmt numFmtId="173" formatCode="0.0000"/>
    <numFmt numFmtId="174" formatCode="0.00000_ ;\-0.00000\ "/>
    <numFmt numFmtId="175" formatCode="&quot;Quantity table of one segment, l=&quot;0.00&quot;m&quot;"/>
    <numFmt numFmtId="176" formatCode="&quot;ThÐp D&quot;0"/>
    <numFmt numFmtId="177" formatCode="0.00&quot;( kg)&quot;"/>
    <numFmt numFmtId="178" formatCode="0.0000&quot; (m3)&quot;"/>
    <numFmt numFmtId="179" formatCode="0.00&quot; (m3)&quot;"/>
    <numFmt numFmtId="180" formatCode="0.00&quot; (m2)&quot;"/>
    <numFmt numFmtId="181" formatCode="0.000&quot; (m3)&quot;"/>
    <numFmt numFmtId="182" formatCode="&quot;D&quot;General"/>
    <numFmt numFmtId="183" formatCode="General\ &quot;B¶n :&quot;"/>
    <numFmt numFmtId="184" formatCode="&quot;ThÐp&quot;\ General\ &quot;(kg) :&quot;"/>
    <numFmt numFmtId="185" formatCode="&quot;ThÐp D&quot;General\ &quot;(Kg):&quot;"/>
    <numFmt numFmtId="186" formatCode="&quot;D&quot;\ 0"/>
  </numFmts>
  <fonts count="10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.VnTime"/>
      <family val="2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i/>
      <sz val="13"/>
      <color rgb="FFFF0000"/>
      <name val="Times New Roman"/>
      <family val="1"/>
    </font>
    <font>
      <sz val="13"/>
      <color rgb="FF000000"/>
      <name val="Times New Roman"/>
      <family val="1"/>
    </font>
    <font>
      <b/>
      <sz val="15"/>
      <color rgb="FF000000"/>
      <name val="Times New Roman"/>
      <family val="1"/>
    </font>
    <font>
      <b/>
      <sz val="18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indexed="10"/>
      <name val="Times New Roman"/>
      <family val="1"/>
    </font>
    <font>
      <i/>
      <sz val="14"/>
      <color indexed="8"/>
      <name val="Times New Roman"/>
      <family val="1"/>
    </font>
    <font>
      <sz val="5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70C0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70C0"/>
      <name val="Times New Roman"/>
      <family val="1"/>
    </font>
    <font>
      <b/>
      <sz val="11"/>
      <color rgb="FF0000FF"/>
      <name val="Times New Roman"/>
      <family val="1"/>
    </font>
    <font>
      <i/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Times New Roman"/>
      <family val="1"/>
    </font>
    <font>
      <sz val="13"/>
      <name val=".VnTime"/>
      <family val="2"/>
    </font>
    <font>
      <b/>
      <sz val="12"/>
      <color theme="1"/>
      <name val="Calibri"/>
      <family val="2"/>
      <scheme val="minor"/>
    </font>
    <font>
      <sz val="10"/>
      <name val=".VnArial"/>
      <family val="2"/>
    </font>
    <font>
      <sz val="10"/>
      <name val=".VnArial Narrow"/>
      <family val="2"/>
    </font>
    <font>
      <sz val="10"/>
      <color theme="1"/>
      <name val=".VnArial Narrow"/>
      <family val="2"/>
    </font>
    <font>
      <b/>
      <sz val="10"/>
      <name val=".VnArial Narrow"/>
      <family val="2"/>
    </font>
    <font>
      <sz val="10"/>
      <color indexed="12"/>
      <name val=".VnArial Narrow"/>
      <family val="2"/>
    </font>
    <font>
      <sz val="10"/>
      <color indexed="58"/>
      <name val=".Vn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0"/>
      <name val="Arial Narrow"/>
      <family val="2"/>
    </font>
    <font>
      <sz val="11"/>
      <color theme="1"/>
      <name val=".VnTime"/>
      <family val="2"/>
    </font>
    <font>
      <sz val="10"/>
      <color rgb="FFFF0000"/>
      <name val=".VnArial Narrow"/>
      <family val="2"/>
    </font>
    <font>
      <b/>
      <sz val="10"/>
      <color indexed="58"/>
      <name val=".VnArial Narrow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sz val="10"/>
      <color indexed="8"/>
      <name val=".VnArial"/>
      <family val="2"/>
    </font>
    <font>
      <b/>
      <sz val="10"/>
      <name val=".VnArial"/>
      <family val="2"/>
    </font>
    <font>
      <sz val="10"/>
      <name val=".VnArialH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.VnArial"/>
      <family val="2"/>
    </font>
    <font>
      <sz val="11"/>
      <name val=".VnArialH"/>
      <family val="2"/>
    </font>
    <font>
      <sz val="10"/>
      <color indexed="9"/>
      <name val=".Vn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name val=".VnArial Narrow"/>
      <family val="2"/>
    </font>
    <font>
      <b/>
      <sz val="10"/>
      <color theme="1"/>
      <name val="Times New Roman"/>
      <family val="1"/>
    </font>
    <font>
      <i/>
      <sz val="11"/>
      <color rgb="FF0000FF"/>
      <name val="Times New Roman"/>
      <family val="1"/>
    </font>
    <font>
      <b/>
      <sz val="13.3"/>
      <color indexed="12"/>
      <name val=".VnArial NarrowH"/>
      <family val="2"/>
    </font>
    <font>
      <sz val="11"/>
      <color theme="1"/>
      <name val=".VnArial"/>
      <family val="2"/>
    </font>
    <font>
      <b/>
      <sz val="11"/>
      <color theme="1"/>
      <name val=".VnArial"/>
      <family val="2"/>
    </font>
    <font>
      <i/>
      <sz val="11"/>
      <color theme="1"/>
      <name val=".VnArial"/>
      <family val="2"/>
    </font>
    <font>
      <i/>
      <sz val="11"/>
      <color rgb="FFFF0000"/>
      <name val=".VnArial"/>
      <family val="2"/>
    </font>
    <font>
      <b/>
      <sz val="11"/>
      <color rgb="FFFF0000"/>
      <name val=".VnArial"/>
      <family val="2"/>
    </font>
    <font>
      <sz val="11"/>
      <color rgb="FFFF0000"/>
      <name val=".VnArial"/>
      <family val="2"/>
    </font>
    <font>
      <b/>
      <sz val="10"/>
      <name val=".VnArialH"/>
      <family val="2"/>
    </font>
    <font>
      <sz val="11"/>
      <color indexed="8"/>
      <name val=".VnArial"/>
      <family val="2"/>
    </font>
    <font>
      <sz val="11"/>
      <color indexed="8"/>
      <name val=".VnArialH"/>
      <family val="2"/>
    </font>
    <font>
      <b/>
      <sz val="11"/>
      <color indexed="8"/>
      <name val=".VnArial"/>
      <family val="2"/>
    </font>
    <font>
      <vertAlign val="superscript"/>
      <sz val="10"/>
      <name val=".VnArial"/>
      <family val="2"/>
    </font>
    <font>
      <sz val="10"/>
      <color rgb="FFFF0000"/>
      <name val=".VnArial"/>
      <family val="2"/>
    </font>
    <font>
      <sz val="10"/>
      <name val=".VnTime"/>
      <family val="2"/>
    </font>
    <font>
      <b/>
      <sz val="11"/>
      <color indexed="8"/>
      <name val=".VnArialH"/>
      <family val="2"/>
    </font>
    <font>
      <sz val="11"/>
      <color rgb="FF9C6500"/>
      <name val="Calibri"/>
      <family val="2"/>
      <scheme val="minor"/>
    </font>
    <font>
      <b/>
      <sz val="10"/>
      <color indexed="8"/>
      <name val=".VnArial"/>
      <family val="2"/>
    </font>
    <font>
      <b/>
      <sz val="10"/>
      <color rgb="FFFF0000"/>
      <name val=".VnArial"/>
      <family val="2"/>
    </font>
    <font>
      <b/>
      <sz val="15"/>
      <color theme="1"/>
      <name val="Times New Roman"/>
      <family val="1"/>
    </font>
    <font>
      <u/>
      <sz val="11"/>
      <color theme="1"/>
      <name val="Calibri"/>
      <family val="2"/>
      <scheme val="minor"/>
    </font>
    <font>
      <u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0"/>
      <name val="Times New Roman"/>
      <family val="1"/>
    </font>
    <font>
      <b/>
      <sz val="10"/>
      <color indexed="58"/>
      <name val=".VnTimeH"/>
      <family val="2"/>
    </font>
    <font>
      <b/>
      <sz val="10"/>
      <name val="Times New Roman"/>
      <family val="1"/>
    </font>
    <font>
      <b/>
      <u/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3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7" fillId="0" borderId="0"/>
    <xf numFmtId="164" fontId="3" fillId="0" borderId="0" applyFont="0" applyFill="0" applyBorder="0" applyAlignment="0" applyProtection="0"/>
    <xf numFmtId="0" fontId="5" fillId="0" borderId="0"/>
    <xf numFmtId="0" fontId="7" fillId="0" borderId="0"/>
    <xf numFmtId="0" fontId="45" fillId="0" borderId="0" applyNumberFormat="0" applyFill="0" applyBorder="0" applyAlignment="0" applyProtection="0"/>
    <xf numFmtId="0" fontId="52" fillId="0" borderId="0"/>
    <xf numFmtId="44" fontId="3" fillId="0" borderId="0" applyFont="0" applyFill="0" applyBorder="0" applyAlignment="0" applyProtection="0"/>
    <xf numFmtId="0" fontId="52" fillId="0" borderId="0"/>
    <xf numFmtId="0" fontId="76" fillId="0" borderId="0"/>
    <xf numFmtId="0" fontId="94" fillId="12" borderId="0" applyNumberFormat="0" applyBorder="0" applyAlignment="0" applyProtection="0"/>
  </cellStyleXfs>
  <cellXfs count="1474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164" fontId="6" fillId="0" borderId="0" xfId="4" applyFont="1" applyFill="1" applyAlignment="1">
      <alignment horizontal="right" vertical="center"/>
    </xf>
    <xf numFmtId="164" fontId="6" fillId="0" borderId="0" xfId="4" applyFont="1" applyFill="1" applyAlignment="1">
      <alignment vertical="center"/>
    </xf>
    <xf numFmtId="164" fontId="10" fillId="0" borderId="0" xfId="4" applyFont="1" applyFill="1" applyAlignment="1">
      <alignment vertical="center"/>
    </xf>
    <xf numFmtId="164" fontId="13" fillId="0" borderId="0" xfId="4" applyFont="1" applyFill="1" applyAlignment="1"/>
    <xf numFmtId="0" fontId="13" fillId="0" borderId="0" xfId="0" applyFont="1" applyFill="1" applyAlignment="1">
      <alignment horizontal="centerContinuous"/>
    </xf>
    <xf numFmtId="164" fontId="6" fillId="0" borderId="0" xfId="4" applyFont="1" applyFill="1" applyAlignment="1">
      <alignment horizontal="centerContinuous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164" fontId="6" fillId="0" borderId="0" xfId="4" applyFont="1" applyFill="1" applyAlignment="1">
      <alignment horizontal="center" vertical="center"/>
    </xf>
    <xf numFmtId="164" fontId="10" fillId="0" borderId="0" xfId="4" applyFont="1" applyFill="1" applyAlignment="1">
      <alignment horizontal="center" vertical="center"/>
    </xf>
    <xf numFmtId="0" fontId="6" fillId="0" borderId="14" xfId="0" applyFont="1" applyBorder="1"/>
    <xf numFmtId="0" fontId="6" fillId="0" borderId="15" xfId="0" applyFont="1" applyBorder="1"/>
    <xf numFmtId="0" fontId="6" fillId="0" borderId="16" xfId="0" applyFont="1" applyBorder="1" applyAlignment="1">
      <alignment horizontal="right"/>
    </xf>
    <xf numFmtId="0" fontId="18" fillId="0" borderId="17" xfId="0" applyFont="1" applyBorder="1" applyAlignment="1">
      <alignment horizontal="center" vertical="center"/>
    </xf>
    <xf numFmtId="0" fontId="18" fillId="0" borderId="0" xfId="0" applyFont="1" applyBorder="1" applyAlignment="1"/>
    <xf numFmtId="0" fontId="18" fillId="0" borderId="18" xfId="0" applyFont="1" applyBorder="1" applyAlignment="1"/>
    <xf numFmtId="0" fontId="18" fillId="0" borderId="0" xfId="0" applyFont="1" applyBorder="1"/>
    <xf numFmtId="0" fontId="18" fillId="0" borderId="18" xfId="0" applyFont="1" applyBorder="1"/>
    <xf numFmtId="0" fontId="6" fillId="0" borderId="0" xfId="0" applyFont="1" applyBorder="1"/>
    <xf numFmtId="0" fontId="6" fillId="0" borderId="18" xfId="0" applyFont="1" applyBorder="1"/>
    <xf numFmtId="0" fontId="0" fillId="0" borderId="17" xfId="0" applyBorder="1"/>
    <xf numFmtId="0" fontId="28" fillId="0" borderId="17" xfId="0" applyFont="1" applyBorder="1" applyAlignment="1">
      <alignment horizontal="justify" vertical="center"/>
    </xf>
    <xf numFmtId="0" fontId="9" fillId="0" borderId="17" xfId="0" applyFont="1" applyBorder="1" applyAlignment="1">
      <alignment horizontal="justify" vertical="center"/>
    </xf>
    <xf numFmtId="0" fontId="6" fillId="0" borderId="17" xfId="0" applyFont="1" applyBorder="1"/>
    <xf numFmtId="0" fontId="8" fillId="0" borderId="1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164" fontId="10" fillId="0" borderId="0" xfId="4" applyFont="1" applyFill="1" applyAlignment="1">
      <alignment horizontal="left" vertical="center"/>
    </xf>
    <xf numFmtId="0" fontId="29" fillId="0" borderId="3" xfId="0" applyFont="1" applyFill="1" applyBorder="1" applyAlignment="1">
      <alignment horizontal="left" vertical="center" wrapText="1" shrinkToFit="1"/>
    </xf>
    <xf numFmtId="0" fontId="29" fillId="0" borderId="3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left" vertical="center" wrapText="1" shrinkToFit="1"/>
    </xf>
    <xf numFmtId="0" fontId="30" fillId="0" borderId="3" xfId="0" applyFont="1" applyFill="1" applyBorder="1" applyAlignment="1">
      <alignment horizontal="center" vertical="center" wrapText="1" shrinkToFit="1"/>
    </xf>
    <xf numFmtId="0" fontId="30" fillId="0" borderId="3" xfId="0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left" vertical="center" wrapText="1" shrinkToFit="1"/>
    </xf>
    <xf numFmtId="165" fontId="32" fillId="0" borderId="3" xfId="0" applyNumberFormat="1" applyFont="1" applyFill="1" applyBorder="1" applyAlignment="1">
      <alignment horizontal="right" vertical="center" shrinkToFit="1"/>
    </xf>
    <xf numFmtId="166" fontId="11" fillId="0" borderId="3" xfId="0" applyNumberFormat="1" applyFont="1" applyFill="1" applyBorder="1" applyAlignment="1">
      <alignment vertical="center"/>
    </xf>
    <xf numFmtId="165" fontId="33" fillId="0" borderId="3" xfId="0" applyNumberFormat="1" applyFont="1" applyFill="1" applyBorder="1" applyAlignment="1">
      <alignment horizontal="right" vertical="center" shrinkToFit="1"/>
    </xf>
    <xf numFmtId="165" fontId="11" fillId="0" borderId="3" xfId="0" applyNumberFormat="1" applyFont="1" applyFill="1" applyBorder="1" applyAlignment="1">
      <alignment horizontal="right" vertical="center" shrinkToFit="1"/>
    </xf>
    <xf numFmtId="165" fontId="34" fillId="0" borderId="3" xfId="0" applyNumberFormat="1" applyFont="1" applyFill="1" applyBorder="1" applyAlignment="1">
      <alignment horizontal="right" vertical="center" shrinkToFit="1"/>
    </xf>
    <xf numFmtId="165" fontId="35" fillId="0" borderId="3" xfId="0" applyNumberFormat="1" applyFont="1" applyFill="1" applyBorder="1" applyAlignment="1">
      <alignment horizontal="right" vertical="center" shrinkToFit="1"/>
    </xf>
    <xf numFmtId="165" fontId="30" fillId="0" borderId="3" xfId="0" applyNumberFormat="1" applyFont="1" applyFill="1" applyBorder="1" applyAlignment="1">
      <alignment horizontal="right" vertical="center" shrinkToFit="1"/>
    </xf>
    <xf numFmtId="165" fontId="36" fillId="0" borderId="3" xfId="0" applyNumberFormat="1" applyFont="1" applyFill="1" applyBorder="1" applyAlignment="1">
      <alignment horizontal="right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horizontal="center" vertical="center" shrinkToFit="1"/>
    </xf>
    <xf numFmtId="0" fontId="29" fillId="0" borderId="3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vertical="center" wrapText="1" shrinkToFit="1"/>
    </xf>
    <xf numFmtId="0" fontId="32" fillId="0" borderId="3" xfId="0" applyFont="1" applyFill="1" applyBorder="1" applyAlignment="1">
      <alignment horizontal="center" vertical="center" shrinkToFit="1"/>
    </xf>
    <xf numFmtId="0" fontId="32" fillId="0" borderId="3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vertical="center" wrapText="1" shrinkToFit="1"/>
    </xf>
    <xf numFmtId="0" fontId="29" fillId="0" borderId="3" xfId="0" applyFont="1" applyFill="1" applyBorder="1" applyAlignment="1"/>
    <xf numFmtId="0" fontId="32" fillId="0" borderId="3" xfId="0" applyFont="1" applyFill="1" applyBorder="1" applyAlignment="1">
      <alignment horizontal="center" shrinkToFit="1"/>
    </xf>
    <xf numFmtId="0" fontId="32" fillId="0" borderId="3" xfId="0" applyFont="1" applyFill="1" applyBorder="1" applyAlignment="1">
      <alignment shrinkToFit="1"/>
    </xf>
    <xf numFmtId="0" fontId="32" fillId="0" borderId="3" xfId="0" applyFont="1" applyFill="1" applyBorder="1" applyAlignment="1">
      <alignment wrapText="1"/>
    </xf>
    <xf numFmtId="0" fontId="36" fillId="0" borderId="3" xfId="0" applyFont="1" applyFill="1" applyBorder="1" applyAlignment="1">
      <alignment horizontal="center" vertical="center"/>
    </xf>
    <xf numFmtId="0" fontId="36" fillId="0" borderId="3" xfId="0" applyFont="1" applyFill="1" applyBorder="1" applyAlignment="1">
      <alignment vertical="center" wrapText="1" shrinkToFit="1"/>
    </xf>
    <xf numFmtId="0" fontId="33" fillId="0" borderId="3" xfId="0" applyFont="1" applyFill="1" applyBorder="1" applyAlignment="1">
      <alignment vertical="center" wrapText="1" shrinkToFit="1"/>
    </xf>
    <xf numFmtId="0" fontId="33" fillId="0" borderId="3" xfId="0" applyFont="1" applyFill="1" applyBorder="1" applyAlignment="1">
      <alignment horizontal="center" vertical="center"/>
    </xf>
    <xf numFmtId="0" fontId="37" fillId="0" borderId="3" xfId="0" applyFont="1" applyFill="1" applyBorder="1" applyAlignment="1">
      <alignment horizontal="center" vertical="center"/>
    </xf>
    <xf numFmtId="0" fontId="37" fillId="0" borderId="3" xfId="0" applyFont="1" applyFill="1" applyBorder="1" applyAlignment="1">
      <alignment vertical="center" wrapText="1" shrinkToFit="1"/>
    </xf>
    <xf numFmtId="1" fontId="37" fillId="0" borderId="3" xfId="0" applyNumberFormat="1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vertical="center" wrapText="1"/>
    </xf>
    <xf numFmtId="0" fontId="35" fillId="0" borderId="3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vertical="center" wrapText="1" shrinkToFit="1"/>
    </xf>
    <xf numFmtId="0" fontId="30" fillId="0" borderId="3" xfId="0" applyFont="1" applyFill="1" applyBorder="1" applyAlignment="1">
      <alignment vertical="center" wrapText="1" shrinkToFit="1"/>
    </xf>
    <xf numFmtId="0" fontId="30" fillId="0" borderId="3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 shrinkToFit="1"/>
    </xf>
    <xf numFmtId="0" fontId="30" fillId="0" borderId="3" xfId="0" applyFont="1" applyFill="1" applyBorder="1" applyAlignment="1">
      <alignment shrinkToFit="1"/>
    </xf>
    <xf numFmtId="0" fontId="35" fillId="0" borderId="3" xfId="0" applyFont="1" applyFill="1" applyBorder="1" applyAlignment="1">
      <alignment horizontal="center" vertical="center" shrinkToFit="1"/>
    </xf>
    <xf numFmtId="0" fontId="30" fillId="0" borderId="3" xfId="0" applyFont="1" applyFill="1" applyBorder="1" applyAlignment="1">
      <alignment vertical="center" wrapText="1"/>
    </xf>
    <xf numFmtId="0" fontId="30" fillId="0" borderId="3" xfId="0" quotePrefix="1" applyFont="1" applyFill="1" applyBorder="1" applyAlignment="1">
      <alignment horizontal="center" vertical="center" shrinkToFit="1"/>
    </xf>
    <xf numFmtId="0" fontId="38" fillId="0" borderId="3" xfId="0" applyFont="1" applyFill="1" applyBorder="1" applyAlignment="1">
      <alignment vertical="center" wrapText="1" shrinkToFit="1"/>
    </xf>
    <xf numFmtId="0" fontId="32" fillId="0" borderId="3" xfId="0" applyFont="1" applyFill="1" applyBorder="1" applyAlignment="1">
      <alignment horizontal="center"/>
    </xf>
    <xf numFmtId="0" fontId="29" fillId="0" borderId="3" xfId="0" applyFont="1" applyFill="1" applyBorder="1" applyAlignment="1">
      <alignment shrinkToFit="1"/>
    </xf>
    <xf numFmtId="0" fontId="29" fillId="0" borderId="3" xfId="0" applyFont="1" applyFill="1" applyBorder="1" applyAlignment="1">
      <alignment horizontal="center"/>
    </xf>
    <xf numFmtId="0" fontId="29" fillId="0" borderId="3" xfId="0" applyFont="1" applyFill="1" applyBorder="1" applyAlignment="1">
      <alignment horizontal="center" vertical="center" shrinkToFit="1"/>
    </xf>
    <xf numFmtId="0" fontId="39" fillId="0" borderId="3" xfId="0" applyFont="1" applyFill="1" applyBorder="1" applyAlignment="1">
      <alignment horizontal="center" vertical="center" shrinkToFit="1"/>
    </xf>
    <xf numFmtId="0" fontId="40" fillId="0" borderId="3" xfId="0" applyFont="1" applyFill="1" applyBorder="1" applyAlignment="1"/>
    <xf numFmtId="0" fontId="11" fillId="0" borderId="3" xfId="0" applyFont="1" applyFill="1" applyBorder="1" applyAlignment="1">
      <alignment horizontal="left" vertical="center" wrapText="1" shrinkToFit="1"/>
    </xf>
    <xf numFmtId="0" fontId="11" fillId="0" borderId="3" xfId="0" applyFont="1" applyFill="1" applyBorder="1" applyAlignment="1">
      <alignment horizontal="center" vertical="center" wrapText="1" shrinkToFit="1"/>
    </xf>
    <xf numFmtId="0" fontId="29" fillId="0" borderId="3" xfId="0" applyFont="1" applyFill="1" applyBorder="1" applyAlignment="1">
      <alignment horizontal="center" vertical="center" wrapText="1" shrinkToFit="1"/>
    </xf>
    <xf numFmtId="0" fontId="32" fillId="0" borderId="3" xfId="0" applyFont="1" applyFill="1" applyBorder="1" applyAlignment="1">
      <alignment horizontal="left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left" vertical="center" wrapText="1" shrinkToFit="1"/>
    </xf>
    <xf numFmtId="0" fontId="34" fillId="0" borderId="3" xfId="0" applyFont="1" applyFill="1" applyBorder="1" applyAlignment="1">
      <alignment horizontal="center" vertical="center" wrapText="1" shrinkToFit="1"/>
    </xf>
    <xf numFmtId="0" fontId="32" fillId="0" borderId="3" xfId="0" applyFont="1" applyFill="1" applyBorder="1" applyAlignment="1">
      <alignment horizontal="left" vertical="center" wrapText="1" shrinkToFit="1"/>
    </xf>
    <xf numFmtId="0" fontId="32" fillId="0" borderId="3" xfId="0" applyNumberFormat="1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 shrinkToFit="1"/>
    </xf>
    <xf numFmtId="0" fontId="29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33" fillId="0" borderId="3" xfId="0" applyFont="1" applyFill="1" applyBorder="1" applyAlignment="1">
      <alignment shrinkToFit="1"/>
    </xf>
    <xf numFmtId="0" fontId="36" fillId="0" borderId="3" xfId="0" applyFont="1" applyFill="1" applyBorder="1" applyAlignment="1">
      <alignment horizontal="center" vertical="center" shrinkToFit="1"/>
    </xf>
    <xf numFmtId="0" fontId="33" fillId="0" borderId="3" xfId="0" applyFont="1" applyFill="1" applyBorder="1" applyAlignment="1">
      <alignment horizontal="center" vertical="center" shrinkToFit="1"/>
    </xf>
    <xf numFmtId="0" fontId="41" fillId="0" borderId="3" xfId="0" applyFont="1" applyFill="1" applyBorder="1" applyAlignment="1"/>
    <xf numFmtId="0" fontId="42" fillId="0" borderId="3" xfId="0" applyFont="1" applyFill="1" applyBorder="1" applyAlignment="1">
      <alignment vertical="center" wrapText="1" shrinkToFit="1"/>
    </xf>
    <xf numFmtId="0" fontId="42" fillId="0" borderId="3" xfId="0" applyFont="1" applyFill="1" applyBorder="1" applyAlignment="1">
      <alignment horizontal="center" vertical="center" shrinkToFit="1"/>
    </xf>
    <xf numFmtId="0" fontId="36" fillId="0" borderId="3" xfId="0" applyFont="1" applyFill="1" applyBorder="1" applyAlignment="1">
      <alignment vertical="center" wrapText="1"/>
    </xf>
    <xf numFmtId="0" fontId="33" fillId="0" borderId="3" xfId="0" applyFont="1" applyFill="1" applyBorder="1" applyAlignment="1">
      <alignment vertical="center" wrapText="1"/>
    </xf>
    <xf numFmtId="2" fontId="9" fillId="0" borderId="0" xfId="0" applyNumberFormat="1" applyFont="1" applyFill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11" xfId="0" applyBorder="1"/>
    <xf numFmtId="2" fontId="0" fillId="0" borderId="3" xfId="0" applyNumberFormat="1" applyBorder="1"/>
    <xf numFmtId="2" fontId="0" fillId="0" borderId="4" xfId="0" applyNumberFormat="1" applyBorder="1"/>
    <xf numFmtId="0" fontId="44" fillId="0" borderId="1" xfId="0" applyFont="1" applyBorder="1" applyAlignment="1">
      <alignment horizontal="center" vertical="center"/>
    </xf>
    <xf numFmtId="2" fontId="0" fillId="0" borderId="11" xfId="0" applyNumberFormat="1" applyBorder="1"/>
    <xf numFmtId="0" fontId="44" fillId="0" borderId="1" xfId="0" applyFont="1" applyBorder="1" applyAlignment="1">
      <alignment horizontal="center" vertical="center"/>
    </xf>
    <xf numFmtId="0" fontId="0" fillId="0" borderId="1" xfId="0" applyBorder="1"/>
    <xf numFmtId="0" fontId="44" fillId="0" borderId="0" xfId="0" applyFont="1"/>
    <xf numFmtId="0" fontId="9" fillId="0" borderId="0" xfId="0" applyFont="1" applyFill="1" applyAlignment="1">
      <alignment horizontal="right" vertical="center"/>
    </xf>
    <xf numFmtId="0" fontId="48" fillId="0" borderId="3" xfId="0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vertical="center"/>
    </xf>
    <xf numFmtId="168" fontId="9" fillId="0" borderId="0" xfId="0" applyNumberFormat="1" applyFont="1" applyFill="1" applyAlignment="1">
      <alignment vertical="center"/>
    </xf>
    <xf numFmtId="169" fontId="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32" fillId="0" borderId="0" xfId="0" applyFont="1"/>
    <xf numFmtId="0" fontId="32" fillId="0" borderId="11" xfId="0" applyFont="1" applyBorder="1"/>
    <xf numFmtId="0" fontId="32" fillId="0" borderId="3" xfId="0" applyFont="1" applyBorder="1"/>
    <xf numFmtId="0" fontId="32" fillId="0" borderId="4" xfId="0" applyFont="1" applyBorder="1"/>
    <xf numFmtId="0" fontId="54" fillId="0" borderId="7" xfId="0" applyFont="1" applyFill="1" applyBorder="1" applyAlignment="1">
      <alignment horizontal="center"/>
    </xf>
    <xf numFmtId="171" fontId="54" fillId="0" borderId="7" xfId="0" applyNumberFormat="1" applyFont="1" applyFill="1" applyBorder="1" applyAlignment="1">
      <alignment horizontal="center"/>
    </xf>
    <xf numFmtId="2" fontId="54" fillId="0" borderId="7" xfId="0" applyNumberFormat="1" applyFont="1" applyFill="1" applyBorder="1" applyAlignment="1">
      <alignment horizontal="center"/>
    </xf>
    <xf numFmtId="167" fontId="54" fillId="0" borderId="7" xfId="0" applyNumberFormat="1" applyFont="1" applyFill="1" applyBorder="1" applyAlignment="1">
      <alignment horizontal="center"/>
    </xf>
    <xf numFmtId="2" fontId="54" fillId="0" borderId="31" xfId="0" applyNumberFormat="1" applyFont="1" applyFill="1" applyBorder="1" applyAlignment="1">
      <alignment horizontal="center"/>
    </xf>
    <xf numFmtId="0" fontId="54" fillId="0" borderId="3" xfId="0" applyFont="1" applyFill="1" applyBorder="1" applyAlignment="1">
      <alignment horizontal="center"/>
    </xf>
    <xf numFmtId="171" fontId="54" fillId="0" borderId="3" xfId="0" applyNumberFormat="1" applyFont="1" applyFill="1" applyBorder="1" applyAlignment="1">
      <alignment horizontal="center"/>
    </xf>
    <xf numFmtId="2" fontId="54" fillId="0" borderId="3" xfId="0" applyNumberFormat="1" applyFont="1" applyFill="1" applyBorder="1" applyAlignment="1">
      <alignment horizontal="center"/>
    </xf>
    <xf numFmtId="167" fontId="54" fillId="0" borderId="3" xfId="0" applyNumberFormat="1" applyFont="1" applyFill="1" applyBorder="1" applyAlignment="1">
      <alignment horizontal="center"/>
    </xf>
    <xf numFmtId="2" fontId="54" fillId="0" borderId="33" xfId="0" applyNumberFormat="1" applyFont="1" applyFill="1" applyBorder="1" applyAlignment="1">
      <alignment horizontal="center"/>
    </xf>
    <xf numFmtId="171" fontId="53" fillId="0" borderId="7" xfId="0" applyNumberFormat="1" applyFont="1" applyFill="1" applyBorder="1" applyAlignment="1">
      <alignment horizontal="center"/>
    </xf>
    <xf numFmtId="2" fontId="53" fillId="0" borderId="31" xfId="0" applyNumberFormat="1" applyFont="1" applyFill="1" applyBorder="1" applyAlignment="1">
      <alignment horizontal="center"/>
    </xf>
    <xf numFmtId="171" fontId="53" fillId="0" borderId="3" xfId="0" applyNumberFormat="1" applyFont="1" applyFill="1" applyBorder="1" applyAlignment="1">
      <alignment horizontal="center"/>
    </xf>
    <xf numFmtId="2" fontId="53" fillId="0" borderId="33" xfId="0" applyNumberFormat="1" applyFont="1" applyFill="1" applyBorder="1" applyAlignment="1">
      <alignment horizontal="center"/>
    </xf>
    <xf numFmtId="171" fontId="53" fillId="0" borderId="4" xfId="0" applyNumberFormat="1" applyFont="1" applyFill="1" applyBorder="1" applyAlignment="1">
      <alignment horizontal="center"/>
    </xf>
    <xf numFmtId="2" fontId="53" fillId="0" borderId="40" xfId="0" applyNumberFormat="1" applyFont="1" applyFill="1" applyBorder="1" applyAlignment="1">
      <alignment horizontal="center"/>
    </xf>
    <xf numFmtId="170" fontId="53" fillId="0" borderId="41" xfId="8" applyNumberFormat="1" applyFont="1" applyFill="1" applyBorder="1" applyAlignment="1">
      <alignment vertical="center" textRotation="90"/>
    </xf>
    <xf numFmtId="170" fontId="53" fillId="0" borderId="44" xfId="8" applyNumberFormat="1" applyFont="1" applyFill="1" applyBorder="1" applyAlignment="1">
      <alignment vertical="center" textRotation="90"/>
    </xf>
    <xf numFmtId="170" fontId="53" fillId="0" borderId="47" xfId="8" applyNumberFormat="1" applyFont="1" applyFill="1" applyBorder="1" applyAlignment="1">
      <alignment vertical="center" textRotation="90"/>
    </xf>
    <xf numFmtId="2" fontId="55" fillId="0" borderId="31" xfId="0" applyNumberFormat="1" applyFont="1" applyFill="1" applyBorder="1" applyAlignment="1">
      <alignment horizontal="center"/>
    </xf>
    <xf numFmtId="0" fontId="53" fillId="0" borderId="0" xfId="0" applyFont="1" applyFill="1"/>
    <xf numFmtId="0" fontId="56" fillId="0" borderId="0" xfId="0" applyFont="1" applyFill="1"/>
    <xf numFmtId="0" fontId="53" fillId="0" borderId="11" xfId="0" applyFont="1" applyFill="1" applyBorder="1" applyAlignment="1">
      <alignment horizontal="center"/>
    </xf>
    <xf numFmtId="171" fontId="53" fillId="0" borderId="11" xfId="0" applyNumberFormat="1" applyFont="1" applyFill="1" applyBorder="1" applyAlignment="1">
      <alignment horizontal="center"/>
    </xf>
    <xf numFmtId="167" fontId="53" fillId="0" borderId="11" xfId="0" applyNumberFormat="1" applyFont="1" applyFill="1" applyBorder="1" applyAlignment="1">
      <alignment horizontal="center"/>
    </xf>
    <xf numFmtId="2" fontId="53" fillId="0" borderId="51" xfId="0" applyNumberFormat="1" applyFont="1" applyFill="1" applyBorder="1" applyAlignment="1">
      <alignment horizontal="center"/>
    </xf>
    <xf numFmtId="0" fontId="57" fillId="0" borderId="0" xfId="0" applyFont="1" applyFill="1"/>
    <xf numFmtId="0" fontId="53" fillId="0" borderId="3" xfId="0" applyFont="1" applyFill="1" applyBorder="1" applyAlignment="1">
      <alignment horizontal="center"/>
    </xf>
    <xf numFmtId="167" fontId="53" fillId="0" borderId="3" xfId="0" applyNumberFormat="1" applyFont="1" applyFill="1" applyBorder="1" applyAlignment="1">
      <alignment horizontal="center"/>
    </xf>
    <xf numFmtId="170" fontId="53" fillId="0" borderId="32" xfId="8" applyNumberFormat="1" applyFont="1" applyFill="1" applyBorder="1" applyAlignment="1">
      <alignment horizontal="center" vertical="center" wrapText="1"/>
    </xf>
    <xf numFmtId="0" fontId="53" fillId="0" borderId="52" xfId="0" applyFont="1" applyFill="1" applyBorder="1" applyAlignment="1">
      <alignment horizontal="center"/>
    </xf>
    <xf numFmtId="0" fontId="53" fillId="0" borderId="43" xfId="0" applyFont="1" applyFill="1" applyBorder="1" applyAlignment="1">
      <alignment horizontal="center"/>
    </xf>
    <xf numFmtId="0" fontId="53" fillId="0" borderId="7" xfId="0" applyFont="1" applyFill="1" applyBorder="1" applyAlignment="1">
      <alignment horizontal="center"/>
    </xf>
    <xf numFmtId="167" fontId="53" fillId="0" borderId="7" xfId="0" applyNumberFormat="1" applyFont="1" applyFill="1" applyBorder="1" applyAlignment="1">
      <alignment horizontal="center"/>
    </xf>
    <xf numFmtId="170" fontId="55" fillId="0" borderId="38" xfId="8" applyNumberFormat="1" applyFont="1" applyFill="1" applyBorder="1" applyAlignment="1">
      <alignment horizontal="center" vertical="center" wrapText="1"/>
    </xf>
    <xf numFmtId="170" fontId="55" fillId="0" borderId="0" xfId="8" applyNumberFormat="1" applyFont="1" applyFill="1" applyBorder="1" applyAlignment="1">
      <alignment horizontal="center" vertical="center" wrapText="1"/>
    </xf>
    <xf numFmtId="0" fontId="57" fillId="0" borderId="1" xfId="0" applyFont="1" applyFill="1" applyBorder="1"/>
    <xf numFmtId="2" fontId="57" fillId="0" borderId="1" xfId="0" applyNumberFormat="1" applyFont="1" applyFill="1" applyBorder="1"/>
    <xf numFmtId="170" fontId="53" fillId="0" borderId="53" xfId="8" applyNumberFormat="1" applyFont="1" applyFill="1" applyBorder="1" applyAlignment="1">
      <alignment vertical="center" textRotation="90"/>
    </xf>
    <xf numFmtId="0" fontId="55" fillId="0" borderId="26" xfId="8" applyFont="1" applyFill="1" applyBorder="1" applyAlignment="1">
      <alignment horizontal="center" vertical="center" wrapText="1"/>
    </xf>
    <xf numFmtId="0" fontId="55" fillId="0" borderId="2" xfId="8" applyFont="1" applyFill="1" applyBorder="1" applyAlignment="1">
      <alignment horizontal="center" vertical="center" wrapText="1"/>
    </xf>
    <xf numFmtId="171" fontId="54" fillId="0" borderId="4" xfId="0" applyNumberFormat="1" applyFont="1" applyFill="1" applyBorder="1" applyAlignment="1">
      <alignment horizontal="center"/>
    </xf>
    <xf numFmtId="0" fontId="49" fillId="0" borderId="0" xfId="7" applyFont="1" applyFill="1" applyBorder="1"/>
    <xf numFmtId="0" fontId="32" fillId="0" borderId="3" xfId="0" applyFont="1" applyBorder="1" applyAlignment="1">
      <alignment horizontal="center"/>
    </xf>
    <xf numFmtId="0" fontId="32" fillId="0" borderId="4" xfId="0" applyFont="1" applyBorder="1" applyAlignment="1">
      <alignment horizontal="center"/>
    </xf>
    <xf numFmtId="0" fontId="32" fillId="0" borderId="11" xfId="0" applyFont="1" applyBorder="1" applyAlignment="1">
      <alignment horizontal="center"/>
    </xf>
    <xf numFmtId="171" fontId="54" fillId="0" borderId="11" xfId="0" applyNumberFormat="1" applyFont="1" applyFill="1" applyBorder="1" applyAlignment="1">
      <alignment horizontal="center"/>
    </xf>
    <xf numFmtId="170" fontId="55" fillId="0" borderId="41" xfId="8" applyNumberFormat="1" applyFont="1" applyFill="1" applyBorder="1" applyAlignment="1">
      <alignment vertical="center" textRotation="90"/>
    </xf>
    <xf numFmtId="0" fontId="55" fillId="0" borderId="42" xfId="0" applyFont="1" applyFill="1" applyBorder="1" applyAlignment="1">
      <alignment horizontal="left" indent="1"/>
    </xf>
    <xf numFmtId="0" fontId="55" fillId="0" borderId="42" xfId="0" applyFont="1" applyFill="1" applyBorder="1"/>
    <xf numFmtId="0" fontId="55" fillId="0" borderId="43" xfId="0" applyNumberFormat="1" applyFont="1" applyFill="1" applyBorder="1" applyAlignment="1">
      <alignment horizontal="center"/>
    </xf>
    <xf numFmtId="170" fontId="55" fillId="0" borderId="44" xfId="8" applyNumberFormat="1" applyFont="1" applyFill="1" applyBorder="1" applyAlignment="1">
      <alignment vertical="center" textRotation="90"/>
    </xf>
    <xf numFmtId="0" fontId="55" fillId="0" borderId="45" xfId="0" applyFont="1" applyFill="1" applyBorder="1" applyAlignment="1">
      <alignment horizontal="left" indent="1"/>
    </xf>
    <xf numFmtId="0" fontId="55" fillId="0" borderId="45" xfId="0" applyFont="1" applyFill="1" applyBorder="1"/>
    <xf numFmtId="0" fontId="55" fillId="0" borderId="46" xfId="0" applyNumberFormat="1" applyFont="1" applyFill="1" applyBorder="1" applyAlignment="1">
      <alignment horizontal="center"/>
    </xf>
    <xf numFmtId="2" fontId="55" fillId="0" borderId="33" xfId="0" applyNumberFormat="1" applyFont="1" applyFill="1" applyBorder="1" applyAlignment="1">
      <alignment horizontal="center"/>
    </xf>
    <xf numFmtId="0" fontId="55" fillId="0" borderId="46" xfId="0" applyNumberFormat="1" applyFont="1" applyFill="1" applyBorder="1"/>
    <xf numFmtId="170" fontId="55" fillId="0" borderId="47" xfId="8" applyNumberFormat="1" applyFont="1" applyFill="1" applyBorder="1" applyAlignment="1">
      <alignment vertical="center" textRotation="90"/>
    </xf>
    <xf numFmtId="0" fontId="55" fillId="0" borderId="48" xfId="0" applyFont="1" applyFill="1" applyBorder="1" applyAlignment="1">
      <alignment horizontal="left" indent="1"/>
    </xf>
    <xf numFmtId="0" fontId="55" fillId="0" borderId="48" xfId="0" applyFont="1" applyFill="1" applyBorder="1"/>
    <xf numFmtId="0" fontId="55" fillId="0" borderId="49" xfId="0" applyNumberFormat="1" applyFont="1" applyFill="1" applyBorder="1"/>
    <xf numFmtId="2" fontId="55" fillId="0" borderId="50" xfId="0" applyNumberFormat="1" applyFont="1" applyFill="1" applyBorder="1" applyAlignment="1">
      <alignment horizontal="center"/>
    </xf>
    <xf numFmtId="0" fontId="55" fillId="0" borderId="54" xfId="0" applyFont="1" applyFill="1" applyBorder="1"/>
    <xf numFmtId="0" fontId="55" fillId="0" borderId="55" xfId="0" applyNumberFormat="1" applyFont="1" applyFill="1" applyBorder="1" applyAlignment="1">
      <alignment horizontal="center"/>
    </xf>
    <xf numFmtId="0" fontId="55" fillId="0" borderId="55" xfId="0" applyNumberFormat="1" applyFont="1" applyFill="1" applyBorder="1"/>
    <xf numFmtId="0" fontId="12" fillId="0" borderId="1" xfId="0" applyFont="1" applyFill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/>
    </xf>
    <xf numFmtId="0" fontId="44" fillId="0" borderId="7" xfId="0" applyFont="1" applyBorder="1"/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9" fillId="0" borderId="0" xfId="0" applyFont="1"/>
    <xf numFmtId="0" fontId="60" fillId="0" borderId="0" xfId="7" applyFont="1" applyAlignment="1">
      <alignment horizontal="center" vertical="center" wrapText="1"/>
    </xf>
    <xf numFmtId="0" fontId="59" fillId="0" borderId="11" xfId="0" applyFont="1" applyBorder="1" applyAlignment="1">
      <alignment horizontal="center"/>
    </xf>
    <xf numFmtId="0" fontId="59" fillId="0" borderId="11" xfId="0" applyFont="1" applyBorder="1" applyAlignment="1">
      <alignment horizontal="center" vertical="center"/>
    </xf>
    <xf numFmtId="2" fontId="59" fillId="0" borderId="11" xfId="0" applyNumberFormat="1" applyFont="1" applyBorder="1" applyAlignment="1">
      <alignment horizontal="center" vertical="center"/>
    </xf>
    <xf numFmtId="0" fontId="59" fillId="0" borderId="3" xfId="0" applyFont="1" applyBorder="1" applyAlignment="1">
      <alignment horizontal="center"/>
    </xf>
    <xf numFmtId="0" fontId="59" fillId="0" borderId="3" xfId="0" applyFont="1" applyBorder="1" applyAlignment="1">
      <alignment horizontal="center" vertical="center"/>
    </xf>
    <xf numFmtId="2" fontId="59" fillId="0" borderId="3" xfId="0" applyNumberFormat="1" applyFont="1" applyBorder="1" applyAlignment="1">
      <alignment horizontal="center" vertical="center"/>
    </xf>
    <xf numFmtId="0" fontId="59" fillId="0" borderId="4" xfId="0" applyFont="1" applyBorder="1" applyAlignment="1">
      <alignment horizontal="center"/>
    </xf>
    <xf numFmtId="0" fontId="59" fillId="0" borderId="4" xfId="0" applyFont="1" applyBorder="1" applyAlignment="1">
      <alignment horizontal="center" vertical="center"/>
    </xf>
    <xf numFmtId="2" fontId="59" fillId="0" borderId="4" xfId="0" applyNumberFormat="1" applyFont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2" fontId="59" fillId="0" borderId="0" xfId="0" applyNumberFormat="1" applyFont="1" applyAlignment="1">
      <alignment horizontal="center" vertical="center"/>
    </xf>
    <xf numFmtId="2" fontId="59" fillId="0" borderId="0" xfId="0" applyNumberFormat="1" applyFont="1"/>
    <xf numFmtId="0" fontId="59" fillId="0" borderId="11" xfId="0" applyFont="1" applyBorder="1"/>
    <xf numFmtId="2" fontId="59" fillId="0" borderId="11" xfId="0" applyNumberFormat="1" applyFont="1" applyBorder="1"/>
    <xf numFmtId="0" fontId="59" fillId="0" borderId="3" xfId="0" applyFont="1" applyBorder="1"/>
    <xf numFmtId="2" fontId="59" fillId="0" borderId="3" xfId="0" applyNumberFormat="1" applyFont="1" applyBorder="1"/>
    <xf numFmtId="0" fontId="59" fillId="0" borderId="4" xfId="0" applyFont="1" applyBorder="1"/>
    <xf numFmtId="2" fontId="59" fillId="0" borderId="4" xfId="0" applyNumberFormat="1" applyFont="1" applyBorder="1"/>
    <xf numFmtId="2" fontId="59" fillId="0" borderId="11" xfId="0" applyNumberFormat="1" applyFont="1" applyBorder="1" applyAlignment="1">
      <alignment horizontal="center"/>
    </xf>
    <xf numFmtId="2" fontId="59" fillId="0" borderId="3" xfId="0" applyNumberFormat="1" applyFont="1" applyBorder="1" applyAlignment="1">
      <alignment horizontal="center"/>
    </xf>
    <xf numFmtId="2" fontId="59" fillId="0" borderId="4" xfId="0" applyNumberFormat="1" applyFont="1" applyBorder="1" applyAlignment="1">
      <alignment horizontal="center"/>
    </xf>
    <xf numFmtId="2" fontId="58" fillId="0" borderId="11" xfId="0" applyNumberFormat="1" applyFont="1" applyBorder="1"/>
    <xf numFmtId="2" fontId="58" fillId="0" borderId="4" xfId="0" applyNumberFormat="1" applyFont="1" applyBorder="1"/>
    <xf numFmtId="0" fontId="0" fillId="0" borderId="0" xfId="0" applyAlignment="1"/>
    <xf numFmtId="0" fontId="44" fillId="0" borderId="3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0" fillId="0" borderId="6" xfId="0" applyBorder="1"/>
    <xf numFmtId="0" fontId="44" fillId="0" borderId="4" xfId="0" applyFont="1" applyBorder="1"/>
    <xf numFmtId="0" fontId="44" fillId="0" borderId="11" xfId="0" applyFont="1" applyBorder="1"/>
    <xf numFmtId="0" fontId="44" fillId="0" borderId="3" xfId="0" applyFont="1" applyBorder="1"/>
    <xf numFmtId="0" fontId="44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53" fillId="0" borderId="7" xfId="0" applyNumberFormat="1" applyFont="1" applyFill="1" applyBorder="1" applyAlignment="1">
      <alignment horizontal="center"/>
    </xf>
    <xf numFmtId="2" fontId="53" fillId="0" borderId="3" xfId="0" applyNumberFormat="1" applyFont="1" applyFill="1" applyBorder="1" applyAlignment="1">
      <alignment horizontal="center"/>
    </xf>
    <xf numFmtId="0" fontId="53" fillId="0" borderId="42" xfId="0" applyFont="1" applyFill="1" applyBorder="1" applyAlignment="1">
      <alignment horizontal="left" indent="1"/>
    </xf>
    <xf numFmtId="0" fontId="53" fillId="0" borderId="42" xfId="0" applyFont="1" applyFill="1" applyBorder="1"/>
    <xf numFmtId="0" fontId="53" fillId="0" borderId="43" xfId="0" applyNumberFormat="1" applyFont="1" applyFill="1" applyBorder="1" applyAlignment="1">
      <alignment horizontal="center"/>
    </xf>
    <xf numFmtId="0" fontId="53" fillId="0" borderId="45" xfId="0" applyFont="1" applyFill="1" applyBorder="1" applyAlignment="1">
      <alignment horizontal="left" indent="1"/>
    </xf>
    <xf numFmtId="0" fontId="53" fillId="0" borderId="45" xfId="0" applyFont="1" applyFill="1" applyBorder="1"/>
    <xf numFmtId="0" fontId="53" fillId="0" borderId="46" xfId="0" applyNumberFormat="1" applyFont="1" applyFill="1" applyBorder="1" applyAlignment="1">
      <alignment horizontal="center"/>
    </xf>
    <xf numFmtId="0" fontId="53" fillId="0" borderId="54" xfId="0" applyFont="1" applyFill="1" applyBorder="1"/>
    <xf numFmtId="0" fontId="53" fillId="0" borderId="55" xfId="0" applyNumberFormat="1" applyFont="1" applyFill="1" applyBorder="1" applyAlignment="1">
      <alignment horizontal="center"/>
    </xf>
    <xf numFmtId="0" fontId="53" fillId="0" borderId="48" xfId="0" applyFont="1" applyFill="1" applyBorder="1" applyAlignment="1">
      <alignment horizontal="left" indent="1"/>
    </xf>
    <xf numFmtId="0" fontId="53" fillId="0" borderId="48" xfId="0" applyFont="1" applyFill="1" applyBorder="1"/>
    <xf numFmtId="0" fontId="53" fillId="0" borderId="49" xfId="0" applyNumberFormat="1" applyFont="1" applyFill="1" applyBorder="1"/>
    <xf numFmtId="0" fontId="62" fillId="0" borderId="7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center"/>
    </xf>
    <xf numFmtId="2" fontId="57" fillId="0" borderId="0" xfId="0" applyNumberFormat="1" applyFont="1" applyFill="1"/>
    <xf numFmtId="0" fontId="45" fillId="0" borderId="0" xfId="7" applyFill="1" applyBorder="1" applyAlignment="1">
      <alignment horizontal="center" vertical="center" wrapText="1"/>
    </xf>
    <xf numFmtId="0" fontId="53" fillId="0" borderId="31" xfId="0" applyFont="1" applyFill="1" applyBorder="1" applyAlignment="1">
      <alignment horizontal="center"/>
    </xf>
    <xf numFmtId="0" fontId="53" fillId="0" borderId="33" xfId="0" applyFont="1" applyFill="1" applyBorder="1" applyAlignment="1">
      <alignment horizontal="center"/>
    </xf>
    <xf numFmtId="0" fontId="53" fillId="0" borderId="57" xfId="0" applyFont="1" applyFill="1" applyBorder="1" applyAlignment="1">
      <alignment horizontal="center"/>
    </xf>
    <xf numFmtId="2" fontId="53" fillId="0" borderId="11" xfId="0" applyNumberFormat="1" applyFont="1" applyFill="1" applyBorder="1" applyAlignment="1">
      <alignment horizontal="center"/>
    </xf>
    <xf numFmtId="0" fontId="53" fillId="0" borderId="51" xfId="0" applyFont="1" applyFill="1" applyBorder="1" applyAlignment="1">
      <alignment horizontal="center"/>
    </xf>
    <xf numFmtId="2" fontId="53" fillId="0" borderId="4" xfId="0" applyNumberFormat="1" applyFont="1" applyFill="1" applyBorder="1" applyAlignment="1">
      <alignment horizontal="center"/>
    </xf>
    <xf numFmtId="0" fontId="53" fillId="0" borderId="40" xfId="0" applyFont="1" applyFill="1" applyBorder="1" applyAlignment="1">
      <alignment horizontal="center"/>
    </xf>
    <xf numFmtId="0" fontId="53" fillId="0" borderId="55" xfId="0" applyNumberFormat="1" applyFont="1" applyFill="1" applyBorder="1"/>
    <xf numFmtId="2" fontId="53" fillId="0" borderId="58" xfId="0" applyNumberFormat="1" applyFont="1" applyFill="1" applyBorder="1" applyAlignment="1">
      <alignment horizontal="center"/>
    </xf>
    <xf numFmtId="0" fontId="53" fillId="0" borderId="50" xfId="0" applyFont="1" applyFill="1" applyBorder="1" applyAlignment="1">
      <alignment horizontal="center"/>
    </xf>
    <xf numFmtId="0" fontId="53" fillId="0" borderId="0" xfId="0" applyFont="1" applyFill="1" applyAlignment="1">
      <alignment horizontal="center"/>
    </xf>
    <xf numFmtId="0" fontId="57" fillId="0" borderId="33" xfId="0" applyFont="1" applyFill="1" applyBorder="1"/>
    <xf numFmtId="0" fontId="53" fillId="0" borderId="3" xfId="0" applyNumberFormat="1" applyFont="1" applyFill="1" applyBorder="1" applyAlignment="1">
      <alignment horizontal="center"/>
    </xf>
    <xf numFmtId="0" fontId="53" fillId="0" borderId="58" xfId="0" applyNumberFormat="1" applyFont="1" applyFill="1" applyBorder="1"/>
    <xf numFmtId="0" fontId="57" fillId="0" borderId="50" xfId="0" applyFont="1" applyFill="1" applyBorder="1"/>
    <xf numFmtId="0" fontId="62" fillId="0" borderId="11" xfId="0" applyFont="1" applyFill="1" applyBorder="1" applyAlignment="1">
      <alignment horizontal="center"/>
    </xf>
    <xf numFmtId="0" fontId="57" fillId="0" borderId="51" xfId="0" applyFont="1" applyFill="1" applyBorder="1"/>
    <xf numFmtId="0" fontId="63" fillId="0" borderId="27" xfId="0" applyFont="1" applyFill="1" applyBorder="1"/>
    <xf numFmtId="0" fontId="53" fillId="0" borderId="6" xfId="0" applyFont="1" applyFill="1" applyBorder="1" applyAlignment="1">
      <alignment horizontal="center"/>
    </xf>
    <xf numFmtId="171" fontId="53" fillId="0" borderId="6" xfId="0" applyNumberFormat="1" applyFont="1" applyFill="1" applyBorder="1" applyAlignment="1">
      <alignment horizontal="center"/>
    </xf>
    <xf numFmtId="2" fontId="53" fillId="0" borderId="6" xfId="0" applyNumberFormat="1" applyFont="1" applyFill="1" applyBorder="1" applyAlignment="1">
      <alignment horizontal="center"/>
    </xf>
    <xf numFmtId="167" fontId="53" fillId="0" borderId="6" xfId="0" applyNumberFormat="1" applyFont="1" applyFill="1" applyBorder="1" applyAlignment="1">
      <alignment horizontal="center"/>
    </xf>
    <xf numFmtId="0" fontId="57" fillId="0" borderId="57" xfId="0" applyFont="1" applyFill="1" applyBorder="1"/>
    <xf numFmtId="0" fontId="57" fillId="0" borderId="31" xfId="0" applyFont="1" applyFill="1" applyBorder="1"/>
    <xf numFmtId="0" fontId="57" fillId="0" borderId="64" xfId="0" applyFont="1" applyFill="1" applyBorder="1"/>
    <xf numFmtId="0" fontId="57" fillId="0" borderId="40" xfId="0" applyFont="1" applyFill="1" applyBorder="1"/>
    <xf numFmtId="0" fontId="53" fillId="0" borderId="46" xfId="0" applyFont="1" applyFill="1" applyBorder="1"/>
    <xf numFmtId="0" fontId="53" fillId="0" borderId="49" xfId="0" applyFont="1" applyFill="1" applyBorder="1"/>
    <xf numFmtId="0" fontId="53" fillId="0" borderId="4" xfId="0" applyFont="1" applyFill="1" applyBorder="1" applyAlignment="1">
      <alignment horizontal="center"/>
    </xf>
    <xf numFmtId="0" fontId="62" fillId="0" borderId="4" xfId="0" applyFont="1" applyFill="1" applyBorder="1" applyAlignment="1">
      <alignment horizontal="center"/>
    </xf>
    <xf numFmtId="167" fontId="53" fillId="0" borderId="4" xfId="0" applyNumberFormat="1" applyFont="1" applyFill="1" applyBorder="1" applyAlignment="1">
      <alignment horizontal="center"/>
    </xf>
    <xf numFmtId="0" fontId="57" fillId="0" borderId="68" xfId="0" applyFont="1" applyFill="1" applyBorder="1"/>
    <xf numFmtId="0" fontId="48" fillId="0" borderId="3" xfId="0" applyFont="1" applyFill="1" applyBorder="1" applyAlignment="1">
      <alignment vertical="center" wrapText="1" shrinkToFit="1"/>
    </xf>
    <xf numFmtId="165" fontId="64" fillId="0" borderId="3" xfId="0" applyNumberFormat="1" applyFont="1" applyFill="1" applyBorder="1" applyAlignment="1">
      <alignment horizontal="right" vertical="center" shrinkToFit="1"/>
    </xf>
    <xf numFmtId="0" fontId="65" fillId="0" borderId="3" xfId="0" applyFont="1" applyFill="1" applyBorder="1" applyAlignment="1">
      <alignment horizontal="center" vertical="center"/>
    </xf>
    <xf numFmtId="0" fontId="64" fillId="0" borderId="3" xfId="0" applyFont="1" applyFill="1" applyBorder="1" applyAlignment="1">
      <alignment horizontal="center" vertical="center" shrinkToFit="1"/>
    </xf>
    <xf numFmtId="0" fontId="64" fillId="0" borderId="3" xfId="0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vertical="center" wrapText="1" shrinkToFit="1"/>
    </xf>
    <xf numFmtId="165" fontId="48" fillId="0" borderId="3" xfId="0" applyNumberFormat="1" applyFont="1" applyFill="1" applyBorder="1" applyAlignment="1">
      <alignment horizontal="right" vertical="center" shrinkToFit="1"/>
    </xf>
    <xf numFmtId="0" fontId="64" fillId="0" borderId="3" xfId="0" applyFont="1" applyFill="1" applyBorder="1" applyAlignment="1">
      <alignment vertical="center" wrapText="1"/>
    </xf>
    <xf numFmtId="0" fontId="44" fillId="0" borderId="7" xfId="0" applyFont="1" applyFill="1" applyBorder="1" applyAlignment="1">
      <alignment horizontal="right"/>
    </xf>
    <xf numFmtId="0" fontId="44" fillId="0" borderId="3" xfId="0" applyFont="1" applyFill="1" applyBorder="1" applyAlignment="1">
      <alignment horizontal="right"/>
    </xf>
    <xf numFmtId="0" fontId="0" fillId="0" borderId="3" xfId="0" applyFill="1" applyBorder="1"/>
    <xf numFmtId="0" fontId="44" fillId="0" borderId="3" xfId="0" applyFont="1" applyBorder="1" applyAlignment="1">
      <alignment horizontal="right"/>
    </xf>
    <xf numFmtId="0" fontId="0" fillId="0" borderId="4" xfId="0" applyFill="1" applyBorder="1"/>
    <xf numFmtId="0" fontId="44" fillId="0" borderId="4" xfId="0" applyFont="1" applyBorder="1" applyAlignment="1">
      <alignment horizontal="right"/>
    </xf>
    <xf numFmtId="0" fontId="0" fillId="0" borderId="11" xfId="0" applyFill="1" applyBorder="1"/>
    <xf numFmtId="0" fontId="44" fillId="0" borderId="11" xfId="0" applyFont="1" applyBorder="1" applyAlignment="1">
      <alignment horizontal="right"/>
    </xf>
    <xf numFmtId="0" fontId="44" fillId="0" borderId="4" xfId="0" applyFont="1" applyFill="1" applyBorder="1" applyAlignment="1">
      <alignment horizontal="right"/>
    </xf>
    <xf numFmtId="0" fontId="0" fillId="0" borderId="69" xfId="0" applyBorder="1"/>
    <xf numFmtId="0" fontId="0" fillId="0" borderId="42" xfId="0" applyBorder="1"/>
    <xf numFmtId="0" fontId="0" fillId="0" borderId="43" xfId="0" applyBorder="1"/>
    <xf numFmtId="0" fontId="0" fillId="0" borderId="70" xfId="0" applyBorder="1"/>
    <xf numFmtId="0" fontId="0" fillId="0" borderId="45" xfId="0" applyBorder="1"/>
    <xf numFmtId="0" fontId="0" fillId="0" borderId="46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66" fillId="2" borderId="76" xfId="0" applyFont="1" applyFill="1" applyBorder="1" applyAlignment="1">
      <alignment horizontal="center"/>
    </xf>
    <xf numFmtId="0" fontId="66" fillId="0" borderId="0" xfId="0" applyFont="1" applyAlignment="1">
      <alignment horizontal="center"/>
    </xf>
    <xf numFmtId="0" fontId="66" fillId="2" borderId="0" xfId="0" applyFont="1" applyFill="1" applyBorder="1" applyAlignment="1">
      <alignment horizontal="center"/>
    </xf>
    <xf numFmtId="0" fontId="67" fillId="2" borderId="77" xfId="0" applyFont="1" applyFill="1" applyBorder="1" applyAlignment="1">
      <alignment horizontal="centerContinuous" vertical="center"/>
    </xf>
    <xf numFmtId="0" fontId="52" fillId="2" borderId="78" xfId="0" applyFont="1" applyFill="1" applyBorder="1" applyAlignment="1">
      <alignment horizontal="centerContinuous" vertical="center"/>
    </xf>
    <xf numFmtId="172" fontId="52" fillId="2" borderId="78" xfId="0" applyNumberFormat="1" applyFont="1" applyFill="1" applyBorder="1" applyAlignment="1">
      <alignment horizontal="centerContinuous" vertical="center" wrapText="1"/>
    </xf>
    <xf numFmtId="172" fontId="52" fillId="2" borderId="79" xfId="0" applyNumberFormat="1" applyFont="1" applyFill="1" applyBorder="1" applyAlignment="1">
      <alignment horizontal="centerContinuous" vertical="center"/>
    </xf>
    <xf numFmtId="0" fontId="66" fillId="0" borderId="0" xfId="0" applyFont="1"/>
    <xf numFmtId="0" fontId="66" fillId="0" borderId="80" xfId="0" applyFont="1" applyBorder="1" applyAlignment="1">
      <alignment horizontal="center"/>
    </xf>
    <xf numFmtId="0" fontId="66" fillId="0" borderId="1" xfId="0" applyFont="1" applyBorder="1"/>
    <xf numFmtId="0" fontId="66" fillId="2" borderId="1" xfId="0" applyFont="1" applyFill="1" applyBorder="1" applyAlignment="1">
      <alignment horizontal="center"/>
    </xf>
    <xf numFmtId="167" fontId="66" fillId="2" borderId="81" xfId="0" applyNumberFormat="1" applyFont="1" applyFill="1" applyBorder="1" applyAlignment="1">
      <alignment horizontal="center"/>
    </xf>
    <xf numFmtId="167" fontId="66" fillId="2" borderId="0" xfId="0" applyNumberFormat="1" applyFont="1" applyFill="1" applyBorder="1" applyAlignment="1">
      <alignment horizontal="center"/>
    </xf>
    <xf numFmtId="0" fontId="52" fillId="2" borderId="82" xfId="0" quotePrefix="1" applyFont="1" applyFill="1" applyBorder="1" applyAlignment="1">
      <alignment horizontal="left"/>
    </xf>
    <xf numFmtId="0" fontId="52" fillId="2" borderId="83" xfId="0" applyFont="1" applyFill="1" applyBorder="1" applyAlignment="1">
      <alignment horizontal="center"/>
    </xf>
    <xf numFmtId="2" fontId="52" fillId="2" borderId="83" xfId="0" applyNumberFormat="1" applyFont="1" applyFill="1" applyBorder="1" applyAlignment="1">
      <alignment horizontal="center" wrapText="1"/>
    </xf>
    <xf numFmtId="172" fontId="52" fillId="2" borderId="84" xfId="0" applyNumberFormat="1" applyFont="1" applyFill="1" applyBorder="1" applyAlignment="1">
      <alignment horizontal="center"/>
    </xf>
    <xf numFmtId="2" fontId="52" fillId="2" borderId="83" xfId="0" applyNumberFormat="1" applyFont="1" applyFill="1" applyBorder="1" applyAlignment="1">
      <alignment horizontal="center"/>
    </xf>
    <xf numFmtId="0" fontId="66" fillId="0" borderId="0" xfId="0" applyFont="1" applyBorder="1"/>
    <xf numFmtId="167" fontId="66" fillId="2" borderId="18" xfId="0" applyNumberFormat="1" applyFont="1" applyFill="1" applyBorder="1" applyAlignment="1">
      <alignment horizontal="center"/>
    </xf>
    <xf numFmtId="0" fontId="66" fillId="0" borderId="0" xfId="0" applyFont="1" applyBorder="1" applyAlignment="1">
      <alignment horizontal="center"/>
    </xf>
    <xf numFmtId="0" fontId="66" fillId="0" borderId="18" xfId="0" applyFont="1" applyBorder="1" applyAlignment="1">
      <alignment horizontal="center"/>
    </xf>
    <xf numFmtId="0" fontId="66" fillId="2" borderId="1" xfId="0" applyFont="1" applyFill="1" applyBorder="1"/>
    <xf numFmtId="0" fontId="52" fillId="2" borderId="85" xfId="0" quotePrefix="1" applyFont="1" applyFill="1" applyBorder="1" applyAlignment="1">
      <alignment horizontal="left"/>
    </xf>
    <xf numFmtId="0" fontId="52" fillId="2" borderId="86" xfId="0" applyFont="1" applyFill="1" applyBorder="1" applyAlignment="1">
      <alignment horizontal="center"/>
    </xf>
    <xf numFmtId="2" fontId="52" fillId="2" borderId="86" xfId="0" applyNumberFormat="1" applyFont="1" applyFill="1" applyBorder="1" applyAlignment="1">
      <alignment horizontal="center"/>
    </xf>
    <xf numFmtId="0" fontId="67" fillId="2" borderId="87" xfId="0" applyFont="1" applyFill="1" applyBorder="1" applyAlignment="1">
      <alignment horizontal="left"/>
    </xf>
    <xf numFmtId="0" fontId="67" fillId="2" borderId="88" xfId="0" applyFont="1" applyFill="1" applyBorder="1" applyAlignment="1">
      <alignment horizontal="center"/>
    </xf>
    <xf numFmtId="172" fontId="52" fillId="2" borderId="88" xfId="0" applyNumberFormat="1" applyFont="1" applyFill="1" applyBorder="1" applyAlignment="1">
      <alignment horizontal="center"/>
    </xf>
    <xf numFmtId="172" fontId="67" fillId="2" borderId="89" xfId="0" applyNumberFormat="1" applyFont="1" applyFill="1" applyBorder="1" applyAlignment="1">
      <alignment horizontal="center"/>
    </xf>
    <xf numFmtId="0" fontId="66" fillId="3" borderId="1" xfId="0" applyFont="1" applyFill="1" applyBorder="1"/>
    <xf numFmtId="0" fontId="66" fillId="3" borderId="1" xfId="0" applyFont="1" applyFill="1" applyBorder="1" applyAlignment="1">
      <alignment horizontal="center"/>
    </xf>
    <xf numFmtId="167" fontId="66" fillId="3" borderId="81" xfId="0" applyNumberFormat="1" applyFont="1" applyFill="1" applyBorder="1" applyAlignment="1">
      <alignment horizontal="center"/>
    </xf>
    <xf numFmtId="167" fontId="66" fillId="0" borderId="0" xfId="0" applyNumberFormat="1" applyFont="1" applyAlignment="1">
      <alignment horizontal="center"/>
    </xf>
    <xf numFmtId="0" fontId="66" fillId="0" borderId="1" xfId="0" applyFont="1" applyBorder="1" applyAlignment="1">
      <alignment horizontal="center"/>
    </xf>
    <xf numFmtId="0" fontId="52" fillId="2" borderId="0" xfId="0" applyFont="1" applyFill="1" applyBorder="1" applyAlignment="1">
      <alignment horizontal="center"/>
    </xf>
    <xf numFmtId="0" fontId="66" fillId="4" borderId="80" xfId="0" applyFont="1" applyFill="1" applyBorder="1" applyAlignment="1">
      <alignment horizontal="center"/>
    </xf>
    <xf numFmtId="0" fontId="66" fillId="4" borderId="1" xfId="0" applyFont="1" applyFill="1" applyBorder="1"/>
    <xf numFmtId="0" fontId="66" fillId="4" borderId="1" xfId="0" applyFont="1" applyFill="1" applyBorder="1" applyAlignment="1">
      <alignment horizontal="center"/>
    </xf>
    <xf numFmtId="167" fontId="66" fillId="0" borderId="0" xfId="0" applyNumberFormat="1" applyFont="1"/>
    <xf numFmtId="2" fontId="66" fillId="2" borderId="0" xfId="0" applyNumberFormat="1" applyFont="1" applyFill="1" applyBorder="1" applyAlignment="1">
      <alignment horizontal="center"/>
    </xf>
    <xf numFmtId="0" fontId="66" fillId="0" borderId="1" xfId="0" applyFont="1" applyFill="1" applyBorder="1"/>
    <xf numFmtId="167" fontId="66" fillId="5" borderId="81" xfId="0" applyNumberFormat="1" applyFont="1" applyFill="1" applyBorder="1" applyAlignment="1">
      <alignment horizontal="center"/>
    </xf>
    <xf numFmtId="2" fontId="66" fillId="5" borderId="81" xfId="0" applyNumberFormat="1" applyFont="1" applyFill="1" applyBorder="1" applyAlignment="1">
      <alignment horizontal="center"/>
    </xf>
    <xf numFmtId="0" fontId="66" fillId="2" borderId="81" xfId="0" applyFont="1" applyFill="1" applyBorder="1" applyAlignment="1">
      <alignment horizontal="center"/>
    </xf>
    <xf numFmtId="0" fontId="66" fillId="2" borderId="90" xfId="0" applyFont="1" applyFill="1" applyBorder="1"/>
    <xf numFmtId="0" fontId="66" fillId="2" borderId="90" xfId="0" applyFont="1" applyFill="1" applyBorder="1" applyAlignment="1">
      <alignment horizontal="center"/>
    </xf>
    <xf numFmtId="0" fontId="66" fillId="0" borderId="91" xfId="0" applyFont="1" applyBorder="1" applyAlignment="1">
      <alignment horizontal="center"/>
    </xf>
    <xf numFmtId="0" fontId="66" fillId="2" borderId="0" xfId="0" applyFont="1" applyFill="1" applyBorder="1"/>
    <xf numFmtId="0" fontId="52" fillId="0" borderId="0" xfId="0" applyFont="1" applyBorder="1" applyAlignment="1">
      <alignment horizontal="center"/>
    </xf>
    <xf numFmtId="0" fontId="52" fillId="2" borderId="67" xfId="0" applyFont="1" applyFill="1" applyBorder="1" applyAlignment="1">
      <alignment horizontal="center" vertical="center"/>
    </xf>
    <xf numFmtId="0" fontId="52" fillId="2" borderId="1" xfId="0" applyFont="1" applyFill="1" applyBorder="1" applyAlignment="1">
      <alignment horizontal="left" vertical="center"/>
    </xf>
    <xf numFmtId="0" fontId="52" fillId="2" borderId="1" xfId="0" applyFont="1" applyFill="1" applyBorder="1" applyAlignment="1">
      <alignment horizontal="center" vertical="center"/>
    </xf>
    <xf numFmtId="2" fontId="52" fillId="2" borderId="1" xfId="0" applyNumberFormat="1" applyFont="1" applyFill="1" applyBorder="1" applyAlignment="1">
      <alignment horizontal="center" vertical="center"/>
    </xf>
    <xf numFmtId="0" fontId="66" fillId="0" borderId="68" xfId="0" applyFont="1" applyBorder="1" applyAlignment="1">
      <alignment horizontal="center"/>
    </xf>
    <xf numFmtId="2" fontId="52" fillId="2" borderId="97" xfId="0" applyNumberFormat="1" applyFont="1" applyFill="1" applyBorder="1" applyAlignment="1">
      <alignment horizontal="center" vertical="center"/>
    </xf>
    <xf numFmtId="2" fontId="52" fillId="2" borderId="98" xfId="1" applyNumberFormat="1" applyFont="1" applyFill="1" applyBorder="1" applyAlignment="1">
      <alignment horizontal="center"/>
    </xf>
    <xf numFmtId="0" fontId="52" fillId="0" borderId="1" xfId="0" applyFont="1" applyBorder="1" applyAlignment="1">
      <alignment horizontal="left" vertical="center"/>
    </xf>
    <xf numFmtId="0" fontId="52" fillId="2" borderId="1" xfId="0" applyFont="1" applyFill="1" applyBorder="1" applyAlignment="1">
      <alignment horizontal="center"/>
    </xf>
    <xf numFmtId="2" fontId="52" fillId="0" borderId="68" xfId="0" applyNumberFormat="1" applyFont="1" applyFill="1" applyBorder="1" applyAlignment="1">
      <alignment horizontal="center"/>
    </xf>
    <xf numFmtId="172" fontId="66" fillId="0" borderId="97" xfId="0" applyNumberFormat="1" applyFont="1" applyBorder="1" applyAlignment="1">
      <alignment horizontal="center"/>
    </xf>
    <xf numFmtId="0" fontId="52" fillId="2" borderId="1" xfId="0" applyFont="1" applyFill="1" applyBorder="1"/>
    <xf numFmtId="0" fontId="52" fillId="0" borderId="1" xfId="0" applyFont="1" applyBorder="1" applyAlignment="1">
      <alignment horizontal="center" vertical="center"/>
    </xf>
    <xf numFmtId="2" fontId="52" fillId="0" borderId="1" xfId="0" applyNumberFormat="1" applyFont="1" applyBorder="1" applyAlignment="1">
      <alignment horizontal="center" vertical="center"/>
    </xf>
    <xf numFmtId="0" fontId="66" fillId="0" borderId="97" xfId="0" applyFont="1" applyBorder="1" applyAlignment="1">
      <alignment horizontal="center"/>
    </xf>
    <xf numFmtId="2" fontId="52" fillId="2" borderId="0" xfId="1" applyNumberFormat="1" applyFont="1" applyFill="1" applyBorder="1" applyAlignment="1">
      <alignment horizontal="center"/>
    </xf>
    <xf numFmtId="0" fontId="66" fillId="0" borderId="67" xfId="0" applyFont="1" applyBorder="1" applyAlignment="1">
      <alignment horizontal="center"/>
    </xf>
    <xf numFmtId="44" fontId="52" fillId="2" borderId="1" xfId="9" applyFont="1" applyFill="1" applyBorder="1" applyAlignment="1">
      <alignment horizontal="center"/>
    </xf>
    <xf numFmtId="44" fontId="52" fillId="2" borderId="68" xfId="9" applyFont="1" applyFill="1" applyBorder="1" applyAlignment="1">
      <alignment horizontal="center"/>
    </xf>
    <xf numFmtId="2" fontId="52" fillId="2" borderId="1" xfId="9" applyNumberFormat="1" applyFont="1" applyFill="1" applyBorder="1" applyAlignment="1">
      <alignment horizontal="center"/>
    </xf>
    <xf numFmtId="2" fontId="52" fillId="2" borderId="1" xfId="0" applyNumberFormat="1" applyFont="1" applyFill="1" applyBorder="1" applyAlignment="1">
      <alignment horizontal="center"/>
    </xf>
    <xf numFmtId="2" fontId="52" fillId="2" borderId="68" xfId="0" applyNumberFormat="1" applyFont="1" applyFill="1" applyBorder="1" applyAlignment="1">
      <alignment horizontal="center"/>
    </xf>
    <xf numFmtId="0" fontId="52" fillId="0" borderId="1" xfId="0" applyFont="1" applyFill="1" applyBorder="1"/>
    <xf numFmtId="0" fontId="52" fillId="0" borderId="1" xfId="0" applyFont="1" applyFill="1" applyBorder="1" applyAlignment="1">
      <alignment horizontal="center"/>
    </xf>
    <xf numFmtId="0" fontId="52" fillId="0" borderId="98" xfId="0" applyFont="1" applyBorder="1" applyAlignment="1">
      <alignment horizontal="left" vertical="center" indent="1"/>
    </xf>
    <xf numFmtId="0" fontId="52" fillId="0" borderId="1" xfId="0" quotePrefix="1" applyFont="1" applyBorder="1" applyAlignment="1">
      <alignment horizontal="center" vertical="center"/>
    </xf>
    <xf numFmtId="2" fontId="52" fillId="2" borderId="97" xfId="0" applyNumberFormat="1" applyFont="1" applyFill="1" applyBorder="1" applyAlignment="1">
      <alignment horizontal="center"/>
    </xf>
    <xf numFmtId="0" fontId="66" fillId="2" borderId="0" xfId="0" applyFont="1" applyFill="1"/>
    <xf numFmtId="2" fontId="52" fillId="0" borderId="1" xfId="0" applyNumberFormat="1" applyFont="1" applyFill="1" applyBorder="1" applyAlignment="1">
      <alignment horizontal="center"/>
    </xf>
    <xf numFmtId="0" fontId="52" fillId="0" borderId="1" xfId="0" applyFont="1" applyBorder="1" applyAlignment="1">
      <alignment horizontal="left" vertical="center" indent="1"/>
    </xf>
    <xf numFmtId="0" fontId="52" fillId="2" borderId="66" xfId="0" applyFont="1" applyFill="1" applyBorder="1" applyAlignment="1">
      <alignment horizontal="center" vertical="center"/>
    </xf>
    <xf numFmtId="0" fontId="52" fillId="2" borderId="99" xfId="0" applyFont="1" applyFill="1" applyBorder="1"/>
    <xf numFmtId="0" fontId="52" fillId="2" borderId="99" xfId="0" applyFont="1" applyFill="1" applyBorder="1" applyAlignment="1">
      <alignment horizontal="center"/>
    </xf>
    <xf numFmtId="172" fontId="52" fillId="0" borderId="99" xfId="0" applyNumberFormat="1" applyFont="1" applyFill="1" applyBorder="1" applyAlignment="1">
      <alignment horizontal="center"/>
    </xf>
    <xf numFmtId="2" fontId="52" fillId="0" borderId="100" xfId="0" applyNumberFormat="1" applyFont="1" applyFill="1" applyBorder="1" applyAlignment="1">
      <alignment horizontal="center"/>
    </xf>
    <xf numFmtId="0" fontId="52" fillId="0" borderId="1" xfId="0" applyFont="1" applyBorder="1"/>
    <xf numFmtId="0" fontId="0" fillId="2" borderId="1" xfId="0" applyFill="1" applyBorder="1" applyAlignment="1">
      <alignment horizontal="center"/>
    </xf>
    <xf numFmtId="2" fontId="0" fillId="2" borderId="68" xfId="0" applyNumberFormat="1" applyFill="1" applyBorder="1" applyAlignment="1">
      <alignment horizontal="center"/>
    </xf>
    <xf numFmtId="0" fontId="0" fillId="3" borderId="68" xfId="0" applyFill="1" applyBorder="1" applyAlignment="1">
      <alignment horizontal="center"/>
    </xf>
    <xf numFmtId="0" fontId="0" fillId="2" borderId="68" xfId="0" applyFill="1" applyBorder="1" applyAlignment="1">
      <alignment horizontal="center"/>
    </xf>
    <xf numFmtId="0" fontId="52" fillId="4" borderId="68" xfId="0" applyFont="1" applyFill="1" applyBorder="1" applyAlignment="1">
      <alignment horizontal="center"/>
    </xf>
    <xf numFmtId="0" fontId="0" fillId="4" borderId="68" xfId="0" applyFill="1" applyBorder="1" applyAlignment="1">
      <alignment horizontal="center"/>
    </xf>
    <xf numFmtId="0" fontId="66" fillId="4" borderId="0" xfId="0" applyFont="1" applyFill="1"/>
    <xf numFmtId="0" fontId="0" fillId="0" borderId="6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0" fontId="52" fillId="4" borderId="1" xfId="0" applyFont="1" applyFill="1" applyBorder="1"/>
    <xf numFmtId="0" fontId="52" fillId="4" borderId="1" xfId="0" applyFont="1" applyFill="1" applyBorder="1" applyAlignment="1">
      <alignment horizontal="center"/>
    </xf>
    <xf numFmtId="0" fontId="0" fillId="4" borderId="101" xfId="0" applyFill="1" applyBorder="1" applyAlignment="1">
      <alignment horizontal="center"/>
    </xf>
    <xf numFmtId="0" fontId="66" fillId="2" borderId="102" xfId="0" applyFont="1" applyFill="1" applyBorder="1" applyAlignment="1">
      <alignment horizontal="center"/>
    </xf>
    <xf numFmtId="2" fontId="52" fillId="2" borderId="68" xfId="0" applyNumberFormat="1" applyFont="1" applyFill="1" applyBorder="1" applyAlignment="1">
      <alignment horizontal="center" vertical="center"/>
    </xf>
    <xf numFmtId="0" fontId="52" fillId="0" borderId="1" xfId="0" applyFont="1" applyBorder="1" applyAlignment="1">
      <alignment wrapText="1"/>
    </xf>
    <xf numFmtId="2" fontId="52" fillId="0" borderId="68" xfId="0" applyNumberFormat="1" applyFont="1" applyBorder="1" applyAlignment="1">
      <alignment horizontal="center" vertical="center"/>
    </xf>
    <xf numFmtId="2" fontId="52" fillId="2" borderId="1" xfId="0" applyNumberFormat="1" applyFont="1" applyFill="1" applyBorder="1" applyAlignment="1"/>
    <xf numFmtId="2" fontId="52" fillId="2" borderId="68" xfId="0" applyNumberFormat="1" applyFont="1" applyFill="1" applyBorder="1" applyAlignment="1"/>
    <xf numFmtId="0" fontId="52" fillId="2" borderId="1" xfId="0" applyFont="1" applyFill="1" applyBorder="1" applyAlignment="1">
      <alignment wrapText="1"/>
    </xf>
    <xf numFmtId="2" fontId="52" fillId="0" borderId="1" xfId="0" applyNumberFormat="1" applyFont="1" applyFill="1" applyBorder="1" applyAlignment="1"/>
    <xf numFmtId="2" fontId="52" fillId="0" borderId="68" xfId="0" applyNumberFormat="1" applyFont="1" applyFill="1" applyBorder="1" applyAlignment="1"/>
    <xf numFmtId="172" fontId="52" fillId="2" borderId="99" xfId="0" applyNumberFormat="1" applyFont="1" applyFill="1" applyBorder="1" applyAlignment="1">
      <alignment horizontal="center"/>
    </xf>
    <xf numFmtId="172" fontId="52" fillId="2" borderId="100" xfId="0" applyNumberFormat="1" applyFont="1" applyFill="1" applyBorder="1" applyAlignment="1">
      <alignment horizontal="center"/>
    </xf>
    <xf numFmtId="0" fontId="67" fillId="0" borderId="0" xfId="0" applyFont="1" applyBorder="1" applyAlignment="1">
      <alignment horizontal="center"/>
    </xf>
    <xf numFmtId="0" fontId="52" fillId="2" borderId="105" xfId="10" applyFont="1" applyFill="1" applyBorder="1" applyAlignment="1">
      <alignment horizontal="center"/>
    </xf>
    <xf numFmtId="0" fontId="52" fillId="2" borderId="0" xfId="10" applyFill="1" applyBorder="1" applyAlignment="1">
      <alignment horizontal="center"/>
    </xf>
    <xf numFmtId="0" fontId="52" fillId="2" borderId="0" xfId="10" applyFill="1" applyBorder="1"/>
    <xf numFmtId="0" fontId="67" fillId="2" borderId="106" xfId="10" applyFont="1" applyFill="1" applyBorder="1" applyAlignment="1">
      <alignment horizontal="centerContinuous" vertical="center" wrapText="1"/>
    </xf>
    <xf numFmtId="0" fontId="52" fillId="2" borderId="78" xfId="10" applyFont="1" applyFill="1" applyBorder="1" applyAlignment="1">
      <alignment horizontal="centerContinuous" vertical="center"/>
    </xf>
    <xf numFmtId="172" fontId="52" fillId="2" borderId="78" xfId="10" applyNumberFormat="1" applyFont="1" applyFill="1" applyBorder="1" applyAlignment="1">
      <alignment horizontal="center" vertical="center" wrapText="1"/>
    </xf>
    <xf numFmtId="172" fontId="52" fillId="2" borderId="79" xfId="10" applyNumberFormat="1" applyFont="1" applyFill="1" applyBorder="1" applyAlignment="1">
      <alignment horizontal="centerContinuous" vertical="center"/>
    </xf>
    <xf numFmtId="0" fontId="52" fillId="0" borderId="107" xfId="10" applyBorder="1" applyAlignment="1">
      <alignment horizontal="center"/>
    </xf>
    <xf numFmtId="0" fontId="52" fillId="0" borderId="3" xfId="10" applyBorder="1"/>
    <xf numFmtId="0" fontId="52" fillId="2" borderId="3" xfId="10" applyFill="1" applyBorder="1" applyAlignment="1">
      <alignment horizontal="center"/>
    </xf>
    <xf numFmtId="167" fontId="52" fillId="6" borderId="108" xfId="1" applyNumberFormat="1" applyFont="1" applyFill="1" applyBorder="1" applyAlignment="1">
      <alignment horizontal="center" vertical="center"/>
    </xf>
    <xf numFmtId="167" fontId="52" fillId="2" borderId="0" xfId="1" applyNumberFormat="1" applyFont="1" applyFill="1" applyBorder="1" applyAlignment="1">
      <alignment horizontal="center" vertical="center"/>
    </xf>
    <xf numFmtId="0" fontId="67" fillId="2" borderId="109" xfId="10" applyFont="1" applyFill="1" applyBorder="1" applyAlignment="1">
      <alignment horizontal="centerContinuous" vertical="center" wrapText="1"/>
    </xf>
    <xf numFmtId="172" fontId="52" fillId="2" borderId="1" xfId="0" applyNumberFormat="1" applyFont="1" applyFill="1" applyBorder="1" applyAlignment="1">
      <alignment horizontal="center" vertical="center"/>
    </xf>
    <xf numFmtId="172" fontId="52" fillId="2" borderId="81" xfId="0" applyNumberFormat="1" applyFont="1" applyFill="1" applyBorder="1" applyAlignment="1">
      <alignment horizontal="center"/>
    </xf>
    <xf numFmtId="167" fontId="52" fillId="6" borderId="108" xfId="10" applyNumberFormat="1" applyFill="1" applyBorder="1" applyAlignment="1">
      <alignment horizontal="center" vertical="center"/>
    </xf>
    <xf numFmtId="167" fontId="52" fillId="2" borderId="0" xfId="10" applyNumberFormat="1" applyFill="1" applyBorder="1" applyAlignment="1">
      <alignment horizontal="center" vertical="center"/>
    </xf>
    <xf numFmtId="2" fontId="52" fillId="2" borderId="0" xfId="10" applyNumberFormat="1" applyFill="1" applyBorder="1" applyAlignment="1">
      <alignment horizontal="center"/>
    </xf>
    <xf numFmtId="0" fontId="52" fillId="2" borderId="110" xfId="10" quotePrefix="1" applyFont="1" applyFill="1" applyBorder="1" applyAlignment="1">
      <alignment horizontal="left"/>
    </xf>
    <xf numFmtId="167" fontId="52" fillId="0" borderId="108" xfId="10" applyNumberFormat="1" applyBorder="1" applyAlignment="1">
      <alignment horizontal="center" vertical="center"/>
    </xf>
    <xf numFmtId="167" fontId="52" fillId="0" borderId="0" xfId="10" applyNumberFormat="1" applyBorder="1" applyAlignment="1">
      <alignment horizontal="center" vertical="center"/>
    </xf>
    <xf numFmtId="0" fontId="67" fillId="2" borderId="0" xfId="10" applyFont="1" applyFill="1" applyBorder="1" applyAlignment="1">
      <alignment horizontal="left"/>
    </xf>
    <xf numFmtId="0" fontId="67" fillId="2" borderId="1" xfId="0" applyFont="1" applyFill="1" applyBorder="1" applyAlignment="1">
      <alignment horizontal="center"/>
    </xf>
    <xf numFmtId="172" fontId="52" fillId="2" borderId="1" xfId="0" applyNumberFormat="1" applyFont="1" applyFill="1" applyBorder="1" applyAlignment="1">
      <alignment horizontal="center"/>
    </xf>
    <xf numFmtId="172" fontId="67" fillId="2" borderId="81" xfId="0" applyNumberFormat="1" applyFont="1" applyFill="1" applyBorder="1" applyAlignment="1">
      <alignment horizontal="center"/>
    </xf>
    <xf numFmtId="0" fontId="52" fillId="0" borderId="3" xfId="10" applyBorder="1" applyAlignment="1">
      <alignment horizontal="center"/>
    </xf>
    <xf numFmtId="0" fontId="52" fillId="2" borderId="83" xfId="10" applyFont="1" applyFill="1" applyBorder="1" applyAlignment="1">
      <alignment horizontal="center"/>
    </xf>
    <xf numFmtId="172" fontId="52" fillId="2" borderId="79" xfId="10" applyNumberFormat="1" applyFont="1" applyFill="1" applyBorder="1" applyAlignment="1">
      <alignment horizontal="center" vertical="center"/>
    </xf>
    <xf numFmtId="172" fontId="52" fillId="2" borderId="84" xfId="10" applyNumberFormat="1" applyFont="1" applyFill="1" applyBorder="1" applyAlignment="1">
      <alignment horizontal="center"/>
    </xf>
    <xf numFmtId="0" fontId="52" fillId="0" borderId="3" xfId="10" applyFont="1" applyBorder="1"/>
    <xf numFmtId="0" fontId="52" fillId="0" borderId="3" xfId="10" applyFont="1" applyBorder="1" applyAlignment="1">
      <alignment horizontal="center"/>
    </xf>
    <xf numFmtId="167" fontId="52" fillId="2" borderId="108" xfId="10" applyNumberFormat="1" applyFill="1" applyBorder="1" applyAlignment="1">
      <alignment horizontal="center" vertical="center"/>
    </xf>
    <xf numFmtId="0" fontId="52" fillId="2" borderId="0" xfId="10" quotePrefix="1" applyFont="1" applyFill="1" applyBorder="1" applyAlignment="1">
      <alignment horizontal="left"/>
    </xf>
    <xf numFmtId="0" fontId="52" fillId="2" borderId="0" xfId="10" applyFont="1" applyFill="1" applyBorder="1" applyAlignment="1">
      <alignment horizontal="center"/>
    </xf>
    <xf numFmtId="172" fontId="52" fillId="2" borderId="0" xfId="10" applyNumberFormat="1" applyFont="1" applyFill="1" applyBorder="1" applyAlignment="1">
      <alignment horizontal="center" vertical="center"/>
    </xf>
    <xf numFmtId="172" fontId="52" fillId="2" borderId="0" xfId="10" applyNumberFormat="1" applyFont="1" applyFill="1" applyBorder="1" applyAlignment="1">
      <alignment horizontal="center"/>
    </xf>
    <xf numFmtId="0" fontId="67" fillId="2" borderId="0" xfId="10" applyFont="1" applyFill="1" applyBorder="1" applyAlignment="1">
      <alignment horizontal="center"/>
    </xf>
    <xf numFmtId="172" fontId="67" fillId="2" borderId="0" xfId="10" applyNumberFormat="1" applyFont="1" applyFill="1" applyBorder="1" applyAlignment="1">
      <alignment horizontal="center"/>
    </xf>
    <xf numFmtId="2" fontId="52" fillId="2" borderId="101" xfId="10" applyNumberFormat="1" applyFont="1" applyFill="1" applyBorder="1" applyAlignment="1">
      <alignment horizontal="center" vertical="center"/>
    </xf>
    <xf numFmtId="167" fontId="52" fillId="2" borderId="108" xfId="1" applyNumberFormat="1" applyFont="1" applyFill="1" applyBorder="1" applyAlignment="1">
      <alignment horizontal="center" vertical="center"/>
    </xf>
    <xf numFmtId="2" fontId="52" fillId="2" borderId="83" xfId="10" applyNumberFormat="1" applyFont="1" applyFill="1" applyBorder="1" applyAlignment="1">
      <alignment horizontal="center"/>
    </xf>
    <xf numFmtId="2" fontId="52" fillId="2" borderId="0" xfId="10" applyNumberFormat="1" applyFont="1" applyFill="1" applyBorder="1" applyAlignment="1">
      <alignment horizontal="center"/>
    </xf>
    <xf numFmtId="0" fontId="52" fillId="7" borderId="107" xfId="10" applyFill="1" applyBorder="1" applyAlignment="1">
      <alignment horizontal="center"/>
    </xf>
    <xf numFmtId="0" fontId="52" fillId="7" borderId="3" xfId="10" applyFill="1" applyBorder="1"/>
    <xf numFmtId="0" fontId="52" fillId="7" borderId="3" xfId="10" applyFill="1" applyBorder="1" applyAlignment="1">
      <alignment horizontal="center"/>
    </xf>
    <xf numFmtId="167" fontId="52" fillId="7" borderId="108" xfId="1" applyNumberFormat="1" applyFont="1" applyFill="1" applyBorder="1" applyAlignment="1">
      <alignment horizontal="center" vertical="center"/>
    </xf>
    <xf numFmtId="167" fontId="52" fillId="7" borderId="0" xfId="1" applyNumberFormat="1" applyFont="1" applyFill="1" applyBorder="1" applyAlignment="1">
      <alignment horizontal="center" vertical="center"/>
    </xf>
    <xf numFmtId="0" fontId="52" fillId="2" borderId="107" xfId="10" applyFill="1" applyBorder="1" applyAlignment="1">
      <alignment horizontal="center"/>
    </xf>
    <xf numFmtId="0" fontId="52" fillId="2" borderId="3" xfId="10" applyFont="1" applyFill="1" applyBorder="1"/>
    <xf numFmtId="0" fontId="52" fillId="2" borderId="3" xfId="10" applyFont="1" applyFill="1" applyBorder="1" applyAlignment="1">
      <alignment horizontal="center"/>
    </xf>
    <xf numFmtId="0" fontId="52" fillId="8" borderId="3" xfId="10" applyFont="1" applyFill="1" applyBorder="1"/>
    <xf numFmtId="0" fontId="52" fillId="8" borderId="3" xfId="10" applyFill="1" applyBorder="1" applyAlignment="1">
      <alignment horizontal="center"/>
    </xf>
    <xf numFmtId="167" fontId="52" fillId="8" borderId="108" xfId="1" applyNumberFormat="1" applyFont="1" applyFill="1" applyBorder="1" applyAlignment="1">
      <alignment horizontal="center" vertical="center"/>
    </xf>
    <xf numFmtId="167" fontId="52" fillId="8" borderId="0" xfId="1" applyNumberFormat="1" applyFont="1" applyFill="1" applyBorder="1" applyAlignment="1">
      <alignment horizontal="center" vertical="center"/>
    </xf>
    <xf numFmtId="0" fontId="52" fillId="0" borderId="107" xfId="10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52" fillId="0" borderId="107" xfId="10" applyFill="1" applyBorder="1" applyAlignment="1">
      <alignment horizontal="center" vertical="center"/>
    </xf>
    <xf numFmtId="167" fontId="52" fillId="0" borderId="0" xfId="1" applyNumberFormat="1" applyFont="1" applyFill="1" applyBorder="1" applyAlignment="1">
      <alignment horizontal="center" vertical="center"/>
    </xf>
    <xf numFmtId="0" fontId="52" fillId="0" borderId="0" xfId="10" applyFill="1" applyBorder="1"/>
    <xf numFmtId="0" fontId="52" fillId="0" borderId="0" xfId="10" quotePrefix="1" applyFont="1" applyFill="1" applyBorder="1" applyAlignment="1">
      <alignment horizontal="left"/>
    </xf>
    <xf numFmtId="0" fontId="52" fillId="0" borderId="0" xfId="10" applyFont="1" applyFill="1" applyBorder="1" applyAlignment="1">
      <alignment horizontal="center"/>
    </xf>
    <xf numFmtId="2" fontId="52" fillId="0" borderId="0" xfId="10" applyNumberFormat="1" applyFont="1" applyFill="1" applyBorder="1" applyAlignment="1">
      <alignment horizontal="center"/>
    </xf>
    <xf numFmtId="172" fontId="52" fillId="0" borderId="0" xfId="10" applyNumberFormat="1" applyFont="1" applyFill="1" applyBorder="1" applyAlignment="1">
      <alignment horizontal="center"/>
    </xf>
    <xf numFmtId="0" fontId="0" fillId="0" borderId="0" xfId="0" applyFill="1"/>
    <xf numFmtId="0" fontId="52" fillId="5" borderId="3" xfId="10" applyFont="1" applyFill="1" applyBorder="1"/>
    <xf numFmtId="0" fontId="52" fillId="5" borderId="3" xfId="10" applyFill="1" applyBorder="1" applyAlignment="1">
      <alignment horizontal="center"/>
    </xf>
    <xf numFmtId="167" fontId="52" fillId="5" borderId="108" xfId="1" applyNumberFormat="1" applyFont="1" applyFill="1" applyBorder="1" applyAlignment="1">
      <alignment horizontal="center" vertical="center"/>
    </xf>
    <xf numFmtId="167" fontId="52" fillId="5" borderId="0" xfId="1" applyNumberFormat="1" applyFont="1" applyFill="1" applyBorder="1" applyAlignment="1">
      <alignment horizontal="center" vertical="center"/>
    </xf>
    <xf numFmtId="0" fontId="52" fillId="5" borderId="3" xfId="10" applyFont="1" applyFill="1" applyBorder="1" applyAlignment="1">
      <alignment horizontal="center"/>
    </xf>
    <xf numFmtId="0" fontId="52" fillId="5" borderId="107" xfId="10" applyFill="1" applyBorder="1" applyAlignment="1">
      <alignment horizontal="center"/>
    </xf>
    <xf numFmtId="0" fontId="52" fillId="0" borderId="0" xfId="10"/>
    <xf numFmtId="0" fontId="52" fillId="0" borderId="0" xfId="10" applyAlignment="1">
      <alignment horizontal="center"/>
    </xf>
    <xf numFmtId="0" fontId="52" fillId="0" borderId="0" xfId="10" applyBorder="1"/>
    <xf numFmtId="0" fontId="52" fillId="0" borderId="0" xfId="10" applyBorder="1" applyAlignment="1">
      <alignment horizontal="center"/>
    </xf>
    <xf numFmtId="167" fontId="52" fillId="9" borderId="108" xfId="1" applyNumberFormat="1" applyFont="1" applyFill="1" applyBorder="1" applyAlignment="1">
      <alignment horizontal="center" vertical="center"/>
    </xf>
    <xf numFmtId="0" fontId="52" fillId="5" borderId="108" xfId="10" applyFill="1" applyBorder="1" applyAlignment="1">
      <alignment horizontal="center"/>
    </xf>
    <xf numFmtId="0" fontId="52" fillId="5" borderId="0" xfId="10" applyFill="1" applyBorder="1" applyAlignment="1">
      <alignment horizontal="center"/>
    </xf>
    <xf numFmtId="0" fontId="52" fillId="5" borderId="3" xfId="0" applyFont="1" applyFill="1" applyBorder="1"/>
    <xf numFmtId="0" fontId="52" fillId="5" borderId="3" xfId="0" applyFont="1" applyFill="1" applyBorder="1" applyAlignment="1">
      <alignment horizontal="center"/>
    </xf>
    <xf numFmtId="0" fontId="71" fillId="2" borderId="0" xfId="0" applyFont="1" applyFill="1" applyBorder="1" applyAlignment="1">
      <alignment horizontal="center"/>
    </xf>
    <xf numFmtId="0" fontId="52" fillId="2" borderId="3" xfId="0" applyFont="1" applyFill="1" applyBorder="1"/>
    <xf numFmtId="0" fontId="52" fillId="2" borderId="3" xfId="0" applyFont="1" applyFill="1" applyBorder="1" applyAlignment="1">
      <alignment horizontal="center"/>
    </xf>
    <xf numFmtId="173" fontId="52" fillId="2" borderId="108" xfId="1" applyNumberFormat="1" applyFont="1" applyFill="1" applyBorder="1" applyAlignment="1">
      <alignment horizontal="center" vertical="center"/>
    </xf>
    <xf numFmtId="173" fontId="52" fillId="2" borderId="0" xfId="1" applyNumberFormat="1" applyFont="1" applyFill="1" applyBorder="1" applyAlignment="1">
      <alignment horizontal="center" vertical="center"/>
    </xf>
    <xf numFmtId="0" fontId="52" fillId="2" borderId="113" xfId="10" applyFont="1" applyFill="1" applyBorder="1"/>
    <xf numFmtId="0" fontId="52" fillId="2" borderId="113" xfId="10" applyFont="1" applyFill="1" applyBorder="1" applyAlignment="1">
      <alignment horizontal="center"/>
    </xf>
    <xf numFmtId="173" fontId="52" fillId="2" borderId="114" xfId="1" applyNumberFormat="1" applyFont="1" applyFill="1" applyBorder="1" applyAlignment="1">
      <alignment horizontal="center" vertical="center"/>
    </xf>
    <xf numFmtId="173" fontId="52" fillId="0" borderId="0" xfId="10" applyNumberFormat="1" applyBorder="1" applyAlignment="1">
      <alignment horizontal="center"/>
    </xf>
    <xf numFmtId="0" fontId="72" fillId="0" borderId="15" xfId="10" applyFont="1" applyBorder="1" applyAlignment="1"/>
    <xf numFmtId="0" fontId="72" fillId="0" borderId="15" xfId="10" applyFont="1" applyBorder="1" applyAlignment="1">
      <alignment horizontal="center"/>
    </xf>
    <xf numFmtId="0" fontId="72" fillId="0" borderId="0" xfId="10" applyFont="1" applyBorder="1" applyAlignment="1">
      <alignment horizontal="center"/>
    </xf>
    <xf numFmtId="0" fontId="72" fillId="0" borderId="0" xfId="10" applyFont="1" applyBorder="1" applyAlignment="1">
      <alignment horizontal="left"/>
    </xf>
    <xf numFmtId="0" fontId="67" fillId="2" borderId="0" xfId="10" applyFont="1" applyFill="1" applyAlignment="1">
      <alignment horizontal="centerContinuous"/>
    </xf>
    <xf numFmtId="0" fontId="52" fillId="2" borderId="1" xfId="10" applyFont="1" applyFill="1" applyBorder="1" applyAlignment="1">
      <alignment horizontal="center"/>
    </xf>
    <xf numFmtId="0" fontId="52" fillId="2" borderId="68" xfId="10" applyFont="1" applyFill="1" applyBorder="1" applyAlignment="1">
      <alignment horizontal="center"/>
    </xf>
    <xf numFmtId="0" fontId="52" fillId="2" borderId="67" xfId="10" applyFont="1" applyFill="1" applyBorder="1" applyAlignment="1">
      <alignment horizontal="center" vertical="center"/>
    </xf>
    <xf numFmtId="0" fontId="52" fillId="2" borderId="1" xfId="10" applyFont="1" applyFill="1" applyBorder="1"/>
    <xf numFmtId="0" fontId="52" fillId="2" borderId="1" xfId="1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68" xfId="0" applyNumberFormat="1" applyBorder="1" applyAlignment="1">
      <alignment horizontal="center"/>
    </xf>
    <xf numFmtId="2" fontId="52" fillId="0" borderId="98" xfId="10" applyNumberFormat="1" applyFont="1" applyFill="1" applyBorder="1" applyAlignment="1">
      <alignment horizontal="center" vertical="center"/>
    </xf>
    <xf numFmtId="2" fontId="52" fillId="0" borderId="97" xfId="10" applyNumberFormat="1" applyBorder="1" applyAlignment="1">
      <alignment horizontal="center"/>
    </xf>
    <xf numFmtId="2" fontId="52" fillId="0" borderId="1" xfId="10" applyNumberFormat="1" applyFont="1" applyFill="1" applyBorder="1" applyAlignment="1">
      <alignment horizontal="center" vertical="center"/>
    </xf>
    <xf numFmtId="2" fontId="52" fillId="0" borderId="68" xfId="10" applyNumberFormat="1" applyFont="1" applyFill="1" applyBorder="1" applyAlignment="1">
      <alignment horizontal="center" vertical="center"/>
    </xf>
    <xf numFmtId="0" fontId="68" fillId="2" borderId="1" xfId="10" applyFont="1" applyFill="1" applyBorder="1" applyAlignment="1">
      <alignment wrapText="1"/>
    </xf>
    <xf numFmtId="0" fontId="52" fillId="0" borderId="1" xfId="10" applyFont="1" applyBorder="1" applyAlignment="1">
      <alignment horizontal="center" vertical="center"/>
    </xf>
    <xf numFmtId="2" fontId="52" fillId="0" borderId="1" xfId="10" applyNumberFormat="1" applyFont="1" applyBorder="1" applyAlignment="1">
      <alignment horizontal="center" vertical="center"/>
    </xf>
    <xf numFmtId="2" fontId="52" fillId="0" borderId="68" xfId="10" applyNumberFormat="1" applyFont="1" applyBorder="1" applyAlignment="1">
      <alignment horizontal="center" vertical="center"/>
    </xf>
    <xf numFmtId="2" fontId="52" fillId="0" borderId="98" xfId="10" applyNumberFormat="1" applyFont="1" applyBorder="1" applyAlignment="1">
      <alignment horizontal="center" vertical="center"/>
    </xf>
    <xf numFmtId="2" fontId="52" fillId="2" borderId="118" xfId="10" applyNumberFormat="1" applyFill="1" applyBorder="1" applyAlignment="1">
      <alignment horizontal="center"/>
    </xf>
    <xf numFmtId="2" fontId="52" fillId="2" borderId="1" xfId="10" applyNumberFormat="1" applyFont="1" applyFill="1" applyBorder="1" applyAlignment="1">
      <alignment horizontal="center" vertical="center"/>
    </xf>
    <xf numFmtId="2" fontId="52" fillId="2" borderId="68" xfId="10" applyNumberFormat="1" applyFont="1" applyFill="1" applyBorder="1" applyAlignment="1">
      <alignment horizontal="center" vertical="center"/>
    </xf>
    <xf numFmtId="2" fontId="52" fillId="2" borderId="98" xfId="10" applyNumberFormat="1" applyFont="1" applyFill="1" applyBorder="1" applyAlignment="1">
      <alignment horizontal="center" vertical="center"/>
    </xf>
    <xf numFmtId="0" fontId="52" fillId="2" borderId="1" xfId="10" applyFont="1" applyFill="1" applyBorder="1" applyAlignment="1">
      <alignment horizontal="left" vertical="center"/>
    </xf>
    <xf numFmtId="2" fontId="52" fillId="2" borderId="97" xfId="1" applyNumberFormat="1" applyFont="1" applyFill="1" applyBorder="1" applyAlignment="1">
      <alignment horizontal="center"/>
    </xf>
    <xf numFmtId="2" fontId="52" fillId="0" borderId="1" xfId="0" applyNumberFormat="1" applyFont="1" applyFill="1" applyBorder="1" applyAlignment="1">
      <alignment horizontal="center" vertical="center"/>
    </xf>
    <xf numFmtId="2" fontId="52" fillId="0" borderId="68" xfId="0" applyNumberFormat="1" applyFont="1" applyFill="1" applyBorder="1" applyAlignment="1">
      <alignment horizontal="center" vertical="center"/>
    </xf>
    <xf numFmtId="2" fontId="52" fillId="0" borderId="98" xfId="0" applyNumberFormat="1" applyFont="1" applyFill="1" applyBorder="1" applyAlignment="1">
      <alignment horizontal="center" vertical="center"/>
    </xf>
    <xf numFmtId="2" fontId="52" fillId="2" borderId="98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2" fontId="0" fillId="0" borderId="68" xfId="0" applyNumberFormat="1" applyFill="1" applyBorder="1" applyAlignment="1">
      <alignment horizontal="center"/>
    </xf>
    <xf numFmtId="2" fontId="73" fillId="2" borderId="97" xfId="1" applyNumberFormat="1" applyFont="1" applyFill="1" applyBorder="1" applyAlignment="1">
      <alignment horizontal="center"/>
    </xf>
    <xf numFmtId="2" fontId="52" fillId="2" borderId="97" xfId="10" applyNumberFormat="1" applyFont="1" applyFill="1" applyBorder="1" applyAlignment="1">
      <alignment horizontal="center"/>
    </xf>
    <xf numFmtId="0" fontId="0" fillId="0" borderId="1" xfId="0" applyBorder="1" applyAlignment="1"/>
    <xf numFmtId="0" fontId="0" fillId="0" borderId="68" xfId="0" applyBorder="1" applyAlignment="1"/>
    <xf numFmtId="0" fontId="0" fillId="0" borderId="98" xfId="0" applyBorder="1" applyAlignment="1">
      <alignment horizontal="center"/>
    </xf>
    <xf numFmtId="0" fontId="52" fillId="2" borderId="66" xfId="10" applyFont="1" applyFill="1" applyBorder="1" applyAlignment="1">
      <alignment horizontal="center" vertical="center"/>
    </xf>
    <xf numFmtId="0" fontId="52" fillId="2" borderId="99" xfId="10" applyFont="1" applyFill="1" applyBorder="1"/>
    <xf numFmtId="0" fontId="52" fillId="2" borderId="99" xfId="10" applyFont="1" applyFill="1" applyBorder="1" applyAlignment="1">
      <alignment horizontal="center"/>
    </xf>
    <xf numFmtId="2" fontId="0" fillId="0" borderId="99" xfId="0" applyNumberFormat="1" applyBorder="1" applyAlignment="1">
      <alignment horizontal="center"/>
    </xf>
    <xf numFmtId="2" fontId="0" fillId="0" borderId="100" xfId="0" applyNumberFormat="1" applyBorder="1" applyAlignment="1">
      <alignment horizontal="center"/>
    </xf>
    <xf numFmtId="2" fontId="0" fillId="0" borderId="98" xfId="0" applyNumberFormat="1" applyBorder="1" applyAlignment="1">
      <alignment horizontal="center"/>
    </xf>
    <xf numFmtId="0" fontId="52" fillId="0" borderId="97" xfId="10" applyBorder="1"/>
    <xf numFmtId="0" fontId="52" fillId="2" borderId="112" xfId="10" applyFont="1" applyFill="1" applyBorder="1" applyAlignment="1">
      <alignment horizontal="center" vertical="center"/>
    </xf>
    <xf numFmtId="0" fontId="52" fillId="2" borderId="119" xfId="10" applyFont="1" applyFill="1" applyBorder="1"/>
    <xf numFmtId="0" fontId="52" fillId="2" borderId="119" xfId="10" applyFont="1" applyFill="1" applyBorder="1" applyAlignment="1">
      <alignment horizontal="center"/>
    </xf>
    <xf numFmtId="2" fontId="52" fillId="2" borderId="119" xfId="10" applyNumberFormat="1" applyFont="1" applyFill="1" applyBorder="1" applyAlignment="1">
      <alignment horizontal="center" vertical="center"/>
    </xf>
    <xf numFmtId="2" fontId="52" fillId="2" borderId="120" xfId="10" applyNumberFormat="1" applyFont="1" applyFill="1" applyBorder="1" applyAlignment="1">
      <alignment horizontal="center" vertical="center"/>
    </xf>
    <xf numFmtId="2" fontId="52" fillId="2" borderId="102" xfId="10" applyNumberFormat="1" applyFont="1" applyFill="1" applyBorder="1" applyAlignment="1">
      <alignment horizontal="center" vertical="center"/>
    </xf>
    <xf numFmtId="2" fontId="52" fillId="2" borderId="21" xfId="10" applyNumberFormat="1" applyFill="1" applyBorder="1" applyAlignment="1">
      <alignment horizontal="center"/>
    </xf>
    <xf numFmtId="0" fontId="52" fillId="2" borderId="0" xfId="10" applyFont="1" applyFill="1" applyBorder="1" applyAlignment="1">
      <alignment horizontal="center" vertical="center"/>
    </xf>
    <xf numFmtId="0" fontId="52" fillId="2" borderId="0" xfId="10" applyFont="1" applyFill="1" applyBorder="1"/>
    <xf numFmtId="2" fontId="52" fillId="2" borderId="0" xfId="10" applyNumberFormat="1" applyFont="1" applyFill="1" applyBorder="1" applyAlignment="1">
      <alignment horizontal="center" vertical="center"/>
    </xf>
    <xf numFmtId="0" fontId="52" fillId="0" borderId="0" xfId="10" applyAlignment="1"/>
    <xf numFmtId="0" fontId="52" fillId="10" borderId="0" xfId="10" quotePrefix="1" applyFill="1"/>
    <xf numFmtId="0" fontId="61" fillId="0" borderId="1" xfId="0" applyFont="1" applyBorder="1"/>
    <xf numFmtId="0" fontId="61" fillId="4" borderId="1" xfId="0" applyFont="1" applyFill="1" applyBorder="1"/>
    <xf numFmtId="0" fontId="67" fillId="0" borderId="103" xfId="10" applyFont="1" applyBorder="1" applyAlignment="1">
      <alignment horizontal="center" vertical="center"/>
    </xf>
    <xf numFmtId="0" fontId="67" fillId="2" borderId="104" xfId="10" applyFont="1" applyFill="1" applyBorder="1" applyAlignment="1">
      <alignment horizontal="center" vertical="center"/>
    </xf>
    <xf numFmtId="0" fontId="67" fillId="2" borderId="105" xfId="10" applyFont="1" applyFill="1" applyBorder="1" applyAlignment="1">
      <alignment horizontal="center" vertical="center"/>
    </xf>
    <xf numFmtId="0" fontId="67" fillId="0" borderId="104" xfId="10" applyFont="1" applyBorder="1" applyAlignment="1">
      <alignment horizontal="center" vertical="center"/>
    </xf>
    <xf numFmtId="0" fontId="45" fillId="0" borderId="0" xfId="7"/>
    <xf numFmtId="0" fontId="52" fillId="2" borderId="91" xfId="10" applyFont="1" applyFill="1" applyBorder="1" applyAlignment="1">
      <alignment horizontal="center" vertical="center"/>
    </xf>
    <xf numFmtId="0" fontId="52" fillId="2" borderId="90" xfId="10" applyFont="1" applyFill="1" applyBorder="1"/>
    <xf numFmtId="0" fontId="52" fillId="2" borderId="90" xfId="10" applyFont="1" applyFill="1" applyBorder="1" applyAlignment="1">
      <alignment horizontal="center"/>
    </xf>
    <xf numFmtId="2" fontId="52" fillId="2" borderId="90" xfId="1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20" fillId="0" borderId="0" xfId="0" applyFont="1" applyFill="1" applyBorder="1" applyAlignment="1">
      <alignment horizontal="center" vertical="center"/>
    </xf>
    <xf numFmtId="165" fontId="32" fillId="0" borderId="4" xfId="0" applyNumberFormat="1" applyFont="1" applyFill="1" applyBorder="1" applyAlignment="1">
      <alignment horizontal="right" vertical="center" shrinkToFit="1"/>
    </xf>
    <xf numFmtId="165" fontId="29" fillId="0" borderId="3" xfId="0" applyNumberFormat="1" applyFont="1" applyFill="1" applyBorder="1" applyAlignment="1">
      <alignment horizontal="right" vertical="center" shrinkToFit="1"/>
    </xf>
    <xf numFmtId="174" fontId="32" fillId="0" borderId="3" xfId="0" applyNumberFormat="1" applyFont="1" applyFill="1" applyBorder="1" applyAlignment="1">
      <alignment horizontal="right" vertical="center" shrinkToFit="1"/>
    </xf>
    <xf numFmtId="0" fontId="77" fillId="0" borderId="3" xfId="0" applyFont="1" applyFill="1" applyBorder="1" applyAlignment="1">
      <alignment horizontal="center" vertical="center" wrapText="1"/>
    </xf>
    <xf numFmtId="1" fontId="35" fillId="0" borderId="3" xfId="0" applyNumberFormat="1" applyFont="1" applyFill="1" applyBorder="1" applyAlignment="1">
      <alignment horizontal="center" vertical="center"/>
    </xf>
    <xf numFmtId="4" fontId="33" fillId="0" borderId="3" xfId="11" applyNumberFormat="1" applyFont="1" applyFill="1" applyBorder="1" applyAlignment="1">
      <alignment vertical="center" wrapText="1"/>
    </xf>
    <xf numFmtId="4" fontId="33" fillId="0" borderId="3" xfId="11" applyNumberFormat="1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wrapText="1"/>
    </xf>
    <xf numFmtId="0" fontId="78" fillId="0" borderId="3" xfId="0" applyFont="1" applyFill="1" applyBorder="1" applyAlignment="1">
      <alignment vertical="center" wrapText="1"/>
    </xf>
    <xf numFmtId="0" fontId="78" fillId="0" borderId="3" xfId="0" applyFont="1" applyFill="1" applyBorder="1" applyAlignment="1">
      <alignment horizontal="center" vertical="center" shrinkToFit="1"/>
    </xf>
    <xf numFmtId="0" fontId="39" fillId="0" borderId="3" xfId="0" applyFont="1" applyFill="1" applyBorder="1" applyAlignment="1">
      <alignment wrapText="1"/>
    </xf>
    <xf numFmtId="0" fontId="39" fillId="0" borderId="3" xfId="0" applyFont="1" applyFill="1" applyBorder="1" applyAlignment="1">
      <alignment horizontal="center" shrinkToFit="1"/>
    </xf>
    <xf numFmtId="0" fontId="39" fillId="0" borderId="3" xfId="0" applyFont="1" applyFill="1" applyBorder="1" applyAlignment="1">
      <alignment shrinkToFit="1"/>
    </xf>
    <xf numFmtId="0" fontId="32" fillId="0" borderId="3" xfId="0" applyFont="1" applyFill="1" applyBorder="1" applyAlignment="1">
      <alignment wrapText="1" shrinkToFit="1"/>
    </xf>
    <xf numFmtId="0" fontId="29" fillId="0" borderId="3" xfId="0" applyFont="1" applyFill="1" applyBorder="1" applyAlignment="1">
      <alignment vertical="center" wrapText="1"/>
    </xf>
    <xf numFmtId="0" fontId="37" fillId="0" borderId="3" xfId="5" applyFont="1" applyFill="1" applyBorder="1" applyAlignment="1">
      <alignment horizontal="left" vertical="center"/>
    </xf>
    <xf numFmtId="0" fontId="37" fillId="0" borderId="3" xfId="5" applyFont="1" applyFill="1" applyBorder="1" applyAlignment="1">
      <alignment horizontal="center" vertical="center"/>
    </xf>
    <xf numFmtId="0" fontId="53" fillId="0" borderId="26" xfId="8" applyFont="1" applyFill="1" applyBorder="1" applyAlignment="1">
      <alignment horizontal="center" vertical="center" wrapText="1"/>
    </xf>
    <xf numFmtId="0" fontId="53" fillId="0" borderId="2" xfId="8" applyFont="1" applyFill="1" applyBorder="1" applyAlignment="1">
      <alignment horizontal="center" vertical="center" wrapText="1"/>
    </xf>
    <xf numFmtId="0" fontId="20" fillId="0" borderId="0" xfId="0" applyFont="1" applyFill="1" applyBorder="1" applyAlignment="1"/>
    <xf numFmtId="49" fontId="12" fillId="0" borderId="3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Fill="1" applyBorder="1" applyAlignment="1">
      <alignment horizontal="center" vertical="center" wrapText="1"/>
    </xf>
    <xf numFmtId="2" fontId="12" fillId="0" borderId="3" xfId="0" applyNumberFormat="1" applyFont="1" applyFill="1" applyBorder="1" applyAlignment="1">
      <alignment horizontal="center" vertical="center" wrapText="1"/>
    </xf>
    <xf numFmtId="164" fontId="9" fillId="0" borderId="3" xfId="4" applyFont="1" applyFill="1" applyBorder="1" applyAlignment="1">
      <alignment horizontal="right" vertical="center" wrapText="1"/>
    </xf>
    <xf numFmtId="164" fontId="9" fillId="0" borderId="3" xfId="4" applyFont="1" applyFill="1" applyBorder="1" applyAlignment="1">
      <alignment horizontal="justify" vertical="center" wrapText="1"/>
    </xf>
    <xf numFmtId="0" fontId="16" fillId="0" borderId="3" xfId="0" applyFont="1" applyFill="1" applyBorder="1" applyAlignment="1">
      <alignment horizontal="center" vertical="center"/>
    </xf>
    <xf numFmtId="164" fontId="2" fillId="0" borderId="3" xfId="4" applyFont="1" applyFill="1" applyBorder="1" applyAlignment="1">
      <alignment horizontal="justify" vertical="center" wrapText="1"/>
    </xf>
    <xf numFmtId="0" fontId="50" fillId="0" borderId="3" xfId="0" applyFont="1" applyFill="1" applyBorder="1" applyAlignment="1">
      <alignment horizontal="justify" vertical="center" readingOrder="1"/>
    </xf>
    <xf numFmtId="0" fontId="15" fillId="0" borderId="3" xfId="0" applyFont="1" applyFill="1" applyBorder="1" applyAlignment="1">
      <alignment horizontal="center" vertical="center"/>
    </xf>
    <xf numFmtId="2" fontId="9" fillId="0" borderId="3" xfId="4" applyNumberFormat="1" applyFont="1" applyFill="1" applyBorder="1" applyAlignment="1">
      <alignment horizontal="right" vertical="center" wrapText="1"/>
    </xf>
    <xf numFmtId="0" fontId="16" fillId="0" borderId="4" xfId="0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wrapText="1"/>
    </xf>
    <xf numFmtId="0" fontId="32" fillId="0" borderId="4" xfId="0" applyFont="1" applyFill="1" applyBorder="1" applyAlignment="1">
      <alignment horizontal="center" shrinkToFit="1"/>
    </xf>
    <xf numFmtId="2" fontId="9" fillId="0" borderId="4" xfId="4" applyNumberFormat="1" applyFont="1" applyFill="1" applyBorder="1" applyAlignment="1">
      <alignment horizontal="right" vertical="center" wrapText="1"/>
    </xf>
    <xf numFmtId="164" fontId="2" fillId="0" borderId="4" xfId="4" applyFont="1" applyFill="1" applyBorder="1" applyAlignment="1">
      <alignment horizontal="justify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vertical="center" wrapText="1" shrinkToFit="1"/>
    </xf>
    <xf numFmtId="0" fontId="32" fillId="0" borderId="0" xfId="0" applyFont="1" applyFill="1" applyBorder="1" applyAlignment="1">
      <alignment horizontal="center" vertical="center" shrinkToFit="1"/>
    </xf>
    <xf numFmtId="165" fontId="32" fillId="0" borderId="0" xfId="0" applyNumberFormat="1" applyFont="1" applyFill="1" applyBorder="1" applyAlignment="1">
      <alignment horizontal="right" vertical="center" shrinkToFit="1"/>
    </xf>
    <xf numFmtId="2" fontId="12" fillId="0" borderId="0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56" fillId="0" borderId="0" xfId="0" applyFont="1" applyFill="1" applyAlignment="1">
      <alignment horizontal="center"/>
    </xf>
    <xf numFmtId="0" fontId="53" fillId="0" borderId="46" xfId="0" applyFont="1" applyFill="1" applyBorder="1" applyAlignment="1">
      <alignment horizontal="center"/>
    </xf>
    <xf numFmtId="0" fontId="53" fillId="0" borderId="73" xfId="0" applyFont="1" applyFill="1" applyBorder="1" applyAlignment="1">
      <alignment horizontal="center"/>
    </xf>
    <xf numFmtId="0" fontId="53" fillId="0" borderId="69" xfId="0" applyFont="1" applyFill="1" applyBorder="1" applyAlignment="1">
      <alignment horizontal="left" indent="1"/>
    </xf>
    <xf numFmtId="171" fontId="53" fillId="0" borderId="42" xfId="0" applyNumberFormat="1" applyFont="1" applyFill="1" applyBorder="1" applyAlignment="1">
      <alignment horizontal="center"/>
    </xf>
    <xf numFmtId="0" fontId="53" fillId="0" borderId="70" xfId="0" applyFont="1" applyFill="1" applyBorder="1" applyAlignment="1">
      <alignment horizontal="left" indent="1"/>
    </xf>
    <xf numFmtId="171" fontId="53" fillId="0" borderId="45" xfId="0" applyNumberFormat="1" applyFont="1" applyFill="1" applyBorder="1" applyAlignment="1">
      <alignment horizontal="center"/>
    </xf>
    <xf numFmtId="0" fontId="53" fillId="0" borderId="122" xfId="0" applyFont="1" applyFill="1" applyBorder="1" applyAlignment="1">
      <alignment horizontal="left" indent="1"/>
    </xf>
    <xf numFmtId="171" fontId="53" fillId="0" borderId="54" xfId="0" applyNumberFormat="1" applyFont="1" applyFill="1" applyBorder="1" applyAlignment="1">
      <alignment horizontal="center"/>
    </xf>
    <xf numFmtId="0" fontId="53" fillId="0" borderId="55" xfId="0" applyFont="1" applyFill="1" applyBorder="1" applyAlignment="1">
      <alignment horizontal="center"/>
    </xf>
    <xf numFmtId="0" fontId="53" fillId="0" borderId="71" xfId="0" applyFont="1" applyFill="1" applyBorder="1" applyAlignment="1">
      <alignment horizontal="left" indent="1"/>
    </xf>
    <xf numFmtId="171" fontId="53" fillId="0" borderId="72" xfId="0" applyNumberFormat="1" applyFont="1" applyFill="1" applyBorder="1" applyAlignment="1">
      <alignment horizontal="center"/>
    </xf>
    <xf numFmtId="173" fontId="53" fillId="0" borderId="4" xfId="0" applyNumberFormat="1" applyFont="1" applyFill="1" applyBorder="1" applyAlignment="1">
      <alignment horizontal="center"/>
    </xf>
    <xf numFmtId="0" fontId="53" fillId="0" borderId="69" xfId="0" applyFont="1" applyFill="1" applyBorder="1" applyAlignment="1">
      <alignment horizontal="center"/>
    </xf>
    <xf numFmtId="176" fontId="53" fillId="0" borderId="42" xfId="0" applyNumberFormat="1" applyFont="1" applyFill="1" applyBorder="1" applyAlignment="1">
      <alignment horizontal="right"/>
    </xf>
    <xf numFmtId="177" fontId="53" fillId="0" borderId="42" xfId="0" applyNumberFormat="1" applyFont="1" applyFill="1" applyBorder="1" applyAlignment="1">
      <alignment horizontal="right"/>
    </xf>
    <xf numFmtId="167" fontId="53" fillId="0" borderId="42" xfId="0" applyNumberFormat="1" applyFont="1" applyFill="1" applyBorder="1" applyAlignment="1">
      <alignment horizontal="center"/>
    </xf>
    <xf numFmtId="2" fontId="53" fillId="0" borderId="42" xfId="0" applyNumberFormat="1" applyFont="1" applyFill="1" applyBorder="1" applyAlignment="1">
      <alignment horizontal="right"/>
    </xf>
    <xf numFmtId="178" fontId="53" fillId="0" borderId="123" xfId="0" applyNumberFormat="1" applyFont="1" applyFill="1" applyBorder="1" applyAlignment="1">
      <alignment horizontal="right"/>
    </xf>
    <xf numFmtId="0" fontId="53" fillId="0" borderId="70" xfId="0" applyFont="1" applyFill="1" applyBorder="1" applyAlignment="1">
      <alignment horizontal="center"/>
    </xf>
    <xf numFmtId="176" fontId="53" fillId="0" borderId="45" xfId="0" applyNumberFormat="1" applyFont="1" applyFill="1" applyBorder="1" applyAlignment="1">
      <alignment horizontal="right"/>
    </xf>
    <xf numFmtId="177" fontId="53" fillId="0" borderId="45" xfId="0" applyNumberFormat="1" applyFont="1" applyFill="1" applyBorder="1" applyAlignment="1">
      <alignment horizontal="right"/>
    </xf>
    <xf numFmtId="167" fontId="53" fillId="0" borderId="45" xfId="0" applyNumberFormat="1" applyFont="1" applyFill="1" applyBorder="1" applyAlignment="1">
      <alignment horizontal="center"/>
    </xf>
    <xf numFmtId="2" fontId="53" fillId="0" borderId="45" xfId="0" applyNumberFormat="1" applyFont="1" applyFill="1" applyBorder="1" applyAlignment="1">
      <alignment horizontal="right"/>
    </xf>
    <xf numFmtId="179" fontId="53" fillId="0" borderId="45" xfId="0" applyNumberFormat="1" applyFont="1" applyFill="1" applyBorder="1" applyAlignment="1">
      <alignment horizontal="right"/>
    </xf>
    <xf numFmtId="0" fontId="53" fillId="0" borderId="45" xfId="0" applyFont="1" applyFill="1" applyBorder="1" applyAlignment="1">
      <alignment horizontal="center"/>
    </xf>
    <xf numFmtId="0" fontId="57" fillId="0" borderId="124" xfId="0" applyFont="1" applyFill="1" applyBorder="1"/>
    <xf numFmtId="180" fontId="53" fillId="0" borderId="45" xfId="0" applyNumberFormat="1" applyFont="1" applyFill="1" applyBorder="1" applyAlignment="1">
      <alignment horizontal="right"/>
    </xf>
    <xf numFmtId="0" fontId="53" fillId="0" borderId="71" xfId="0" applyFont="1" applyFill="1" applyBorder="1" applyAlignment="1">
      <alignment horizontal="center"/>
    </xf>
    <xf numFmtId="176" fontId="53" fillId="0" borderId="72" xfId="0" applyNumberFormat="1" applyFont="1" applyFill="1" applyBorder="1" applyAlignment="1">
      <alignment horizontal="right"/>
    </xf>
    <xf numFmtId="177" fontId="53" fillId="0" borderId="72" xfId="0" applyNumberFormat="1" applyFont="1" applyFill="1" applyBorder="1" applyAlignment="1">
      <alignment horizontal="right"/>
    </xf>
    <xf numFmtId="167" fontId="53" fillId="0" borderId="72" xfId="0" applyNumberFormat="1" applyFont="1" applyFill="1" applyBorder="1" applyAlignment="1">
      <alignment horizontal="center"/>
    </xf>
    <xf numFmtId="0" fontId="57" fillId="0" borderId="72" xfId="0" applyFont="1" applyFill="1" applyBorder="1" applyAlignment="1">
      <alignment horizontal="right"/>
    </xf>
    <xf numFmtId="180" fontId="53" fillId="0" borderId="72" xfId="0" applyNumberFormat="1" applyFont="1" applyFill="1" applyBorder="1" applyAlignment="1">
      <alignment horizontal="right"/>
    </xf>
    <xf numFmtId="0" fontId="53" fillId="0" borderId="72" xfId="0" applyFont="1" applyFill="1" applyBorder="1" applyAlignment="1">
      <alignment horizontal="center"/>
    </xf>
    <xf numFmtId="0" fontId="57" fillId="0" borderId="125" xfId="0" applyFont="1" applyFill="1" applyBorder="1"/>
    <xf numFmtId="179" fontId="53" fillId="0" borderId="42" xfId="0" applyNumberFormat="1" applyFont="1" applyFill="1" applyBorder="1" applyAlignment="1">
      <alignment horizontal="right"/>
    </xf>
    <xf numFmtId="0" fontId="57" fillId="0" borderId="42" xfId="0" applyFont="1" applyFill="1" applyBorder="1"/>
    <xf numFmtId="0" fontId="57" fillId="0" borderId="123" xfId="0" applyFont="1" applyFill="1" applyBorder="1"/>
    <xf numFmtId="0" fontId="53" fillId="0" borderId="129" xfId="0" applyFont="1" applyFill="1" applyBorder="1" applyAlignment="1">
      <alignment horizontal="center"/>
    </xf>
    <xf numFmtId="2" fontId="53" fillId="0" borderId="48" xfId="0" applyNumberFormat="1" applyFont="1" applyFill="1" applyBorder="1" applyAlignment="1">
      <alignment horizontal="right"/>
    </xf>
    <xf numFmtId="177" fontId="53" fillId="0" borderId="48" xfId="0" applyNumberFormat="1" applyFont="1" applyFill="1" applyBorder="1" applyAlignment="1">
      <alignment horizontal="right"/>
    </xf>
    <xf numFmtId="167" fontId="53" fillId="0" borderId="48" xfId="0" applyNumberFormat="1" applyFont="1" applyFill="1" applyBorder="1" applyAlignment="1">
      <alignment horizontal="center"/>
    </xf>
    <xf numFmtId="0" fontId="57" fillId="0" borderId="48" xfId="0" applyFont="1" applyFill="1" applyBorder="1" applyAlignment="1">
      <alignment horizontal="right"/>
    </xf>
    <xf numFmtId="180" fontId="53" fillId="0" borderId="48" xfId="0" applyNumberFormat="1" applyFont="1" applyFill="1" applyBorder="1" applyAlignment="1">
      <alignment horizontal="right"/>
    </xf>
    <xf numFmtId="0" fontId="53" fillId="0" borderId="48" xfId="0" applyFont="1" applyFill="1" applyBorder="1" applyAlignment="1">
      <alignment horizontal="center"/>
    </xf>
    <xf numFmtId="0" fontId="57" fillId="0" borderId="130" xfId="0" applyFont="1" applyFill="1" applyBorder="1"/>
    <xf numFmtId="181" fontId="53" fillId="0" borderId="123" xfId="0" applyNumberFormat="1" applyFont="1" applyFill="1" applyBorder="1" applyAlignment="1">
      <alignment horizontal="right"/>
    </xf>
    <xf numFmtId="167" fontId="80" fillId="11" borderId="0" xfId="0" applyNumberFormat="1" applyFont="1" applyFill="1" applyAlignment="1">
      <alignment horizontal="center" vertical="center"/>
    </xf>
    <xf numFmtId="167" fontId="80" fillId="11" borderId="135" xfId="0" applyNumberFormat="1" applyFont="1" applyFill="1" applyBorder="1" applyAlignment="1">
      <alignment horizontal="center" vertical="center"/>
    </xf>
    <xf numFmtId="1" fontId="80" fillId="11" borderId="7" xfId="0" applyNumberFormat="1" applyFont="1" applyFill="1" applyBorder="1" applyAlignment="1">
      <alignment horizontal="center" vertical="center"/>
    </xf>
    <xf numFmtId="167" fontId="80" fillId="11" borderId="7" xfId="0" applyNumberFormat="1" applyFont="1" applyFill="1" applyBorder="1" applyAlignment="1">
      <alignment horizontal="center" vertical="center"/>
    </xf>
    <xf numFmtId="167" fontId="80" fillId="11" borderId="69" xfId="0" applyNumberFormat="1" applyFont="1" applyFill="1" applyBorder="1" applyAlignment="1">
      <alignment horizontal="center" vertical="center"/>
    </xf>
    <xf numFmtId="167" fontId="80" fillId="11" borderId="136" xfId="0" applyNumberFormat="1" applyFont="1" applyFill="1" applyBorder="1" applyAlignment="1">
      <alignment horizontal="center" vertical="center"/>
    </xf>
    <xf numFmtId="167" fontId="80" fillId="11" borderId="0" xfId="0" applyNumberFormat="1" applyFont="1" applyFill="1" applyBorder="1" applyAlignment="1">
      <alignment horizontal="center" vertical="center"/>
    </xf>
    <xf numFmtId="167" fontId="80" fillId="11" borderId="107" xfId="0" applyNumberFormat="1" applyFont="1" applyFill="1" applyBorder="1" applyAlignment="1">
      <alignment horizontal="center" vertical="center"/>
    </xf>
    <xf numFmtId="1" fontId="80" fillId="11" borderId="3" xfId="0" applyNumberFormat="1" applyFont="1" applyFill="1" applyBorder="1" applyAlignment="1">
      <alignment horizontal="center" vertical="center"/>
    </xf>
    <xf numFmtId="167" fontId="80" fillId="11" borderId="3" xfId="0" applyNumberFormat="1" applyFont="1" applyFill="1" applyBorder="1" applyAlignment="1">
      <alignment horizontal="center" vertical="center"/>
    </xf>
    <xf numFmtId="167" fontId="80" fillId="11" borderId="70" xfId="0" applyNumberFormat="1" applyFont="1" applyFill="1" applyBorder="1" applyAlignment="1">
      <alignment horizontal="center" vertical="center"/>
    </xf>
    <xf numFmtId="167" fontId="80" fillId="11" borderId="108" xfId="0" applyNumberFormat="1" applyFont="1" applyFill="1" applyBorder="1" applyAlignment="1">
      <alignment horizontal="center" vertical="center"/>
    </xf>
    <xf numFmtId="167" fontId="80" fillId="11" borderId="137" xfId="0" applyNumberFormat="1" applyFont="1" applyFill="1" applyBorder="1" applyAlignment="1">
      <alignment horizontal="center" vertical="center"/>
    </xf>
    <xf numFmtId="1" fontId="80" fillId="11" borderId="4" xfId="0" applyNumberFormat="1" applyFont="1" applyFill="1" applyBorder="1" applyAlignment="1">
      <alignment horizontal="center" vertical="center"/>
    </xf>
    <xf numFmtId="167" fontId="80" fillId="11" borderId="4" xfId="0" applyNumberFormat="1" applyFont="1" applyFill="1" applyBorder="1" applyAlignment="1">
      <alignment horizontal="center" vertical="center"/>
    </xf>
    <xf numFmtId="167" fontId="80" fillId="11" borderId="71" xfId="0" applyNumberFormat="1" applyFont="1" applyFill="1" applyBorder="1" applyAlignment="1">
      <alignment horizontal="center" vertical="center"/>
    </xf>
    <xf numFmtId="167" fontId="80" fillId="11" borderId="138" xfId="0" applyNumberFormat="1" applyFont="1" applyFill="1" applyBorder="1" applyAlignment="1">
      <alignment horizontal="center" vertical="center"/>
    </xf>
    <xf numFmtId="167" fontId="82" fillId="11" borderId="12" xfId="0" applyNumberFormat="1" applyFont="1" applyFill="1" applyBorder="1" applyAlignment="1">
      <alignment vertical="center"/>
    </xf>
    <xf numFmtId="167" fontId="82" fillId="11" borderId="5" xfId="0" applyNumberFormat="1" applyFont="1" applyFill="1" applyBorder="1" applyAlignment="1">
      <alignment vertical="center"/>
    </xf>
    <xf numFmtId="167" fontId="82" fillId="11" borderId="12" xfId="0" applyNumberFormat="1" applyFont="1" applyFill="1" applyBorder="1" applyAlignment="1">
      <alignment horizontal="left" vertical="center"/>
    </xf>
    <xf numFmtId="167" fontId="81" fillId="11" borderId="5" xfId="0" applyNumberFormat="1" applyFont="1" applyFill="1" applyBorder="1" applyAlignment="1">
      <alignment horizontal="center" vertical="center"/>
    </xf>
    <xf numFmtId="167" fontId="82" fillId="11" borderId="5" xfId="0" applyNumberFormat="1" applyFont="1" applyFill="1" applyBorder="1" applyAlignment="1">
      <alignment horizontal="left" vertical="center"/>
    </xf>
    <xf numFmtId="167" fontId="81" fillId="11" borderId="118" xfId="0" applyNumberFormat="1" applyFont="1" applyFill="1" applyBorder="1" applyAlignment="1">
      <alignment horizontal="center" vertical="center"/>
    </xf>
    <xf numFmtId="167" fontId="82" fillId="11" borderId="120" xfId="0" applyNumberFormat="1" applyFont="1" applyFill="1" applyBorder="1" applyAlignment="1">
      <alignment vertical="center"/>
    </xf>
    <xf numFmtId="167" fontId="82" fillId="11" borderId="20" xfId="0" applyNumberFormat="1" applyFont="1" applyFill="1" applyBorder="1" applyAlignment="1">
      <alignment vertical="center"/>
    </xf>
    <xf numFmtId="167" fontId="82" fillId="11" borderId="120" xfId="0" applyNumberFormat="1" applyFont="1" applyFill="1" applyBorder="1" applyAlignment="1">
      <alignment horizontal="left" vertical="center"/>
    </xf>
    <xf numFmtId="167" fontId="81" fillId="11" borderId="20" xfId="0" applyNumberFormat="1" applyFont="1" applyFill="1" applyBorder="1" applyAlignment="1">
      <alignment horizontal="center" vertical="center"/>
    </xf>
    <xf numFmtId="167" fontId="82" fillId="11" borderId="20" xfId="0" applyNumberFormat="1" applyFont="1" applyFill="1" applyBorder="1" applyAlignment="1">
      <alignment horizontal="left" vertical="center"/>
    </xf>
    <xf numFmtId="167" fontId="81" fillId="11" borderId="21" xfId="0" applyNumberFormat="1" applyFont="1" applyFill="1" applyBorder="1" applyAlignment="1">
      <alignment horizontal="center" vertical="center"/>
    </xf>
    <xf numFmtId="167" fontId="80" fillId="11" borderId="20" xfId="0" applyNumberFormat="1" applyFont="1" applyFill="1" applyBorder="1" applyAlignment="1">
      <alignment horizontal="center" vertical="center"/>
    </xf>
    <xf numFmtId="167" fontId="80" fillId="11" borderId="103" xfId="0" applyNumberFormat="1" applyFont="1" applyFill="1" applyBorder="1" applyAlignment="1">
      <alignment horizontal="center" vertical="center"/>
    </xf>
    <xf numFmtId="167" fontId="81" fillId="11" borderId="142" xfId="0" applyNumberFormat="1" applyFont="1" applyFill="1" applyBorder="1" applyAlignment="1">
      <alignment horizontal="center" vertical="center"/>
    </xf>
    <xf numFmtId="167" fontId="80" fillId="11" borderId="142" xfId="0" applyNumberFormat="1" applyFont="1" applyFill="1" applyBorder="1" applyAlignment="1">
      <alignment horizontal="center" vertical="center"/>
    </xf>
    <xf numFmtId="167" fontId="82" fillId="11" borderId="142" xfId="0" applyNumberFormat="1" applyFont="1" applyFill="1" applyBorder="1" applyAlignment="1">
      <alignment horizontal="left" vertical="center"/>
    </xf>
    <xf numFmtId="167" fontId="80" fillId="11" borderId="143" xfId="0" applyNumberFormat="1" applyFont="1" applyFill="1" applyBorder="1" applyAlignment="1">
      <alignment horizontal="center" vertical="center"/>
    </xf>
    <xf numFmtId="167" fontId="80" fillId="11" borderId="144" xfId="0" applyNumberFormat="1" applyFont="1" applyFill="1" applyBorder="1" applyAlignment="1">
      <alignment horizontal="center" vertical="center"/>
    </xf>
    <xf numFmtId="167" fontId="81" fillId="11" borderId="146" xfId="0" applyNumberFormat="1" applyFont="1" applyFill="1" applyBorder="1" applyAlignment="1">
      <alignment horizontal="center" vertical="center"/>
    </xf>
    <xf numFmtId="167" fontId="80" fillId="11" borderId="146" xfId="0" applyNumberFormat="1" applyFont="1" applyFill="1" applyBorder="1" applyAlignment="1">
      <alignment horizontal="center" vertical="center"/>
    </xf>
    <xf numFmtId="167" fontId="82" fillId="11" borderId="146" xfId="0" applyNumberFormat="1" applyFont="1" applyFill="1" applyBorder="1" applyAlignment="1">
      <alignment horizontal="left" vertical="center"/>
    </xf>
    <xf numFmtId="167" fontId="80" fillId="11" borderId="147" xfId="0" applyNumberFormat="1" applyFont="1" applyFill="1" applyBorder="1" applyAlignment="1">
      <alignment horizontal="center" vertical="center"/>
    </xf>
    <xf numFmtId="167" fontId="80" fillId="11" borderId="0" xfId="0" applyNumberFormat="1" applyFont="1" applyFill="1" applyAlignment="1">
      <alignment horizontal="left" vertical="center"/>
    </xf>
    <xf numFmtId="0" fontId="80" fillId="11" borderId="1" xfId="0" applyNumberFormat="1" applyFont="1" applyFill="1" applyBorder="1" applyAlignment="1">
      <alignment horizontal="center" vertical="center" wrapText="1"/>
    </xf>
    <xf numFmtId="0" fontId="80" fillId="11" borderId="1" xfId="0" applyNumberFormat="1" applyFont="1" applyFill="1" applyBorder="1" applyAlignment="1">
      <alignment horizontal="center" vertical="center"/>
    </xf>
    <xf numFmtId="0" fontId="80" fillId="11" borderId="1" xfId="0" applyNumberFormat="1" applyFont="1" applyFill="1" applyBorder="1" applyAlignment="1">
      <alignment horizontal="center"/>
    </xf>
    <xf numFmtId="167" fontId="83" fillId="11" borderId="141" xfId="0" applyNumberFormat="1" applyFont="1" applyFill="1" applyBorder="1" applyAlignment="1">
      <alignment horizontal="left" vertical="center"/>
    </xf>
    <xf numFmtId="167" fontId="84" fillId="11" borderId="142" xfId="0" applyNumberFormat="1" applyFont="1" applyFill="1" applyBorder="1" applyAlignment="1">
      <alignment horizontal="center" vertical="center"/>
    </xf>
    <xf numFmtId="167" fontId="85" fillId="11" borderId="142" xfId="0" applyNumberFormat="1" applyFont="1" applyFill="1" applyBorder="1" applyAlignment="1">
      <alignment horizontal="center" vertical="center"/>
    </xf>
    <xf numFmtId="167" fontId="83" fillId="11" borderId="142" xfId="0" applyNumberFormat="1" applyFont="1" applyFill="1" applyBorder="1" applyAlignment="1">
      <alignment horizontal="left" vertical="center"/>
    </xf>
    <xf numFmtId="167" fontId="83" fillId="11" borderId="145" xfId="0" applyNumberFormat="1" applyFont="1" applyFill="1" applyBorder="1" applyAlignment="1">
      <alignment horizontal="left" vertical="center"/>
    </xf>
    <xf numFmtId="167" fontId="84" fillId="11" borderId="146" xfId="0" applyNumberFormat="1" applyFont="1" applyFill="1" applyBorder="1" applyAlignment="1">
      <alignment horizontal="center" vertical="center"/>
    </xf>
    <xf numFmtId="167" fontId="85" fillId="11" borderId="146" xfId="0" applyNumberFormat="1" applyFont="1" applyFill="1" applyBorder="1" applyAlignment="1">
      <alignment horizontal="center" vertical="center"/>
    </xf>
    <xf numFmtId="167" fontId="83" fillId="11" borderId="146" xfId="0" applyNumberFormat="1" applyFont="1" applyFill="1" applyBorder="1" applyAlignment="1">
      <alignment horizontal="left" vertical="center"/>
    </xf>
    <xf numFmtId="0" fontId="52" fillId="0" borderId="0" xfId="0" applyFont="1" applyAlignment="1">
      <alignment horizontal="center" vertical="center"/>
    </xf>
    <xf numFmtId="0" fontId="52" fillId="0" borderId="93" xfId="0" applyFont="1" applyBorder="1" applyAlignment="1">
      <alignment horizontal="center" vertical="center"/>
    </xf>
    <xf numFmtId="0" fontId="52" fillId="0" borderId="67" xfId="0" applyFont="1" applyBorder="1" applyAlignment="1">
      <alignment horizontal="center" vertical="center"/>
    </xf>
    <xf numFmtId="0" fontId="52" fillId="0" borderId="68" xfId="0" applyFont="1" applyBorder="1" applyAlignment="1">
      <alignment horizontal="center" vertical="center"/>
    </xf>
    <xf numFmtId="0" fontId="52" fillId="2" borderId="1" xfId="0" applyFont="1" applyFill="1" applyBorder="1" applyAlignment="1">
      <alignment horizontal="left" vertical="center" indent="1"/>
    </xf>
    <xf numFmtId="0" fontId="52" fillId="2" borderId="1" xfId="0" quotePrefix="1" applyFont="1" applyFill="1" applyBorder="1" applyAlignment="1">
      <alignment horizontal="center" vertical="center"/>
    </xf>
    <xf numFmtId="0" fontId="52" fillId="2" borderId="68" xfId="0" applyFont="1" applyFill="1" applyBorder="1" applyAlignment="1">
      <alignment horizontal="center" vertical="center"/>
    </xf>
    <xf numFmtId="0" fontId="0" fillId="2" borderId="0" xfId="0" applyFill="1"/>
    <xf numFmtId="0" fontId="66" fillId="0" borderId="1" xfId="0" applyFont="1" applyBorder="1" applyAlignment="1">
      <alignment horizontal="left" vertical="center" indent="1"/>
    </xf>
    <xf numFmtId="0" fontId="52" fillId="0" borderId="66" xfId="0" applyFont="1" applyBorder="1" applyAlignment="1">
      <alignment horizontal="center" vertical="center"/>
    </xf>
    <xf numFmtId="0" fontId="52" fillId="0" borderId="99" xfId="0" applyFont="1" applyBorder="1" applyAlignment="1">
      <alignment horizontal="left" vertical="center" indent="1"/>
    </xf>
    <xf numFmtId="0" fontId="52" fillId="0" borderId="99" xfId="0" quotePrefix="1" applyFont="1" applyBorder="1" applyAlignment="1">
      <alignment horizontal="center" vertical="center"/>
    </xf>
    <xf numFmtId="0" fontId="52" fillId="0" borderId="99" xfId="0" applyFont="1" applyBorder="1" applyAlignment="1">
      <alignment horizontal="center" vertical="center"/>
    </xf>
    <xf numFmtId="2" fontId="52" fillId="0" borderId="99" xfId="0" applyNumberFormat="1" applyFont="1" applyBorder="1" applyAlignment="1">
      <alignment horizontal="center" vertical="center"/>
    </xf>
    <xf numFmtId="2" fontId="52" fillId="2" borderId="99" xfId="0" applyNumberFormat="1" applyFont="1" applyFill="1" applyBorder="1" applyAlignment="1">
      <alignment horizontal="center"/>
    </xf>
    <xf numFmtId="0" fontId="52" fillId="0" borderId="100" xfId="0" applyFont="1" applyBorder="1" applyAlignment="1">
      <alignment horizontal="center" vertical="center"/>
    </xf>
    <xf numFmtId="0" fontId="52" fillId="0" borderId="151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52" fillId="0" borderId="0" xfId="0" applyFont="1" applyBorder="1" applyAlignment="1">
      <alignment horizontal="left" vertical="center" indent="1"/>
    </xf>
    <xf numFmtId="0" fontId="52" fillId="5" borderId="0" xfId="0" applyFont="1" applyFill="1" applyBorder="1" applyAlignment="1">
      <alignment horizontal="center" vertical="center"/>
    </xf>
    <xf numFmtId="0" fontId="52" fillId="5" borderId="0" xfId="0" quotePrefix="1" applyFont="1" applyFill="1" applyBorder="1" applyAlignment="1">
      <alignment horizontal="center" vertical="center"/>
    </xf>
    <xf numFmtId="0" fontId="52" fillId="0" borderId="3" xfId="0" quotePrefix="1" applyFont="1" applyBorder="1" applyAlignment="1">
      <alignment horizontal="left" vertical="center" indent="1"/>
    </xf>
    <xf numFmtId="0" fontId="87" fillId="0" borderId="0" xfId="0" applyFont="1" applyAlignment="1">
      <alignment horizontal="center"/>
    </xf>
    <xf numFmtId="0" fontId="87" fillId="0" borderId="0" xfId="0" applyFont="1"/>
    <xf numFmtId="0" fontId="87" fillId="0" borderId="67" xfId="0" applyFont="1" applyBorder="1" applyAlignment="1">
      <alignment horizontal="center"/>
    </xf>
    <xf numFmtId="0" fontId="87" fillId="0" borderId="1" xfId="0" applyFont="1" applyBorder="1"/>
    <xf numFmtId="0" fontId="87" fillId="0" borderId="1" xfId="0" applyFont="1" applyBorder="1" applyAlignment="1">
      <alignment horizontal="center"/>
    </xf>
    <xf numFmtId="0" fontId="87" fillId="0" borderId="68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7" fillId="0" borderId="98" xfId="0" applyFont="1" applyBorder="1" applyAlignment="1">
      <alignment horizontal="center"/>
    </xf>
    <xf numFmtId="0" fontId="87" fillId="0" borderId="99" xfId="0" applyFont="1" applyBorder="1"/>
    <xf numFmtId="0" fontId="87" fillId="0" borderId="99" xfId="0" applyFont="1" applyBorder="1" applyAlignment="1">
      <alignment horizontal="center"/>
    </xf>
    <xf numFmtId="0" fontId="87" fillId="0" borderId="100" xfId="0" applyFont="1" applyBorder="1" applyAlignment="1">
      <alignment horizontal="center"/>
    </xf>
    <xf numFmtId="0" fontId="87" fillId="0" borderId="66" xfId="0" applyFont="1" applyBorder="1" applyAlignment="1">
      <alignment horizontal="center"/>
    </xf>
    <xf numFmtId="0" fontId="89" fillId="0" borderId="1" xfId="0" applyFont="1" applyBorder="1" applyAlignment="1">
      <alignment horizontal="center" vertical="center"/>
    </xf>
    <xf numFmtId="0" fontId="89" fillId="0" borderId="68" xfId="0" applyFont="1" applyBorder="1" applyAlignment="1">
      <alignment horizontal="center" vertical="center"/>
    </xf>
    <xf numFmtId="0" fontId="5" fillId="0" borderId="0" xfId="0" applyFont="1"/>
    <xf numFmtId="43" fontId="5" fillId="0" borderId="0" xfId="1" applyFont="1" applyAlignment="1">
      <alignment horizontal="center"/>
    </xf>
    <xf numFmtId="0" fontId="52" fillId="0" borderId="94" xfId="0" applyFont="1" applyBorder="1" applyAlignment="1">
      <alignment horizontal="center" vertical="center"/>
    </xf>
    <xf numFmtId="0" fontId="71" fillId="3" borderId="1" xfId="0" applyFont="1" applyFill="1" applyBorder="1"/>
    <xf numFmtId="43" fontId="52" fillId="3" borderId="1" xfId="1" applyFont="1" applyFill="1" applyBorder="1" applyAlignment="1">
      <alignment horizontal="center"/>
    </xf>
    <xf numFmtId="0" fontId="5" fillId="0" borderId="68" xfId="0" applyFont="1" applyBorder="1"/>
    <xf numFmtId="0" fontId="52" fillId="3" borderId="1" xfId="0" applyFont="1" applyFill="1" applyBorder="1" applyAlignment="1"/>
    <xf numFmtId="43" fontId="71" fillId="3" borderId="1" xfId="1" applyFont="1" applyFill="1" applyBorder="1" applyAlignment="1">
      <alignment horizontal="center"/>
    </xf>
    <xf numFmtId="0" fontId="52" fillId="0" borderId="1" xfId="0" applyFont="1" applyFill="1" applyBorder="1" applyAlignment="1"/>
    <xf numFmtId="0" fontId="52" fillId="0" borderId="68" xfId="0" applyFont="1" applyBorder="1"/>
    <xf numFmtId="2" fontId="52" fillId="0" borderId="1" xfId="0" applyNumberFormat="1" applyFont="1" applyBorder="1" applyAlignment="1">
      <alignment horizontal="center"/>
    </xf>
    <xf numFmtId="2" fontId="52" fillId="0" borderId="68" xfId="0" applyNumberFormat="1" applyFont="1" applyBorder="1" applyAlignment="1">
      <alignment horizontal="center"/>
    </xf>
    <xf numFmtId="0" fontId="52" fillId="0" borderId="1" xfId="0" applyFont="1" applyBorder="1" applyAlignment="1">
      <alignment horizontal="center"/>
    </xf>
    <xf numFmtId="2" fontId="91" fillId="0" borderId="1" xfId="0" applyNumberFormat="1" applyFont="1" applyBorder="1" applyAlignment="1">
      <alignment horizontal="center"/>
    </xf>
    <xf numFmtId="0" fontId="52" fillId="0" borderId="67" xfId="0" applyFont="1" applyBorder="1" applyAlignment="1">
      <alignment horizontal="center" vertical="center" wrapText="1"/>
    </xf>
    <xf numFmtId="0" fontId="5" fillId="0" borderId="0" xfId="0" applyFont="1" applyFill="1"/>
    <xf numFmtId="0" fontId="52" fillId="0" borderId="67" xfId="0" applyFont="1" applyBorder="1" applyAlignment="1">
      <alignment horizontal="center"/>
    </xf>
    <xf numFmtId="0" fontId="52" fillId="0" borderId="99" xfId="0" applyFont="1" applyBorder="1"/>
    <xf numFmtId="0" fontId="52" fillId="0" borderId="99" xfId="0" applyFont="1" applyBorder="1" applyAlignment="1">
      <alignment horizontal="center"/>
    </xf>
    <xf numFmtId="2" fontId="91" fillId="0" borderId="99" xfId="0" applyNumberFormat="1" applyFont="1" applyBorder="1" applyAlignment="1">
      <alignment horizontal="center"/>
    </xf>
    <xf numFmtId="2" fontId="52" fillId="0" borderId="100" xfId="0" applyNumberFormat="1" applyFont="1" applyBorder="1" applyAlignment="1">
      <alignment horizontal="center"/>
    </xf>
    <xf numFmtId="0" fontId="52" fillId="3" borderId="67" xfId="0" applyFont="1" applyFill="1" applyBorder="1" applyAlignment="1">
      <alignment horizontal="center" vertical="center"/>
    </xf>
    <xf numFmtId="0" fontId="52" fillId="0" borderId="67" xfId="0" applyFont="1" applyFill="1" applyBorder="1" applyAlignment="1">
      <alignment horizontal="center" vertical="center"/>
    </xf>
    <xf numFmtId="0" fontId="92" fillId="0" borderId="0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52" fillId="6" borderId="1" xfId="0" applyFont="1" applyFill="1" applyBorder="1" applyAlignment="1">
      <alignment horizontal="center" vertical="center"/>
    </xf>
    <xf numFmtId="0" fontId="52" fillId="0" borderId="2" xfId="0" applyFont="1" applyBorder="1" applyAlignment="1">
      <alignment horizontal="center" vertical="center"/>
    </xf>
    <xf numFmtId="2" fontId="52" fillId="0" borderId="2" xfId="0" applyNumberFormat="1" applyFont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/>
    </xf>
    <xf numFmtId="0" fontId="52" fillId="0" borderId="68" xfId="0" applyFont="1" applyFill="1" applyBorder="1" applyAlignment="1">
      <alignment horizontal="center" vertical="center"/>
    </xf>
    <xf numFmtId="2" fontId="92" fillId="0" borderId="0" xfId="0" applyNumberFormat="1" applyFont="1" applyBorder="1" applyAlignment="1">
      <alignment horizontal="center" vertical="center"/>
    </xf>
    <xf numFmtId="0" fontId="52" fillId="0" borderId="1" xfId="0" applyFont="1" applyFill="1" applyBorder="1" applyAlignment="1">
      <alignment horizontal="left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left" vertical="center"/>
    </xf>
    <xf numFmtId="0" fontId="52" fillId="0" borderId="8" xfId="0" applyFont="1" applyBorder="1" applyAlignment="1">
      <alignment horizontal="center" vertical="center"/>
    </xf>
    <xf numFmtId="2" fontId="52" fillId="0" borderId="8" xfId="0" applyNumberFormat="1" applyFont="1" applyBorder="1" applyAlignment="1">
      <alignment horizontal="center" vertical="center"/>
    </xf>
    <xf numFmtId="0" fontId="52" fillId="0" borderId="64" xfId="0" applyFont="1" applyBorder="1" applyAlignment="1">
      <alignment horizontal="center" vertical="center"/>
    </xf>
    <xf numFmtId="2" fontId="92" fillId="0" borderId="0" xfId="0" applyNumberFormat="1" applyFont="1" applyAlignment="1">
      <alignment horizontal="center" vertical="center"/>
    </xf>
    <xf numFmtId="2" fontId="52" fillId="0" borderId="29" xfId="0" applyNumberFormat="1" applyFont="1" applyBorder="1" applyAlignment="1">
      <alignment horizontal="center" vertical="center"/>
    </xf>
    <xf numFmtId="0" fontId="52" fillId="0" borderId="30" xfId="0" applyFont="1" applyBorder="1" applyAlignment="1">
      <alignment horizontal="center" vertical="center"/>
    </xf>
    <xf numFmtId="0" fontId="52" fillId="0" borderId="10" xfId="0" applyFont="1" applyFill="1" applyBorder="1" applyAlignment="1">
      <alignment horizontal="left" vertical="center"/>
    </xf>
    <xf numFmtId="0" fontId="52" fillId="0" borderId="10" xfId="0" applyFont="1" applyFill="1" applyBorder="1" applyAlignment="1">
      <alignment horizontal="center" vertical="center"/>
    </xf>
    <xf numFmtId="0" fontId="52" fillId="0" borderId="64" xfId="0" applyFont="1" applyFill="1" applyBorder="1" applyAlignment="1">
      <alignment horizontal="center" vertical="center"/>
    </xf>
    <xf numFmtId="0" fontId="45" fillId="0" borderId="0" xfId="7" applyBorder="1" applyAlignment="1">
      <alignment horizontal="center" vertical="center"/>
    </xf>
    <xf numFmtId="0" fontId="84" fillId="0" borderId="0" xfId="0" applyFont="1" applyAlignment="1">
      <alignment horizontal="center"/>
    </xf>
    <xf numFmtId="0" fontId="89" fillId="0" borderId="93" xfId="0" applyFont="1" applyBorder="1" applyAlignment="1">
      <alignment horizontal="center" vertical="center"/>
    </xf>
    <xf numFmtId="0" fontId="89" fillId="0" borderId="94" xfId="0" applyFont="1" applyBorder="1" applyAlignment="1">
      <alignment horizontal="center" vertical="center"/>
    </xf>
    <xf numFmtId="0" fontId="93" fillId="0" borderId="67" xfId="0" applyFont="1" applyBorder="1" applyAlignment="1"/>
    <xf numFmtId="0" fontId="93" fillId="0" borderId="1" xfId="0" applyFont="1" applyBorder="1" applyAlignment="1"/>
    <xf numFmtId="0" fontId="45" fillId="0" borderId="0" xfId="7" applyFill="1" applyBorder="1" applyAlignment="1">
      <alignment horizontal="center" vertical="center"/>
    </xf>
    <xf numFmtId="167" fontId="80" fillId="11" borderId="0" xfId="0" applyNumberFormat="1" applyFont="1" applyFill="1" applyAlignment="1">
      <alignment horizontal="center" vertical="center" wrapText="1"/>
    </xf>
    <xf numFmtId="1" fontId="80" fillId="11" borderId="0" xfId="0" applyNumberFormat="1" applyFont="1" applyFill="1" applyAlignment="1">
      <alignment horizontal="center" vertical="center"/>
    </xf>
    <xf numFmtId="2" fontId="80" fillId="11" borderId="0" xfId="0" applyNumberFormat="1" applyFont="1" applyFill="1" applyAlignment="1">
      <alignment horizontal="center" vertical="center"/>
    </xf>
    <xf numFmtId="2" fontId="84" fillId="11" borderId="0" xfId="0" applyNumberFormat="1" applyFont="1" applyFill="1" applyAlignment="1">
      <alignment horizontal="center" vertical="center"/>
    </xf>
    <xf numFmtId="0" fontId="95" fillId="2" borderId="132" xfId="0" applyFont="1" applyFill="1" applyBorder="1" applyAlignment="1">
      <alignment horizontal="center" vertical="center"/>
    </xf>
    <xf numFmtId="0" fontId="95" fillId="2" borderId="133" xfId="0" applyFont="1" applyFill="1" applyBorder="1" applyAlignment="1">
      <alignment horizontal="center" vertical="center"/>
    </xf>
    <xf numFmtId="0" fontId="95" fillId="2" borderId="2" xfId="0" applyFont="1" applyFill="1" applyBorder="1" applyAlignment="1">
      <alignment horizontal="center" vertical="center"/>
    </xf>
    <xf numFmtId="0" fontId="95" fillId="2" borderId="161" xfId="0" applyFont="1" applyFill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5" fillId="0" borderId="81" xfId="0" applyFont="1" applyBorder="1" applyAlignment="1">
      <alignment horizontal="center" vertical="center"/>
    </xf>
    <xf numFmtId="0" fontId="66" fillId="0" borderId="7" xfId="0" applyFont="1" applyBorder="1" applyAlignment="1">
      <alignment horizontal="center" vertical="center"/>
    </xf>
    <xf numFmtId="182" fontId="66" fillId="2" borderId="7" xfId="12" applyNumberFormat="1" applyFont="1" applyFill="1" applyBorder="1" applyAlignment="1">
      <alignment horizontal="center" vertical="center"/>
    </xf>
    <xf numFmtId="1" fontId="66" fillId="0" borderId="7" xfId="0" applyNumberFormat="1" applyFont="1" applyBorder="1" applyAlignment="1">
      <alignment horizontal="center" vertical="center"/>
    </xf>
    <xf numFmtId="2" fontId="66" fillId="0" borderId="7" xfId="0" applyNumberFormat="1" applyFont="1" applyBorder="1" applyAlignment="1">
      <alignment horizontal="center" vertical="center"/>
    </xf>
    <xf numFmtId="167" fontId="66" fillId="0" borderId="7" xfId="0" applyNumberFormat="1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182" fontId="66" fillId="2" borderId="3" xfId="12" applyNumberFormat="1" applyFont="1" applyFill="1" applyBorder="1" applyAlignment="1">
      <alignment horizontal="center" vertical="center"/>
    </xf>
    <xf numFmtId="1" fontId="66" fillId="0" borderId="11" xfId="0" applyNumberFormat="1" applyFont="1" applyBorder="1" applyAlignment="1">
      <alignment horizontal="center" vertical="center"/>
    </xf>
    <xf numFmtId="2" fontId="66" fillId="0" borderId="3" xfId="0" applyNumberFormat="1" applyFont="1" applyBorder="1" applyAlignment="1">
      <alignment horizontal="center" vertical="center"/>
    </xf>
    <xf numFmtId="167" fontId="66" fillId="0" borderId="3" xfId="0" applyNumberFormat="1" applyFont="1" applyBorder="1" applyAlignment="1">
      <alignment horizontal="center" vertical="center"/>
    </xf>
    <xf numFmtId="0" fontId="66" fillId="0" borderId="3" xfId="0" applyFont="1" applyBorder="1" applyAlignment="1">
      <alignment horizontal="center" vertical="center"/>
    </xf>
    <xf numFmtId="1" fontId="66" fillId="0" borderId="3" xfId="0" applyNumberFormat="1" applyFont="1" applyBorder="1" applyAlignment="1">
      <alignment horizontal="center" vertical="center"/>
    </xf>
    <xf numFmtId="0" fontId="66" fillId="0" borderId="6" xfId="0" applyFont="1" applyBorder="1" applyAlignment="1">
      <alignment horizontal="center" vertical="center"/>
    </xf>
    <xf numFmtId="182" fontId="66" fillId="2" borderId="6" xfId="12" applyNumberFormat="1" applyFont="1" applyFill="1" applyBorder="1" applyAlignment="1">
      <alignment horizontal="center" vertical="center"/>
    </xf>
    <xf numFmtId="0" fontId="66" fillId="0" borderId="8" xfId="0" applyFont="1" applyBorder="1" applyAlignment="1">
      <alignment horizontal="center" vertical="center"/>
    </xf>
    <xf numFmtId="1" fontId="66" fillId="0" borderId="6" xfId="0" applyNumberFormat="1" applyFont="1" applyBorder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167" fontId="66" fillId="0" borderId="6" xfId="0" applyNumberFormat="1" applyFont="1" applyBorder="1" applyAlignment="1">
      <alignment horizontal="center" vertical="center"/>
    </xf>
    <xf numFmtId="184" fontId="66" fillId="2" borderId="5" xfId="0" applyNumberFormat="1" applyFont="1" applyFill="1" applyBorder="1" applyAlignment="1">
      <alignment vertical="center"/>
    </xf>
    <xf numFmtId="0" fontId="66" fillId="2" borderId="5" xfId="0" applyFont="1" applyFill="1" applyBorder="1" applyAlignment="1">
      <alignment vertical="center"/>
    </xf>
    <xf numFmtId="2" fontId="66" fillId="2" borderId="5" xfId="12" applyNumberFormat="1" applyFont="1" applyFill="1" applyBorder="1" applyAlignment="1">
      <alignment horizontal="left" vertical="center"/>
    </xf>
    <xf numFmtId="2" fontId="66" fillId="2" borderId="5" xfId="12" applyNumberFormat="1" applyFont="1" applyFill="1" applyBorder="1" applyAlignment="1">
      <alignment horizontal="right" vertical="center"/>
    </xf>
    <xf numFmtId="0" fontId="66" fillId="2" borderId="23" xfId="0" applyFont="1" applyFill="1" applyBorder="1"/>
    <xf numFmtId="0" fontId="66" fillId="2" borderId="0" xfId="0" applyFont="1" applyFill="1" applyBorder="1" applyAlignment="1">
      <alignment vertical="center"/>
    </xf>
    <xf numFmtId="2" fontId="66" fillId="2" borderId="0" xfId="12" applyNumberFormat="1" applyFont="1" applyFill="1" applyBorder="1" applyAlignment="1">
      <alignment horizontal="left" vertical="center"/>
    </xf>
    <xf numFmtId="2" fontId="66" fillId="2" borderId="0" xfId="12" applyNumberFormat="1" applyFont="1" applyFill="1" applyBorder="1" applyAlignment="1">
      <alignment horizontal="right" vertical="center"/>
    </xf>
    <xf numFmtId="0" fontId="66" fillId="2" borderId="39" xfId="0" applyFont="1" applyFill="1" applyBorder="1"/>
    <xf numFmtId="2" fontId="66" fillId="2" borderId="0" xfId="0" applyNumberFormat="1" applyFont="1" applyFill="1" applyBorder="1" applyAlignment="1">
      <alignment horizontal="left" vertical="center"/>
    </xf>
    <xf numFmtId="184" fontId="91" fillId="2" borderId="5" xfId="0" applyNumberFormat="1" applyFont="1" applyFill="1" applyBorder="1" applyAlignment="1">
      <alignment vertical="center"/>
    </xf>
    <xf numFmtId="0" fontId="91" fillId="2" borderId="5" xfId="0" applyFont="1" applyFill="1" applyBorder="1" applyAlignment="1">
      <alignment vertical="center"/>
    </xf>
    <xf numFmtId="2" fontId="91" fillId="2" borderId="5" xfId="12" applyNumberFormat="1" applyFont="1" applyFill="1" applyBorder="1" applyAlignment="1">
      <alignment horizontal="left" vertical="center"/>
    </xf>
    <xf numFmtId="2" fontId="91" fillId="2" borderId="5" xfId="12" applyNumberFormat="1" applyFont="1" applyFill="1" applyBorder="1" applyAlignment="1">
      <alignment horizontal="right" vertical="center"/>
    </xf>
    <xf numFmtId="0" fontId="91" fillId="2" borderId="23" xfId="0" applyFont="1" applyFill="1" applyBorder="1"/>
    <xf numFmtId="0" fontId="91" fillId="2" borderId="0" xfId="0" applyFont="1" applyFill="1" applyBorder="1" applyAlignment="1">
      <alignment vertical="center"/>
    </xf>
    <xf numFmtId="0" fontId="91" fillId="2" borderId="39" xfId="0" applyFont="1" applyFill="1" applyBorder="1"/>
    <xf numFmtId="0" fontId="91" fillId="2" borderId="20" xfId="0" applyFont="1" applyFill="1" applyBorder="1" applyAlignment="1">
      <alignment vertical="center"/>
    </xf>
    <xf numFmtId="2" fontId="91" fillId="2" borderId="167" xfId="12" applyNumberFormat="1" applyFont="1" applyFill="1" applyBorder="1" applyAlignment="1">
      <alignment horizontal="left" vertical="center"/>
    </xf>
    <xf numFmtId="2" fontId="91" fillId="2" borderId="167" xfId="12" applyNumberFormat="1" applyFont="1" applyFill="1" applyBorder="1" applyAlignment="1">
      <alignment horizontal="right" vertical="center"/>
    </xf>
    <xf numFmtId="0" fontId="91" fillId="2" borderId="165" xfId="0" applyFont="1" applyFill="1" applyBorder="1"/>
    <xf numFmtId="2" fontId="12" fillId="0" borderId="4" xfId="0" applyNumberFormat="1" applyFont="1" applyFill="1" applyBorder="1" applyAlignment="1">
      <alignment horizontal="center" vertical="center" wrapText="1"/>
    </xf>
    <xf numFmtId="2" fontId="45" fillId="0" borderId="0" xfId="7" applyNumberFormat="1" applyFill="1" applyBorder="1" applyAlignment="1">
      <alignment horizontal="centerContinuous" vertical="center" wrapText="1"/>
    </xf>
    <xf numFmtId="0" fontId="46" fillId="0" borderId="0" xfId="0" applyFont="1"/>
    <xf numFmtId="0" fontId="9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1" fontId="11" fillId="0" borderId="3" xfId="0" applyNumberFormat="1" applyFont="1" applyFill="1" applyBorder="1" applyAlignment="1">
      <alignment horizontal="center" vertical="center"/>
    </xf>
    <xf numFmtId="49" fontId="98" fillId="0" borderId="3" xfId="7" applyNumberFormat="1" applyFont="1" applyFill="1" applyBorder="1" applyAlignment="1">
      <alignment horizontal="center" vertical="center" wrapText="1"/>
    </xf>
    <xf numFmtId="0" fontId="64" fillId="0" borderId="3" xfId="0" applyFont="1" applyFill="1" applyBorder="1" applyAlignment="1">
      <alignment vertical="center" wrapText="1" shrinkToFit="1"/>
    </xf>
    <xf numFmtId="4" fontId="32" fillId="0" borderId="3" xfId="11" applyNumberFormat="1" applyFont="1" applyFill="1" applyBorder="1" applyAlignment="1">
      <alignment vertical="center" wrapText="1"/>
    </xf>
    <xf numFmtId="4" fontId="32" fillId="0" borderId="3" xfId="11" applyNumberFormat="1" applyFont="1" applyFill="1" applyBorder="1" applyAlignment="1">
      <alignment horizontal="center" vertical="center" wrapText="1"/>
    </xf>
    <xf numFmtId="49" fontId="99" fillId="0" borderId="3" xfId="7" quotePrefix="1" applyNumberFormat="1" applyFont="1" applyFill="1" applyBorder="1" applyAlignment="1">
      <alignment horizontal="center" vertical="center" wrapText="1"/>
    </xf>
    <xf numFmtId="49" fontId="99" fillId="0" borderId="3" xfId="7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justify" vertical="center" readingOrder="1"/>
    </xf>
    <xf numFmtId="49" fontId="98" fillId="0" borderId="3" xfId="7" quotePrefix="1" applyNumberFormat="1" applyFont="1" applyFill="1" applyBorder="1" applyAlignment="1">
      <alignment horizontal="center" vertical="center" wrapText="1"/>
    </xf>
    <xf numFmtId="0" fontId="39" fillId="0" borderId="3" xfId="0" applyFont="1" applyFill="1" applyBorder="1" applyAlignment="1">
      <alignment vertical="center" wrapText="1" shrinkToFit="1"/>
    </xf>
    <xf numFmtId="0" fontId="39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left" vertical="center"/>
    </xf>
    <xf numFmtId="0" fontId="11" fillId="0" borderId="4" xfId="5" applyFont="1" applyFill="1" applyBorder="1" applyAlignment="1">
      <alignment horizontal="center" vertical="center"/>
    </xf>
    <xf numFmtId="0" fontId="100" fillId="0" borderId="0" xfId="0" applyFont="1" applyFill="1" applyBorder="1" applyAlignment="1"/>
    <xf numFmtId="0" fontId="12" fillId="0" borderId="0" xfId="0" applyFont="1" applyFill="1" applyAlignment="1">
      <alignment horizontal="left" vertical="center"/>
    </xf>
    <xf numFmtId="164" fontId="10" fillId="0" borderId="0" xfId="4" applyFont="1" applyFill="1" applyAlignment="1">
      <alignment horizontal="center"/>
    </xf>
    <xf numFmtId="164" fontId="10" fillId="0" borderId="0" xfId="4" applyFont="1" applyFill="1" applyAlignment="1"/>
    <xf numFmtId="0" fontId="10" fillId="0" borderId="0" xfId="0" applyFont="1" applyFill="1" applyAlignment="1">
      <alignment horizontal="centerContinuous"/>
    </xf>
    <xf numFmtId="0" fontId="12" fillId="0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7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49" fontId="11" fillId="0" borderId="3" xfId="7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14" borderId="3" xfId="0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vertical="center" wrapText="1" shrinkToFit="1"/>
    </xf>
    <xf numFmtId="1" fontId="11" fillId="14" borderId="3" xfId="0" applyNumberFormat="1" applyFont="1" applyFill="1" applyBorder="1" applyAlignment="1">
      <alignment horizontal="center" vertical="center"/>
    </xf>
    <xf numFmtId="165" fontId="32" fillId="14" borderId="3" xfId="0" applyNumberFormat="1" applyFont="1" applyFill="1" applyBorder="1" applyAlignment="1">
      <alignment horizontal="right" vertical="center" shrinkToFit="1"/>
    </xf>
    <xf numFmtId="2" fontId="12" fillId="14" borderId="3" xfId="0" applyNumberFormat="1" applyFont="1" applyFill="1" applyBorder="1" applyAlignment="1">
      <alignment horizontal="center" vertical="center" wrapText="1"/>
    </xf>
    <xf numFmtId="49" fontId="12" fillId="14" borderId="3" xfId="0" applyNumberFormat="1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vertical="center" wrapText="1" shrinkToFit="1"/>
    </xf>
    <xf numFmtId="1" fontId="11" fillId="13" borderId="3" xfId="0" applyNumberFormat="1" applyFont="1" applyFill="1" applyBorder="1" applyAlignment="1">
      <alignment horizontal="center" vertical="center"/>
    </xf>
    <xf numFmtId="165" fontId="32" fillId="13" borderId="3" xfId="0" applyNumberFormat="1" applyFont="1" applyFill="1" applyBorder="1" applyAlignment="1">
      <alignment horizontal="right" vertical="center" shrinkToFit="1"/>
    </xf>
    <xf numFmtId="2" fontId="12" fillId="13" borderId="3" xfId="0" applyNumberFormat="1" applyFont="1" applyFill="1" applyBorder="1" applyAlignment="1">
      <alignment horizontal="center" vertical="center" wrapText="1"/>
    </xf>
    <xf numFmtId="49" fontId="12" fillId="13" borderId="3" xfId="0" applyNumberFormat="1" applyFont="1" applyFill="1" applyBorder="1" applyAlignment="1">
      <alignment horizontal="center" vertical="center" wrapText="1"/>
    </xf>
    <xf numFmtId="0" fontId="48" fillId="13" borderId="3" xfId="0" applyFont="1" applyFill="1" applyBorder="1" applyAlignment="1">
      <alignment horizontal="center" vertical="center"/>
    </xf>
    <xf numFmtId="0" fontId="48" fillId="13" borderId="3" xfId="0" applyFont="1" applyFill="1" applyBorder="1" applyAlignment="1">
      <alignment vertical="center" wrapText="1" shrinkToFit="1"/>
    </xf>
    <xf numFmtId="1" fontId="48" fillId="13" borderId="3" xfId="0" applyNumberFormat="1" applyFont="1" applyFill="1" applyBorder="1" applyAlignment="1">
      <alignment horizontal="center" vertical="center"/>
    </xf>
    <xf numFmtId="49" fontId="47" fillId="13" borderId="3" xfId="0" applyNumberFormat="1" applyFont="1" applyFill="1" applyBorder="1" applyAlignment="1">
      <alignment horizontal="center" vertical="center" wrapText="1"/>
    </xf>
    <xf numFmtId="0" fontId="9" fillId="13" borderId="0" xfId="0" applyFont="1" applyFill="1" applyAlignment="1">
      <alignment vertical="center"/>
    </xf>
    <xf numFmtId="165" fontId="48" fillId="13" borderId="3" xfId="0" applyNumberFormat="1" applyFont="1" applyFill="1" applyBorder="1" applyAlignment="1">
      <alignment horizontal="right" vertical="center" shrinkToFit="1"/>
    </xf>
    <xf numFmtId="49" fontId="98" fillId="13" borderId="3" xfId="7" applyNumberFormat="1" applyFont="1" applyFill="1" applyBorder="1" applyAlignment="1">
      <alignment horizontal="center" vertical="center" wrapText="1"/>
    </xf>
    <xf numFmtId="0" fontId="48" fillId="13" borderId="3" xfId="0" applyFont="1" applyFill="1" applyBorder="1" applyAlignment="1">
      <alignment horizontal="center" vertical="center" shrinkToFit="1"/>
    </xf>
    <xf numFmtId="165" fontId="64" fillId="13" borderId="3" xfId="0" applyNumberFormat="1" applyFont="1" applyFill="1" applyBorder="1" applyAlignment="1">
      <alignment horizontal="right" vertical="center" shrinkToFit="1"/>
    </xf>
    <xf numFmtId="0" fontId="11" fillId="13" borderId="3" xfId="0" applyFont="1" applyFill="1" applyBorder="1" applyAlignment="1">
      <alignment horizontal="center" vertical="center" shrinkToFit="1"/>
    </xf>
    <xf numFmtId="165" fontId="11" fillId="13" borderId="3" xfId="0" applyNumberFormat="1" applyFont="1" applyFill="1" applyBorder="1" applyAlignment="1">
      <alignment horizontal="right" vertical="center" shrinkToFit="1"/>
    </xf>
    <xf numFmtId="0" fontId="44" fillId="15" borderId="10" xfId="0" applyFont="1" applyFill="1" applyBorder="1" applyAlignment="1">
      <alignment horizontal="center" vertical="center"/>
    </xf>
    <xf numFmtId="0" fontId="44" fillId="15" borderId="10" xfId="0" applyFont="1" applyFill="1" applyBorder="1" applyAlignment="1">
      <alignment horizontal="center" vertical="center" wrapText="1"/>
    </xf>
    <xf numFmtId="0" fontId="44" fillId="15" borderId="2" xfId="0" applyFont="1" applyFill="1" applyBorder="1" applyAlignment="1">
      <alignment horizontal="center" vertical="center"/>
    </xf>
    <xf numFmtId="0" fontId="44" fillId="15" borderId="2" xfId="0" applyFont="1" applyFill="1" applyBorder="1" applyAlignment="1">
      <alignment horizontal="center" vertical="center" wrapText="1"/>
    </xf>
    <xf numFmtId="0" fontId="66" fillId="2" borderId="96" xfId="0" applyFont="1" applyFill="1" applyBorder="1" applyAlignment="1">
      <alignment horizontal="center"/>
    </xf>
    <xf numFmtId="167" fontId="66" fillId="2" borderId="97" xfId="0" applyNumberFormat="1" applyFont="1" applyFill="1" applyBorder="1" applyAlignment="1">
      <alignment horizontal="center"/>
    </xf>
    <xf numFmtId="167" fontId="66" fillId="3" borderId="97" xfId="0" applyNumberFormat="1" applyFont="1" applyFill="1" applyBorder="1" applyAlignment="1">
      <alignment horizontal="center"/>
    </xf>
    <xf numFmtId="0" fontId="52" fillId="4" borderId="97" xfId="0" applyFont="1" applyFill="1" applyBorder="1" applyAlignment="1">
      <alignment horizontal="center"/>
    </xf>
    <xf numFmtId="0" fontId="66" fillId="4" borderId="97" xfId="0" applyFont="1" applyFill="1" applyBorder="1" applyAlignment="1">
      <alignment horizontal="center"/>
    </xf>
    <xf numFmtId="167" fontId="66" fillId="5" borderId="97" xfId="0" applyNumberFormat="1" applyFont="1" applyFill="1" applyBorder="1" applyAlignment="1">
      <alignment horizontal="center"/>
    </xf>
    <xf numFmtId="2" fontId="66" fillId="5" borderId="97" xfId="0" applyNumberFormat="1" applyFont="1" applyFill="1" applyBorder="1" applyAlignment="1">
      <alignment horizontal="center"/>
    </xf>
    <xf numFmtId="0" fontId="66" fillId="2" borderId="97" xfId="0" applyFont="1" applyFill="1" applyBorder="1" applyAlignment="1">
      <alignment horizontal="center"/>
    </xf>
    <xf numFmtId="167" fontId="66" fillId="2" borderId="1" xfId="0" applyNumberFormat="1" applyFont="1" applyFill="1" applyBorder="1" applyAlignment="1">
      <alignment horizontal="center"/>
    </xf>
    <xf numFmtId="167" fontId="66" fillId="3" borderId="1" xfId="0" applyNumberFormat="1" applyFont="1" applyFill="1" applyBorder="1" applyAlignment="1">
      <alignment horizontal="center"/>
    </xf>
    <xf numFmtId="167" fontId="66" fillId="5" borderId="1" xfId="0" applyNumberFormat="1" applyFont="1" applyFill="1" applyBorder="1" applyAlignment="1">
      <alignment horizontal="center"/>
    </xf>
    <xf numFmtId="2" fontId="66" fillId="5" borderId="1" xfId="0" applyNumberFormat="1" applyFont="1" applyFill="1" applyBorder="1" applyAlignment="1">
      <alignment horizontal="center"/>
    </xf>
    <xf numFmtId="0" fontId="32" fillId="14" borderId="3" xfId="0" applyFont="1" applyFill="1" applyBorder="1" applyAlignment="1">
      <alignment horizontal="center" shrinkToFit="1"/>
    </xf>
    <xf numFmtId="0" fontId="9" fillId="14" borderId="0" xfId="0" applyFont="1" applyFill="1" applyAlignment="1">
      <alignment vertical="center"/>
    </xf>
    <xf numFmtId="0" fontId="29" fillId="14" borderId="3" xfId="0" applyFont="1" applyFill="1" applyBorder="1" applyAlignment="1">
      <alignment horizontal="center" vertical="center" wrapText="1"/>
    </xf>
    <xf numFmtId="0" fontId="29" fillId="14" borderId="3" xfId="0" applyFont="1" applyFill="1" applyBorder="1" applyAlignment="1">
      <alignment horizontal="left" vertical="center" wrapText="1"/>
    </xf>
    <xf numFmtId="0" fontId="29" fillId="14" borderId="3" xfId="0" applyFont="1" applyFill="1" applyBorder="1" applyAlignment="1"/>
    <xf numFmtId="0" fontId="32" fillId="14" borderId="3" xfId="0" applyFont="1" applyFill="1" applyBorder="1" applyAlignment="1">
      <alignment horizontal="center" vertical="center" shrinkToFit="1"/>
    </xf>
    <xf numFmtId="0" fontId="11" fillId="14" borderId="3" xfId="0" applyFont="1" applyFill="1" applyBorder="1" applyAlignment="1">
      <alignment horizontal="left" vertical="center"/>
    </xf>
    <xf numFmtId="0" fontId="29" fillId="14" borderId="3" xfId="0" applyFont="1" applyFill="1" applyBorder="1" applyAlignment="1">
      <alignment horizontal="left" vertical="center"/>
    </xf>
    <xf numFmtId="0" fontId="32" fillId="14" borderId="3" xfId="0" applyFont="1" applyFill="1" applyBorder="1" applyAlignment="1">
      <alignment horizontal="left" vertical="center" shrinkToFit="1"/>
    </xf>
    <xf numFmtId="165" fontId="32" fillId="14" borderId="3" xfId="0" applyNumberFormat="1" applyFont="1" applyFill="1" applyBorder="1" applyAlignment="1">
      <alignment horizontal="left" vertical="center" shrinkToFit="1"/>
    </xf>
    <xf numFmtId="2" fontId="12" fillId="14" borderId="3" xfId="0" applyNumberFormat="1" applyFont="1" applyFill="1" applyBorder="1" applyAlignment="1">
      <alignment horizontal="left" vertical="center" wrapText="1"/>
    </xf>
    <xf numFmtId="49" fontId="12" fillId="14" borderId="3" xfId="0" applyNumberFormat="1" applyFont="1" applyFill="1" applyBorder="1" applyAlignment="1">
      <alignment horizontal="left" vertical="center" wrapText="1"/>
    </xf>
    <xf numFmtId="0" fontId="9" fillId="14" borderId="0" xfId="0" applyFont="1" applyFill="1" applyAlignment="1">
      <alignment horizontal="left" vertical="center"/>
    </xf>
    <xf numFmtId="0" fontId="11" fillId="14" borderId="3" xfId="0" applyFont="1" applyFill="1" applyBorder="1" applyAlignment="1">
      <alignment horizontal="center" vertical="center" shrinkToFit="1"/>
    </xf>
    <xf numFmtId="0" fontId="29" fillId="14" borderId="3" xfId="0" applyFont="1" applyFill="1" applyBorder="1" applyAlignment="1">
      <alignment horizontal="center" vertical="center"/>
    </xf>
    <xf numFmtId="49" fontId="9" fillId="14" borderId="3" xfId="0" applyNumberFormat="1" applyFont="1" applyFill="1" applyBorder="1" applyAlignment="1">
      <alignment horizontal="center" vertical="center" wrapText="1"/>
    </xf>
    <xf numFmtId="49" fontId="99" fillId="14" borderId="3" xfId="7" quotePrefix="1" applyNumberFormat="1" applyFont="1" applyFill="1" applyBorder="1" applyAlignment="1">
      <alignment horizontal="center" vertical="center" wrapText="1"/>
    </xf>
    <xf numFmtId="0" fontId="29" fillId="14" borderId="3" xfId="0" applyFont="1" applyFill="1" applyBorder="1" applyAlignment="1">
      <alignment vertical="center" wrapText="1" shrinkToFit="1"/>
    </xf>
    <xf numFmtId="0" fontId="32" fillId="14" borderId="3" xfId="0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right" vertical="center" shrinkToFit="1"/>
    </xf>
    <xf numFmtId="166" fontId="11" fillId="14" borderId="3" xfId="0" applyNumberFormat="1" applyFont="1" applyFill="1" applyBorder="1" applyAlignment="1">
      <alignment vertical="center"/>
    </xf>
    <xf numFmtId="164" fontId="9" fillId="14" borderId="3" xfId="4" applyFont="1" applyFill="1" applyBorder="1" applyAlignment="1">
      <alignment horizontal="right" vertical="center" wrapText="1"/>
    </xf>
    <xf numFmtId="0" fontId="12" fillId="14" borderId="3" xfId="0" applyFont="1" applyFill="1" applyBorder="1" applyAlignment="1">
      <alignment horizontal="center" vertical="center"/>
    </xf>
    <xf numFmtId="0" fontId="29" fillId="14" borderId="3" xfId="0" applyFont="1" applyFill="1" applyBorder="1" applyAlignment="1">
      <alignment horizontal="left" vertical="center" wrapText="1" shrinkToFit="1"/>
    </xf>
    <xf numFmtId="0" fontId="32" fillId="14" borderId="3" xfId="0" applyFont="1" applyFill="1" applyBorder="1" applyAlignment="1">
      <alignment horizontal="center" vertical="center" wrapText="1"/>
    </xf>
    <xf numFmtId="0" fontId="32" fillId="14" borderId="3" xfId="0" applyFont="1" applyFill="1" applyBorder="1" applyAlignment="1">
      <alignment horizontal="center" vertical="center" wrapText="1" shrinkToFit="1"/>
    </xf>
    <xf numFmtId="0" fontId="101" fillId="14" borderId="3" xfId="0" applyFont="1" applyFill="1" applyBorder="1" applyAlignment="1">
      <alignment horizontal="justify" vertical="center" readingOrder="1"/>
    </xf>
    <xf numFmtId="0" fontId="9" fillId="14" borderId="3" xfId="0" applyFont="1" applyFill="1" applyBorder="1" applyAlignment="1">
      <alignment horizontal="center" vertical="center"/>
    </xf>
    <xf numFmtId="0" fontId="12" fillId="14" borderId="3" xfId="0" applyFont="1" applyFill="1" applyBorder="1" applyAlignment="1">
      <alignment horizontal="justify" vertical="center" readingOrder="1"/>
    </xf>
    <xf numFmtId="164" fontId="12" fillId="14" borderId="3" xfId="4" applyFont="1" applyFill="1" applyBorder="1" applyAlignment="1">
      <alignment horizontal="right" vertical="center" wrapText="1"/>
    </xf>
    <xf numFmtId="0" fontId="32" fillId="14" borderId="3" xfId="0" applyFont="1" applyFill="1" applyBorder="1" applyAlignment="1">
      <alignment horizontal="center"/>
    </xf>
    <xf numFmtId="0" fontId="29" fillId="14" borderId="3" xfId="0" applyFont="1" applyFill="1" applyBorder="1" applyAlignment="1">
      <alignment shrinkToFit="1"/>
    </xf>
    <xf numFmtId="0" fontId="29" fillId="14" borderId="3" xfId="0" applyFont="1" applyFill="1" applyBorder="1" applyAlignment="1">
      <alignment horizontal="center"/>
    </xf>
    <xf numFmtId="0" fontId="29" fillId="14" borderId="3" xfId="0" applyFont="1" applyFill="1" applyBorder="1" applyAlignment="1">
      <alignment horizontal="center" vertical="center" shrinkToFit="1"/>
    </xf>
    <xf numFmtId="49" fontId="98" fillId="14" borderId="3" xfId="7" quotePrefix="1" applyNumberFormat="1" applyFont="1" applyFill="1" applyBorder="1" applyAlignment="1">
      <alignment horizontal="center" vertical="center" wrapText="1"/>
    </xf>
    <xf numFmtId="0" fontId="11" fillId="14" borderId="3" xfId="0" applyFont="1" applyFill="1" applyBorder="1" applyAlignment="1">
      <alignment vertical="center" wrapText="1"/>
    </xf>
    <xf numFmtId="0" fontId="11" fillId="14" borderId="3" xfId="0" applyFont="1" applyFill="1" applyBorder="1" applyAlignment="1">
      <alignment horizontal="left" vertical="center" wrapText="1" shrinkToFit="1"/>
    </xf>
    <xf numFmtId="0" fontId="11" fillId="14" borderId="3" xfId="0" applyFont="1" applyFill="1" applyBorder="1" applyAlignment="1">
      <alignment horizontal="center" vertical="center" wrapText="1" shrinkToFit="1"/>
    </xf>
    <xf numFmtId="0" fontId="29" fillId="14" borderId="3" xfId="0" applyFont="1" applyFill="1" applyBorder="1" applyAlignment="1">
      <alignment horizontal="center" vertical="center" wrapText="1" shrinkToFit="1"/>
    </xf>
    <xf numFmtId="0" fontId="11" fillId="14" borderId="3" xfId="0" applyFont="1" applyFill="1" applyBorder="1" applyAlignment="1">
      <alignment horizontal="center" vertical="center" wrapText="1"/>
    </xf>
    <xf numFmtId="0" fontId="67" fillId="14" borderId="103" xfId="10" applyFont="1" applyFill="1" applyBorder="1" applyAlignment="1">
      <alignment horizontal="center" vertical="center"/>
    </xf>
    <xf numFmtId="0" fontId="67" fillId="14" borderId="104" xfId="10" applyFont="1" applyFill="1" applyBorder="1" applyAlignment="1">
      <alignment horizontal="center" vertical="center"/>
    </xf>
    <xf numFmtId="0" fontId="67" fillId="14" borderId="105" xfId="10" applyFont="1" applyFill="1" applyBorder="1" applyAlignment="1">
      <alignment horizontal="center" vertical="center"/>
    </xf>
    <xf numFmtId="0" fontId="11" fillId="14" borderId="3" xfId="0" applyFont="1" applyFill="1" applyBorder="1" applyAlignment="1"/>
    <xf numFmtId="0" fontId="44" fillId="15" borderId="10" xfId="0" applyFont="1" applyFill="1" applyBorder="1" applyAlignment="1">
      <alignment horizontal="center" vertical="center"/>
    </xf>
    <xf numFmtId="0" fontId="44" fillId="15" borderId="2" xfId="0" applyFont="1" applyFill="1" applyBorder="1" applyAlignment="1">
      <alignment horizontal="center" vertical="center"/>
    </xf>
    <xf numFmtId="0" fontId="66" fillId="0" borderId="5" xfId="0" applyFont="1" applyBorder="1" applyAlignment="1">
      <alignment horizontal="center"/>
    </xf>
    <xf numFmtId="0" fontId="66" fillId="0" borderId="5" xfId="0" applyFont="1" applyBorder="1"/>
    <xf numFmtId="0" fontId="102" fillId="16" borderId="1" xfId="7" applyFont="1" applyFill="1" applyBorder="1" applyAlignment="1">
      <alignment horizontal="center" vertical="center"/>
    </xf>
    <xf numFmtId="167" fontId="66" fillId="2" borderId="5" xfId="0" applyNumberFormat="1" applyFont="1" applyFill="1" applyBorder="1" applyAlignment="1">
      <alignment horizontal="center"/>
    </xf>
    <xf numFmtId="0" fontId="95" fillId="15" borderId="1" xfId="0" applyFont="1" applyFill="1" applyBorder="1" applyAlignment="1">
      <alignment horizontal="center" vertical="center"/>
    </xf>
    <xf numFmtId="2" fontId="52" fillId="2" borderId="118" xfId="0" applyNumberFormat="1" applyFont="1" applyFill="1" applyBorder="1" applyAlignment="1">
      <alignment horizontal="center"/>
    </xf>
    <xf numFmtId="2" fontId="52" fillId="0" borderId="0" xfId="0" applyNumberFormat="1" applyFont="1" applyBorder="1" applyAlignment="1">
      <alignment horizontal="center" vertical="center"/>
    </xf>
    <xf numFmtId="0" fontId="0" fillId="0" borderId="54" xfId="0" applyBorder="1"/>
    <xf numFmtId="0" fontId="0" fillId="0" borderId="55" xfId="0" applyBorder="1"/>
    <xf numFmtId="0" fontId="0" fillId="0" borderId="122" xfId="0" applyFill="1" applyBorder="1"/>
    <xf numFmtId="0" fontId="44" fillId="0" borderId="6" xfId="0" applyFont="1" applyBorder="1" applyAlignment="1">
      <alignment horizontal="center" vertical="center"/>
    </xf>
    <xf numFmtId="0" fontId="44" fillId="0" borderId="10" xfId="0" applyFont="1" applyBorder="1"/>
    <xf numFmtId="0" fontId="0" fillId="0" borderId="71" xfId="0" applyFill="1" applyBorder="1"/>
    <xf numFmtId="0" fontId="44" fillId="0" borderId="7" xfId="0" applyFont="1" applyBorder="1" applyAlignment="1">
      <alignment horizontal="center"/>
    </xf>
    <xf numFmtId="18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4" fillId="0" borderId="4" xfId="0" applyFont="1" applyBorder="1" applyAlignment="1">
      <alignment horizontal="center"/>
    </xf>
    <xf numFmtId="0" fontId="44" fillId="0" borderId="11" xfId="0" applyFont="1" applyBorder="1" applyAlignment="1">
      <alignment horizontal="center"/>
    </xf>
    <xf numFmtId="0" fontId="44" fillId="0" borderId="8" xfId="0" applyFont="1" applyBorder="1" applyAlignment="1">
      <alignment horizontal="center"/>
    </xf>
    <xf numFmtId="0" fontId="44" fillId="0" borderId="3" xfId="0" applyFont="1" applyBorder="1" applyAlignment="1">
      <alignment horizontal="center"/>
    </xf>
    <xf numFmtId="0" fontId="44" fillId="0" borderId="6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4" fillId="0" borderId="1" xfId="0" applyFont="1" applyBorder="1"/>
    <xf numFmtId="0" fontId="0" fillId="0" borderId="7" xfId="0" applyFill="1" applyBorder="1"/>
    <xf numFmtId="0" fontId="0" fillId="0" borderId="7" xfId="0" applyBorder="1" applyAlignment="1">
      <alignment horizontal="center" vertical="center"/>
    </xf>
    <xf numFmtId="49" fontId="45" fillId="0" borderId="3" xfId="7" quotePrefix="1" applyNumberFormat="1" applyFill="1" applyBorder="1" applyAlignment="1">
      <alignment horizontal="center" vertical="center" wrapText="1"/>
    </xf>
    <xf numFmtId="0" fontId="44" fillId="15" borderId="10" xfId="0" applyFont="1" applyFill="1" applyBorder="1" applyAlignment="1">
      <alignment horizontal="center" vertical="center" wrapText="1"/>
    </xf>
    <xf numFmtId="0" fontId="44" fillId="15" borderId="2" xfId="0" applyFont="1" applyFill="1" applyBorder="1" applyAlignment="1">
      <alignment horizontal="center" vertical="center" wrapText="1"/>
    </xf>
    <xf numFmtId="0" fontId="44" fillId="0" borderId="7" xfId="0" applyFont="1" applyBorder="1" applyAlignment="1">
      <alignment horizontal="right"/>
    </xf>
    <xf numFmtId="0" fontId="67" fillId="15" borderId="1" xfId="0" applyFont="1" applyFill="1" applyBorder="1" applyAlignment="1">
      <alignment horizontal="center" vertical="center"/>
    </xf>
    <xf numFmtId="2" fontId="67" fillId="0" borderId="95" xfId="0" applyNumberFormat="1" applyFont="1" applyBorder="1" applyAlignment="1">
      <alignment horizontal="center" vertical="center"/>
    </xf>
    <xf numFmtId="2" fontId="67" fillId="0" borderId="68" xfId="0" applyNumberFormat="1" applyFont="1" applyBorder="1" applyAlignment="1">
      <alignment horizontal="center" vertical="center"/>
    </xf>
    <xf numFmtId="0" fontId="67" fillId="0" borderId="100" xfId="0" applyFont="1" applyBorder="1" applyAlignment="1">
      <alignment horizontal="center" vertical="center"/>
    </xf>
    <xf numFmtId="0" fontId="68" fillId="15" borderId="1" xfId="0" applyFont="1" applyFill="1" applyBorder="1" applyAlignment="1">
      <alignment horizontal="center" vertical="center" wrapText="1"/>
    </xf>
    <xf numFmtId="0" fontId="68" fillId="15" borderId="68" xfId="0" applyFont="1" applyFill="1" applyBorder="1" applyAlignment="1">
      <alignment horizontal="center" vertical="center" wrapText="1"/>
    </xf>
    <xf numFmtId="0" fontId="95" fillId="15" borderId="74" xfId="0" applyFont="1" applyFill="1" applyBorder="1" applyAlignment="1">
      <alignment horizontal="center" vertical="center"/>
    </xf>
    <xf numFmtId="0" fontId="95" fillId="15" borderId="75" xfId="0" applyFont="1" applyFill="1" applyBorder="1" applyAlignment="1">
      <alignment vertical="center"/>
    </xf>
    <xf numFmtId="0" fontId="95" fillId="15" borderId="75" xfId="0" applyFont="1" applyFill="1" applyBorder="1" applyAlignment="1">
      <alignment horizontal="center" vertical="center"/>
    </xf>
    <xf numFmtId="0" fontId="95" fillId="15" borderId="76" xfId="0" applyFont="1" applyFill="1" applyBorder="1" applyAlignment="1">
      <alignment horizontal="center" vertical="center"/>
    </xf>
    <xf numFmtId="0" fontId="45" fillId="0" borderId="0" xfId="7" applyFill="1" applyBorder="1" applyAlignment="1">
      <alignment horizontal="center" vertical="center"/>
    </xf>
    <xf numFmtId="0" fontId="44" fillId="15" borderId="10" xfId="0" applyFont="1" applyFill="1" applyBorder="1" applyAlignment="1">
      <alignment horizontal="center" vertical="center"/>
    </xf>
    <xf numFmtId="0" fontId="44" fillId="15" borderId="2" xfId="0" applyFont="1" applyFill="1" applyBorder="1" applyAlignment="1">
      <alignment horizontal="center" vertical="center"/>
    </xf>
    <xf numFmtId="0" fontId="67" fillId="15" borderId="93" xfId="0" applyFont="1" applyFill="1" applyBorder="1" applyAlignment="1">
      <alignment horizontal="center" vertical="center"/>
    </xf>
    <xf numFmtId="0" fontId="44" fillId="15" borderId="10" xfId="0" applyFont="1" applyFill="1" applyBorder="1" applyAlignment="1">
      <alignment horizontal="center" vertical="center" wrapText="1"/>
    </xf>
    <xf numFmtId="0" fontId="44" fillId="15" borderId="2" xfId="0" applyFont="1" applyFill="1" applyBorder="1" applyAlignment="1">
      <alignment horizontal="center" vertical="center" wrapText="1"/>
    </xf>
    <xf numFmtId="0" fontId="55" fillId="0" borderId="26" xfId="8" applyFont="1" applyFill="1" applyBorder="1" applyAlignment="1">
      <alignment horizontal="center" vertical="center" wrapText="1"/>
    </xf>
    <xf numFmtId="0" fontId="55" fillId="0" borderId="2" xfId="8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44" fillId="0" borderId="1" xfId="0" applyNumberFormat="1" applyFont="1" applyBorder="1"/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2" fontId="0" fillId="0" borderId="2" xfId="0" applyNumberFormat="1" applyBorder="1"/>
    <xf numFmtId="0" fontId="44" fillId="0" borderId="101" xfId="0" applyFont="1" applyBorder="1"/>
    <xf numFmtId="0" fontId="44" fillId="0" borderId="35" xfId="0" applyFont="1" applyBorder="1"/>
    <xf numFmtId="0" fontId="44" fillId="0" borderId="35" xfId="0" applyFont="1" applyBorder="1" applyAlignment="1">
      <alignment horizontal="center" vertical="center"/>
    </xf>
    <xf numFmtId="0" fontId="44" fillId="0" borderId="98" xfId="0" applyFont="1" applyBorder="1"/>
    <xf numFmtId="49" fontId="45" fillId="0" borderId="3" xfId="7" applyNumberForma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wrapText="1"/>
    </xf>
    <xf numFmtId="0" fontId="30" fillId="0" borderId="3" xfId="0" applyFont="1" applyFill="1" applyBorder="1" applyAlignment="1">
      <alignment horizontal="center"/>
    </xf>
    <xf numFmtId="2" fontId="16" fillId="0" borderId="3" xfId="0" applyNumberFormat="1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center" vertical="center" wrapText="1"/>
    </xf>
    <xf numFmtId="167" fontId="81" fillId="15" borderId="1" xfId="0" applyNumberFormat="1" applyFont="1" applyFill="1" applyBorder="1" applyAlignment="1">
      <alignment horizontal="center" vertical="center" wrapText="1"/>
    </xf>
    <xf numFmtId="167" fontId="81" fillId="15" borderId="101" xfId="0" applyNumberFormat="1" applyFont="1" applyFill="1" applyBorder="1" applyAlignment="1">
      <alignment horizontal="center" vertical="center" wrapText="1"/>
    </xf>
    <xf numFmtId="167" fontId="81" fillId="15" borderId="81" xfId="0" applyNumberFormat="1" applyFont="1" applyFill="1" applyBorder="1" applyAlignment="1">
      <alignment horizontal="center" vertical="center" wrapText="1"/>
    </xf>
    <xf numFmtId="0" fontId="46" fillId="17" borderId="1" xfId="0" applyFont="1" applyFill="1" applyBorder="1"/>
    <xf numFmtId="0" fontId="46" fillId="6" borderId="1" xfId="0" applyFont="1" applyFill="1" applyBorder="1" applyAlignment="1">
      <alignment horizontal="center" vertical="center"/>
    </xf>
    <xf numFmtId="0" fontId="46" fillId="6" borderId="1" xfId="0" applyFont="1" applyFill="1" applyBorder="1" applyAlignment="1">
      <alignment horizontal="center" vertical="center" wrapText="1"/>
    </xf>
    <xf numFmtId="0" fontId="43" fillId="6" borderId="11" xfId="0" applyFont="1" applyFill="1" applyBorder="1"/>
    <xf numFmtId="0" fontId="46" fillId="6" borderId="11" xfId="0" applyFont="1" applyFill="1" applyBorder="1"/>
    <xf numFmtId="0" fontId="43" fillId="6" borderId="3" xfId="0" applyFont="1" applyFill="1" applyBorder="1"/>
    <xf numFmtId="0" fontId="46" fillId="6" borderId="3" xfId="0" applyFont="1" applyFill="1" applyBorder="1"/>
    <xf numFmtId="2" fontId="43" fillId="6" borderId="3" xfId="0" applyNumberFormat="1" applyFont="1" applyFill="1" applyBorder="1"/>
    <xf numFmtId="0" fontId="43" fillId="6" borderId="4" xfId="0" applyFont="1" applyFill="1" applyBorder="1"/>
    <xf numFmtId="0" fontId="46" fillId="6" borderId="4" xfId="0" applyFont="1" applyFill="1" applyBorder="1"/>
    <xf numFmtId="0" fontId="58" fillId="15" borderId="1" xfId="0" applyFont="1" applyFill="1" applyBorder="1" applyAlignment="1">
      <alignment horizontal="center" vertical="center"/>
    </xf>
    <xf numFmtId="0" fontId="58" fillId="15" borderId="1" xfId="0" applyFont="1" applyFill="1" applyBorder="1" applyAlignment="1">
      <alignment horizontal="center" vertical="center" wrapText="1"/>
    </xf>
    <xf numFmtId="0" fontId="58" fillId="15" borderId="10" xfId="0" applyFont="1" applyFill="1" applyBorder="1" applyAlignment="1">
      <alignment horizontal="center" vertical="center"/>
    </xf>
    <xf numFmtId="0" fontId="58" fillId="15" borderId="2" xfId="0" applyFont="1" applyFill="1" applyBorder="1" applyAlignment="1">
      <alignment horizontal="center" vertical="center"/>
    </xf>
    <xf numFmtId="0" fontId="58" fillId="15" borderId="1" xfId="0" applyFont="1" applyFill="1" applyBorder="1"/>
    <xf numFmtId="167" fontId="58" fillId="0" borderId="11" xfId="0" applyNumberFormat="1" applyFont="1" applyBorder="1"/>
    <xf numFmtId="167" fontId="58" fillId="0" borderId="3" xfId="0" applyNumberFormat="1" applyFont="1" applyBorder="1"/>
    <xf numFmtId="167" fontId="58" fillId="0" borderId="4" xfId="0" applyNumberFormat="1" applyFont="1" applyBorder="1"/>
    <xf numFmtId="2" fontId="58" fillId="0" borderId="11" xfId="0" applyNumberFormat="1" applyFont="1" applyBorder="1" applyAlignment="1">
      <alignment horizontal="center" vertical="center"/>
    </xf>
    <xf numFmtId="2" fontId="58" fillId="0" borderId="3" xfId="0" applyNumberFormat="1" applyFont="1" applyBorder="1" applyAlignment="1">
      <alignment horizontal="center" vertical="center"/>
    </xf>
    <xf numFmtId="2" fontId="58" fillId="0" borderId="4" xfId="0" applyNumberFormat="1" applyFont="1" applyBorder="1" applyAlignment="1">
      <alignment horizontal="center" vertical="center"/>
    </xf>
    <xf numFmtId="0" fontId="55" fillId="15" borderId="26" xfId="8" applyFont="1" applyFill="1" applyBorder="1" applyAlignment="1">
      <alignment horizontal="center" vertical="center" wrapText="1"/>
    </xf>
    <xf numFmtId="0" fontId="55" fillId="15" borderId="2" xfId="8" applyFont="1" applyFill="1" applyBorder="1" applyAlignment="1">
      <alignment horizontal="center" vertical="center" wrapText="1"/>
    </xf>
    <xf numFmtId="0" fontId="63" fillId="15" borderId="27" xfId="0" applyFont="1" applyFill="1" applyBorder="1"/>
    <xf numFmtId="0" fontId="57" fillId="15" borderId="29" xfId="0" applyFont="1" applyFill="1" applyBorder="1"/>
    <xf numFmtId="2" fontId="53" fillId="0" borderId="69" xfId="0" applyNumberFormat="1" applyFont="1" applyFill="1" applyBorder="1" applyAlignment="1">
      <alignment horizontal="center"/>
    </xf>
    <xf numFmtId="2" fontId="53" fillId="0" borderId="70" xfId="0" applyNumberFormat="1" applyFont="1" applyFill="1" applyBorder="1" applyAlignment="1">
      <alignment horizontal="center"/>
    </xf>
    <xf numFmtId="2" fontId="53" fillId="0" borderId="71" xfId="0" applyNumberFormat="1" applyFont="1" applyFill="1" applyBorder="1" applyAlignment="1">
      <alignment horizontal="center"/>
    </xf>
    <xf numFmtId="2" fontId="55" fillId="0" borderId="69" xfId="0" applyNumberFormat="1" applyFont="1" applyFill="1" applyBorder="1" applyAlignment="1">
      <alignment horizontal="center"/>
    </xf>
    <xf numFmtId="2" fontId="55" fillId="0" borderId="70" xfId="0" applyNumberFormat="1" applyFont="1" applyFill="1" applyBorder="1" applyAlignment="1">
      <alignment horizontal="center"/>
    </xf>
    <xf numFmtId="2" fontId="55" fillId="0" borderId="129" xfId="0" applyNumberFormat="1" applyFont="1" applyFill="1" applyBorder="1" applyAlignment="1">
      <alignment horizontal="center"/>
    </xf>
    <xf numFmtId="0" fontId="57" fillId="0" borderId="121" xfId="0" applyFont="1" applyFill="1" applyBorder="1"/>
    <xf numFmtId="0" fontId="57" fillId="0" borderId="168" xfId="0" applyFont="1" applyFill="1" applyBorder="1"/>
    <xf numFmtId="2" fontId="53" fillId="0" borderId="169" xfId="0" applyNumberFormat="1" applyFont="1" applyFill="1" applyBorder="1" applyAlignment="1">
      <alignment horizontal="center"/>
    </xf>
    <xf numFmtId="0" fontId="55" fillId="0" borderId="152" xfId="8" applyFont="1" applyFill="1" applyBorder="1" applyAlignment="1">
      <alignment horizontal="center" vertical="center" wrapText="1"/>
    </xf>
    <xf numFmtId="0" fontId="55" fillId="0" borderId="13" xfId="8" applyFont="1" applyFill="1" applyBorder="1" applyAlignment="1">
      <alignment horizontal="center" vertical="center" wrapText="1"/>
    </xf>
    <xf numFmtId="0" fontId="63" fillId="0" borderId="29" xfId="0" applyFont="1" applyFill="1" applyBorder="1"/>
    <xf numFmtId="0" fontId="32" fillId="0" borderId="0" xfId="0" applyFont="1" applyBorder="1"/>
    <xf numFmtId="0" fontId="11" fillId="0" borderId="10" xfId="0" applyFont="1" applyBorder="1"/>
    <xf numFmtId="0" fontId="11" fillId="0" borderId="12" xfId="0" applyFont="1" applyBorder="1"/>
    <xf numFmtId="2" fontId="11" fillId="0" borderId="3" xfId="0" applyNumberFormat="1" applyFont="1" applyBorder="1"/>
    <xf numFmtId="2" fontId="11" fillId="0" borderId="4" xfId="0" applyNumberFormat="1" applyFont="1" applyBorder="1"/>
    <xf numFmtId="2" fontId="11" fillId="0" borderId="11" xfId="0" applyNumberFormat="1" applyFont="1" applyBorder="1"/>
    <xf numFmtId="171" fontId="54" fillId="0" borderId="1" xfId="0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55" fillId="15" borderId="27" xfId="8" applyFont="1" applyFill="1" applyBorder="1" applyAlignment="1">
      <alignment horizontal="center" vertical="center" wrapText="1"/>
    </xf>
    <xf numFmtId="0" fontId="55" fillId="15" borderId="29" xfId="8" applyFont="1" applyFill="1" applyBorder="1" applyAlignment="1">
      <alignment horizontal="center" vertical="center" wrapText="1"/>
    </xf>
    <xf numFmtId="0" fontId="11" fillId="15" borderId="10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176" fontId="53" fillId="0" borderId="1" xfId="0" applyNumberFormat="1" applyFont="1" applyFill="1" applyBorder="1" applyAlignment="1">
      <alignment horizontal="right"/>
    </xf>
    <xf numFmtId="0" fontId="53" fillId="0" borderId="1" xfId="0" applyFont="1" applyFill="1" applyBorder="1" applyAlignment="1">
      <alignment horizontal="left" indent="1"/>
    </xf>
    <xf numFmtId="0" fontId="53" fillId="0" borderId="1" xfId="0" applyFont="1" applyFill="1" applyBorder="1"/>
    <xf numFmtId="2" fontId="53" fillId="0" borderId="1" xfId="0" applyNumberFormat="1" applyFont="1" applyFill="1" applyBorder="1" applyAlignment="1">
      <alignment horizontal="right"/>
    </xf>
    <xf numFmtId="0" fontId="57" fillId="0" borderId="1" xfId="0" applyFont="1" applyFill="1" applyBorder="1" applyAlignment="1">
      <alignment horizontal="center"/>
    </xf>
    <xf numFmtId="0" fontId="105" fillId="0" borderId="98" xfId="0" applyFont="1" applyFill="1" applyBorder="1"/>
    <xf numFmtId="0" fontId="55" fillId="0" borderId="1" xfId="0" applyFont="1" applyFill="1" applyBorder="1" applyAlignment="1">
      <alignment horizontal="center"/>
    </xf>
    <xf numFmtId="0" fontId="55" fillId="0" borderId="1" xfId="0" applyFont="1" applyFill="1" applyBorder="1" applyAlignment="1">
      <alignment horizontal="right"/>
    </xf>
    <xf numFmtId="0" fontId="55" fillId="0" borderId="1" xfId="0" applyFont="1" applyFill="1" applyBorder="1"/>
    <xf numFmtId="0" fontId="63" fillId="15" borderId="1" xfId="0" applyFont="1" applyFill="1" applyBorder="1" applyAlignment="1">
      <alignment horizontal="center" vertical="center" wrapText="1"/>
    </xf>
    <xf numFmtId="0" fontId="57" fillId="6" borderId="1" xfId="0" applyFont="1" applyFill="1" applyBorder="1"/>
    <xf numFmtId="0" fontId="63" fillId="6" borderId="1" xfId="0" applyFont="1" applyFill="1" applyBorder="1"/>
    <xf numFmtId="0" fontId="55" fillId="6" borderId="1" xfId="0" applyFont="1" applyFill="1" applyBorder="1"/>
    <xf numFmtId="0" fontId="107" fillId="6" borderId="1" xfId="0" applyFont="1" applyFill="1" applyBorder="1"/>
    <xf numFmtId="0" fontId="53" fillId="6" borderId="1" xfId="0" applyFont="1" applyFill="1" applyBorder="1"/>
    <xf numFmtId="0" fontId="86" fillId="15" borderId="94" xfId="0" applyFont="1" applyFill="1" applyBorder="1" applyAlignment="1">
      <alignment horizontal="center" vertical="center"/>
    </xf>
    <xf numFmtId="2" fontId="67" fillId="15" borderId="94" xfId="0" applyNumberFormat="1" applyFont="1" applyFill="1" applyBorder="1" applyAlignment="1">
      <alignment horizontal="center" vertical="center" wrapText="1"/>
    </xf>
    <xf numFmtId="0" fontId="67" fillId="15" borderId="94" xfId="0" applyNumberFormat="1" applyFont="1" applyFill="1" applyBorder="1" applyAlignment="1">
      <alignment horizontal="center" vertical="center" wrapText="1"/>
    </xf>
    <xf numFmtId="2" fontId="67" fillId="15" borderId="95" xfId="0" applyNumberFormat="1" applyFont="1" applyFill="1" applyBorder="1" applyAlignment="1">
      <alignment horizontal="center" vertical="center" wrapText="1"/>
    </xf>
    <xf numFmtId="0" fontId="67" fillId="2" borderId="67" xfId="0" applyFont="1" applyFill="1" applyBorder="1" applyAlignment="1">
      <alignment horizontal="center" vertical="center"/>
    </xf>
    <xf numFmtId="0" fontId="67" fillId="2" borderId="1" xfId="0" applyFont="1" applyFill="1" applyBorder="1"/>
    <xf numFmtId="2" fontId="67" fillId="2" borderId="1" xfId="0" applyNumberFormat="1" applyFont="1" applyFill="1" applyBorder="1" applyAlignment="1">
      <alignment horizontal="center"/>
    </xf>
    <xf numFmtId="2" fontId="67" fillId="0" borderId="68" xfId="0" applyNumberFormat="1" applyFont="1" applyFill="1" applyBorder="1" applyAlignment="1">
      <alignment horizontal="center"/>
    </xf>
    <xf numFmtId="2" fontId="67" fillId="2" borderId="97" xfId="0" applyNumberFormat="1" applyFont="1" applyFill="1" applyBorder="1" applyAlignment="1">
      <alignment horizontal="center" vertical="center"/>
    </xf>
    <xf numFmtId="2" fontId="67" fillId="2" borderId="97" xfId="0" applyNumberFormat="1" applyFont="1" applyFill="1" applyBorder="1" applyAlignment="1">
      <alignment horizontal="center"/>
    </xf>
    <xf numFmtId="0" fontId="67" fillId="0" borderId="1" xfId="0" applyFont="1" applyBorder="1" applyAlignment="1">
      <alignment horizontal="left" vertical="center" indent="1"/>
    </xf>
    <xf numFmtId="2" fontId="67" fillId="6" borderId="1" xfId="0" applyNumberFormat="1" applyFont="1" applyFill="1" applyBorder="1" applyAlignment="1">
      <alignment horizontal="center" vertical="center"/>
    </xf>
    <xf numFmtId="0" fontId="95" fillId="6" borderId="1" xfId="0" applyFont="1" applyFill="1" applyBorder="1" applyAlignment="1">
      <alignment horizontal="center"/>
    </xf>
    <xf numFmtId="44" fontId="67" fillId="6" borderId="1" xfId="9" applyFont="1" applyFill="1" applyBorder="1" applyAlignment="1">
      <alignment horizontal="center"/>
    </xf>
    <xf numFmtId="2" fontId="67" fillId="6" borderId="1" xfId="9" applyNumberFormat="1" applyFont="1" applyFill="1" applyBorder="1" applyAlignment="1">
      <alignment horizontal="center"/>
    </xf>
    <xf numFmtId="2" fontId="67" fillId="6" borderId="1" xfId="0" applyNumberFormat="1" applyFont="1" applyFill="1" applyBorder="1" applyAlignment="1">
      <alignment horizontal="center"/>
    </xf>
    <xf numFmtId="0" fontId="95" fillId="6" borderId="1" xfId="0" applyFont="1" applyFill="1" applyBorder="1"/>
    <xf numFmtId="2" fontId="67" fillId="6" borderId="1" xfId="0" quotePrefix="1" applyNumberFormat="1" applyFont="1" applyFill="1" applyBorder="1" applyAlignment="1">
      <alignment horizontal="center" vertical="center"/>
    </xf>
    <xf numFmtId="2" fontId="67" fillId="6" borderId="99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97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44" fillId="0" borderId="0" xfId="0" applyFont="1" applyAlignment="1">
      <alignment horizontal="center" vertical="center"/>
    </xf>
    <xf numFmtId="0" fontId="45" fillId="0" borderId="24" xfId="7" applyFill="1" applyBorder="1" applyAlignment="1">
      <alignment horizontal="center" vertical="center"/>
    </xf>
    <xf numFmtId="0" fontId="45" fillId="0" borderId="0" xfId="7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4" fillId="15" borderId="10" xfId="0" applyFont="1" applyFill="1" applyBorder="1" applyAlignment="1">
      <alignment horizontal="center" vertical="center"/>
    </xf>
    <xf numFmtId="0" fontId="44" fillId="15" borderId="12" xfId="0" applyFont="1" applyFill="1" applyBorder="1" applyAlignment="1">
      <alignment horizontal="center" vertical="center"/>
    </xf>
    <xf numFmtId="0" fontId="44" fillId="15" borderId="23" xfId="0" applyFont="1" applyFill="1" applyBorder="1" applyAlignment="1">
      <alignment horizontal="center" vertical="center"/>
    </xf>
    <xf numFmtId="0" fontId="44" fillId="15" borderId="13" xfId="0" applyFont="1" applyFill="1" applyBorder="1" applyAlignment="1">
      <alignment horizontal="center" vertical="center"/>
    </xf>
    <xf numFmtId="0" fontId="44" fillId="15" borderId="22" xfId="0" applyFont="1" applyFill="1" applyBorder="1" applyAlignment="1">
      <alignment horizontal="center" vertical="center"/>
    </xf>
    <xf numFmtId="0" fontId="44" fillId="15" borderId="2" xfId="0" applyFont="1" applyFill="1" applyBorder="1" applyAlignment="1">
      <alignment horizontal="center" vertical="center"/>
    </xf>
    <xf numFmtId="0" fontId="44" fillId="0" borderId="0" xfId="0" applyFont="1" applyAlignment="1">
      <alignment horizontal="center"/>
    </xf>
    <xf numFmtId="0" fontId="67" fillId="0" borderId="92" xfId="0" applyFont="1" applyBorder="1" applyAlignment="1">
      <alignment horizontal="center"/>
    </xf>
    <xf numFmtId="0" fontId="52" fillId="15" borderId="93" xfId="0" applyFont="1" applyFill="1" applyBorder="1" applyAlignment="1">
      <alignment horizontal="center" vertical="center"/>
    </xf>
    <xf numFmtId="0" fontId="52" fillId="15" borderId="67" xfId="0" applyFont="1" applyFill="1" applyBorder="1" applyAlignment="1">
      <alignment horizontal="center" vertical="center"/>
    </xf>
    <xf numFmtId="2" fontId="52" fillId="15" borderId="94" xfId="0" applyNumberFormat="1" applyFont="1" applyFill="1" applyBorder="1" applyAlignment="1">
      <alignment horizontal="center" vertical="center"/>
    </xf>
    <xf numFmtId="2" fontId="52" fillId="15" borderId="1" xfId="0" applyNumberFormat="1" applyFont="1" applyFill="1" applyBorder="1" applyAlignment="1">
      <alignment horizontal="center" vertical="center"/>
    </xf>
    <xf numFmtId="0" fontId="52" fillId="15" borderId="94" xfId="0" applyFont="1" applyFill="1" applyBorder="1" applyAlignment="1">
      <alignment horizontal="center" vertical="center"/>
    </xf>
    <xf numFmtId="0" fontId="52" fillId="15" borderId="1" xfId="0" applyFont="1" applyFill="1" applyBorder="1" applyAlignment="1">
      <alignment horizontal="center" vertical="center"/>
    </xf>
    <xf numFmtId="0" fontId="66" fillId="15" borderId="94" xfId="0" applyFont="1" applyFill="1" applyBorder="1" applyAlignment="1">
      <alignment horizontal="center" vertical="center"/>
    </xf>
    <xf numFmtId="0" fontId="66" fillId="15" borderId="95" xfId="0" applyFont="1" applyFill="1" applyBorder="1" applyAlignment="1">
      <alignment horizontal="center" vertical="center"/>
    </xf>
    <xf numFmtId="0" fontId="51" fillId="0" borderId="0" xfId="0" applyNumberFormat="1" applyFont="1" applyAlignment="1">
      <alignment horizontal="center" vertical="center"/>
    </xf>
    <xf numFmtId="0" fontId="44" fillId="0" borderId="10" xfId="0" applyFont="1" applyBorder="1" applyAlignment="1">
      <alignment horizontal="center" vertical="center" textRotation="90"/>
    </xf>
    <xf numFmtId="0" fontId="44" fillId="0" borderId="8" xfId="0" applyFont="1" applyBorder="1" applyAlignment="1">
      <alignment horizontal="center" vertical="center" textRotation="90"/>
    </xf>
    <xf numFmtId="0" fontId="44" fillId="0" borderId="2" xfId="0" applyFont="1" applyBorder="1" applyAlignment="1">
      <alignment horizontal="center" vertical="center" textRotation="90"/>
    </xf>
    <xf numFmtId="0" fontId="44" fillId="0" borderId="1" xfId="0" applyFont="1" applyBorder="1" applyAlignment="1">
      <alignment horizontal="center" vertical="center"/>
    </xf>
    <xf numFmtId="0" fontId="104" fillId="18" borderId="101" xfId="7" applyFont="1" applyFill="1" applyBorder="1" applyAlignment="1">
      <alignment horizontal="center" vertical="center"/>
    </xf>
    <xf numFmtId="0" fontId="104" fillId="18" borderId="98" xfId="7" applyFont="1" applyFill="1" applyBorder="1" applyAlignment="1">
      <alignment horizontal="center" vertical="center"/>
    </xf>
    <xf numFmtId="0" fontId="52" fillId="2" borderId="107" xfId="10" applyFill="1" applyBorder="1" applyAlignment="1">
      <alignment horizontal="center" vertical="center"/>
    </xf>
    <xf numFmtId="0" fontId="52" fillId="0" borderId="107" xfId="10" applyBorder="1" applyAlignment="1">
      <alignment horizontal="center" vertical="center"/>
    </xf>
    <xf numFmtId="0" fontId="52" fillId="0" borderId="107" xfId="10" applyFont="1" applyBorder="1" applyAlignment="1">
      <alignment horizontal="center" vertical="center"/>
    </xf>
    <xf numFmtId="0" fontId="52" fillId="2" borderId="96" xfId="10" applyFont="1" applyFill="1" applyBorder="1" applyAlignment="1">
      <alignment horizontal="center" vertical="center"/>
    </xf>
    <xf numFmtId="0" fontId="52" fillId="2" borderId="97" xfId="10" applyFont="1" applyFill="1" applyBorder="1" applyAlignment="1">
      <alignment horizontal="center" vertical="center"/>
    </xf>
    <xf numFmtId="2" fontId="52" fillId="0" borderId="1" xfId="10" applyNumberFormat="1" applyFont="1" applyFill="1" applyBorder="1" applyAlignment="1">
      <alignment horizontal="center" vertical="center"/>
    </xf>
    <xf numFmtId="0" fontId="52" fillId="2" borderId="111" xfId="10" applyFill="1" applyBorder="1" applyAlignment="1">
      <alignment horizontal="center" vertical="center"/>
    </xf>
    <xf numFmtId="0" fontId="52" fillId="2" borderId="112" xfId="10" applyFill="1" applyBorder="1" applyAlignment="1">
      <alignment horizontal="center" vertical="center"/>
    </xf>
    <xf numFmtId="0" fontId="68" fillId="2" borderId="1" xfId="10" applyFont="1" applyFill="1" applyBorder="1" applyAlignment="1">
      <alignment horizontal="center" vertical="center"/>
    </xf>
    <xf numFmtId="0" fontId="52" fillId="2" borderId="1" xfId="10" applyFont="1" applyFill="1" applyBorder="1" applyAlignment="1">
      <alignment horizontal="center" vertical="center"/>
    </xf>
    <xf numFmtId="0" fontId="44" fillId="0" borderId="7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4" fillId="0" borderId="7" xfId="0" applyFont="1" applyBorder="1" applyAlignment="1">
      <alignment horizontal="center" vertical="center" textRotation="90"/>
    </xf>
    <xf numFmtId="0" fontId="44" fillId="0" borderId="3" xfId="0" applyFont="1" applyBorder="1" applyAlignment="1">
      <alignment horizontal="center" vertical="center" textRotation="90"/>
    </xf>
    <xf numFmtId="0" fontId="44" fillId="0" borderId="4" xfId="0" applyFont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4" fillId="15" borderId="10" xfId="0" applyFont="1" applyFill="1" applyBorder="1" applyAlignment="1">
      <alignment horizontal="center" vertical="center" wrapText="1"/>
    </xf>
    <xf numFmtId="0" fontId="44" fillId="15" borderId="2" xfId="0" applyFont="1" applyFill="1" applyBorder="1" applyAlignment="1">
      <alignment horizontal="center" vertical="center" wrapText="1"/>
    </xf>
    <xf numFmtId="0" fontId="44" fillId="0" borderId="7" xfId="0" applyFont="1" applyFill="1" applyBorder="1" applyAlignment="1">
      <alignment horizontal="center" vertical="center"/>
    </xf>
    <xf numFmtId="0" fontId="44" fillId="0" borderId="3" xfId="0" applyFont="1" applyFill="1" applyBorder="1" applyAlignment="1">
      <alignment horizontal="center" vertical="center"/>
    </xf>
    <xf numFmtId="0" fontId="44" fillId="0" borderId="4" xfId="0" applyFont="1" applyFill="1" applyBorder="1" applyAlignment="1">
      <alignment horizontal="center" vertical="center"/>
    </xf>
    <xf numFmtId="0" fontId="67" fillId="0" borderId="0" xfId="0" applyFont="1" applyBorder="1" applyAlignment="1">
      <alignment horizontal="center"/>
    </xf>
    <xf numFmtId="0" fontId="67" fillId="15" borderId="1" xfId="0" applyFont="1" applyFill="1" applyBorder="1" applyAlignment="1">
      <alignment horizontal="center" vertical="center"/>
    </xf>
    <xf numFmtId="0" fontId="67" fillId="15" borderId="2" xfId="0" applyFont="1" applyFill="1" applyBorder="1" applyAlignment="1">
      <alignment horizontal="center" vertical="center"/>
    </xf>
    <xf numFmtId="0" fontId="86" fillId="15" borderId="1" xfId="0" applyFont="1" applyFill="1" applyBorder="1" applyAlignment="1">
      <alignment horizontal="center" wrapText="1"/>
    </xf>
    <xf numFmtId="0" fontId="52" fillId="2" borderId="67" xfId="0" applyFont="1" applyFill="1" applyBorder="1" applyAlignment="1">
      <alignment horizontal="center" vertical="center"/>
    </xf>
    <xf numFmtId="0" fontId="67" fillId="15" borderId="93" xfId="0" applyFont="1" applyFill="1" applyBorder="1" applyAlignment="1">
      <alignment horizontal="center" vertical="center"/>
    </xf>
    <xf numFmtId="0" fontId="67" fillId="15" borderId="67" xfId="0" applyFont="1" applyFill="1" applyBorder="1" applyAlignment="1">
      <alignment horizontal="center" vertical="center"/>
    </xf>
    <xf numFmtId="0" fontId="67" fillId="15" borderId="94" xfId="0" applyFont="1" applyFill="1" applyBorder="1" applyAlignment="1">
      <alignment horizontal="center" vertical="center"/>
    </xf>
    <xf numFmtId="0" fontId="95" fillId="15" borderId="94" xfId="0" applyFont="1" applyFill="1" applyBorder="1" applyAlignment="1">
      <alignment horizontal="center"/>
    </xf>
    <xf numFmtId="0" fontId="95" fillId="15" borderId="115" xfId="0" applyFont="1" applyFill="1" applyBorder="1" applyAlignment="1">
      <alignment horizontal="center" vertical="center"/>
    </xf>
    <xf numFmtId="0" fontId="95" fillId="15" borderId="10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44" fillId="0" borderId="101" xfId="0" applyFont="1" applyBorder="1" applyAlignment="1">
      <alignment horizontal="center"/>
    </xf>
    <xf numFmtId="0" fontId="44" fillId="0" borderId="35" xfId="0" applyFont="1" applyBorder="1" applyAlignment="1">
      <alignment horizontal="center"/>
    </xf>
    <xf numFmtId="0" fontId="44" fillId="0" borderId="98" xfId="0" applyFont="1" applyBorder="1" applyAlignment="1">
      <alignment horizontal="center"/>
    </xf>
    <xf numFmtId="0" fontId="0" fillId="0" borderId="7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6" xfId="0" applyFill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68" fillId="2" borderId="93" xfId="10" applyFont="1" applyFill="1" applyBorder="1" applyAlignment="1">
      <alignment horizontal="center" vertical="center"/>
    </xf>
    <xf numFmtId="0" fontId="68" fillId="2" borderId="67" xfId="10" applyFont="1" applyFill="1" applyBorder="1" applyAlignment="1">
      <alignment horizontal="center" vertical="center"/>
    </xf>
    <xf numFmtId="0" fontId="52" fillId="2" borderId="94" xfId="10" applyFont="1" applyFill="1" applyBorder="1" applyAlignment="1">
      <alignment horizontal="center" vertical="center"/>
    </xf>
    <xf numFmtId="0" fontId="52" fillId="2" borderId="115" xfId="10" applyFont="1" applyFill="1" applyBorder="1" applyAlignment="1">
      <alignment horizontal="center" vertical="center"/>
    </xf>
    <xf numFmtId="0" fontId="52" fillId="2" borderId="116" xfId="10" applyFont="1" applyFill="1" applyBorder="1" applyAlignment="1">
      <alignment horizontal="center" vertical="center"/>
    </xf>
    <xf numFmtId="0" fontId="52" fillId="2" borderId="117" xfId="10" applyFont="1" applyFill="1" applyBorder="1" applyAlignment="1">
      <alignment horizontal="center" vertical="center"/>
    </xf>
    <xf numFmtId="0" fontId="52" fillId="2" borderId="98" xfId="10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8" fillId="15" borderId="10" xfId="0" applyFont="1" applyFill="1" applyBorder="1" applyAlignment="1">
      <alignment horizontal="center" vertical="center"/>
    </xf>
    <xf numFmtId="0" fontId="58" fillId="15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15" borderId="10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55" fillId="15" borderId="25" xfId="8" applyFont="1" applyFill="1" applyBorder="1" applyAlignment="1">
      <alignment horizontal="center" vertical="center" wrapText="1"/>
    </xf>
    <xf numFmtId="0" fontId="55" fillId="15" borderId="28" xfId="8" applyFont="1" applyFill="1" applyBorder="1" applyAlignment="1">
      <alignment horizontal="center" vertical="center" wrapText="1"/>
    </xf>
    <xf numFmtId="0" fontId="55" fillId="15" borderId="26" xfId="8" applyFont="1" applyFill="1" applyBorder="1" applyAlignment="1">
      <alignment horizontal="center" vertical="center" wrapText="1"/>
    </xf>
    <xf numFmtId="0" fontId="55" fillId="15" borderId="2" xfId="8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170" fontId="55" fillId="0" borderId="30" xfId="8" applyNumberFormat="1" applyFont="1" applyFill="1" applyBorder="1" applyAlignment="1">
      <alignment horizontal="center" vertical="center" wrapText="1"/>
    </xf>
    <xf numFmtId="170" fontId="55" fillId="0" borderId="32" xfId="8" applyNumberFormat="1" applyFont="1" applyFill="1" applyBorder="1" applyAlignment="1">
      <alignment horizontal="center" vertical="center" wrapText="1"/>
    </xf>
    <xf numFmtId="170" fontId="55" fillId="0" borderId="34" xfId="8" applyNumberFormat="1" applyFont="1" applyFill="1" applyBorder="1" applyAlignment="1">
      <alignment horizontal="center" vertical="center" wrapText="1"/>
    </xf>
    <xf numFmtId="170" fontId="55" fillId="0" borderId="35" xfId="8" applyNumberFormat="1" applyFont="1" applyFill="1" applyBorder="1" applyAlignment="1">
      <alignment horizontal="center" vertical="center" wrapText="1"/>
    </xf>
    <xf numFmtId="170" fontId="55" fillId="0" borderId="36" xfId="8" applyNumberFormat="1" applyFont="1" applyFill="1" applyBorder="1" applyAlignment="1">
      <alignment horizontal="center" vertical="center" wrapText="1"/>
    </xf>
    <xf numFmtId="0" fontId="53" fillId="0" borderId="37" xfId="0" applyFont="1" applyFill="1" applyBorder="1" applyAlignment="1">
      <alignment horizontal="center" vertical="center" wrapText="1"/>
    </xf>
    <xf numFmtId="0" fontId="53" fillId="0" borderId="5" xfId="0" applyFont="1" applyFill="1" applyBorder="1" applyAlignment="1">
      <alignment horizontal="center" vertical="center" wrapText="1"/>
    </xf>
    <xf numFmtId="0" fontId="53" fillId="0" borderId="23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53" fillId="0" borderId="39" xfId="0" applyFont="1" applyFill="1" applyBorder="1" applyAlignment="1">
      <alignment horizontal="center" vertical="center" wrapText="1"/>
    </xf>
    <xf numFmtId="0" fontId="53" fillId="0" borderId="28" xfId="0" applyFont="1" applyFill="1" applyBorder="1" applyAlignment="1">
      <alignment horizontal="center" vertical="center" wrapText="1"/>
    </xf>
    <xf numFmtId="0" fontId="53" fillId="0" borderId="9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170" fontId="53" fillId="0" borderId="32" xfId="8" applyNumberFormat="1" applyFont="1" applyFill="1" applyBorder="1" applyAlignment="1">
      <alignment horizontal="center" vertical="center" wrapText="1"/>
    </xf>
    <xf numFmtId="170" fontId="53" fillId="0" borderId="30" xfId="8" applyNumberFormat="1" applyFont="1" applyFill="1" applyBorder="1" applyAlignment="1">
      <alignment horizontal="center" vertical="center" wrapText="1"/>
    </xf>
    <xf numFmtId="0" fontId="55" fillId="0" borderId="25" xfId="8" applyFont="1" applyFill="1" applyBorder="1" applyAlignment="1">
      <alignment horizontal="center" vertical="center" wrapText="1"/>
    </xf>
    <xf numFmtId="0" fontId="55" fillId="0" borderId="28" xfId="8" applyFont="1" applyFill="1" applyBorder="1" applyAlignment="1">
      <alignment horizontal="center" vertical="center" wrapText="1"/>
    </xf>
    <xf numFmtId="0" fontId="55" fillId="0" borderId="26" xfId="8" applyFont="1" applyFill="1" applyBorder="1" applyAlignment="1">
      <alignment horizontal="center" vertical="center" wrapText="1"/>
    </xf>
    <xf numFmtId="0" fontId="55" fillId="0" borderId="2" xfId="8" applyFont="1" applyFill="1" applyBorder="1" applyAlignment="1">
      <alignment horizontal="center" vertical="center" wrapText="1"/>
    </xf>
    <xf numFmtId="0" fontId="55" fillId="0" borderId="61" xfId="8" applyFont="1" applyFill="1" applyBorder="1" applyAlignment="1">
      <alignment horizontal="center" vertical="center" wrapText="1"/>
    </xf>
    <xf numFmtId="0" fontId="55" fillId="0" borderId="56" xfId="8" applyFont="1" applyFill="1" applyBorder="1" applyAlignment="1">
      <alignment horizontal="center" vertical="center" wrapText="1"/>
    </xf>
    <xf numFmtId="170" fontId="53" fillId="0" borderId="60" xfId="8" applyNumberFormat="1" applyFont="1" applyFill="1" applyBorder="1" applyAlignment="1">
      <alignment horizontal="center" vertical="center" wrapText="1"/>
    </xf>
    <xf numFmtId="170" fontId="53" fillId="0" borderId="59" xfId="8" applyNumberFormat="1" applyFont="1" applyFill="1" applyBorder="1" applyAlignment="1">
      <alignment horizontal="center" vertical="center" wrapText="1"/>
    </xf>
    <xf numFmtId="0" fontId="55" fillId="15" borderId="61" xfId="8" applyFont="1" applyFill="1" applyBorder="1" applyAlignment="1">
      <alignment horizontal="center" vertical="center" wrapText="1"/>
    </xf>
    <xf numFmtId="0" fontId="55" fillId="15" borderId="56" xfId="8" applyFont="1" applyFill="1" applyBorder="1" applyAlignment="1">
      <alignment horizontal="center" vertical="center" wrapText="1"/>
    </xf>
    <xf numFmtId="170" fontId="55" fillId="0" borderId="60" xfId="8" applyNumberFormat="1" applyFont="1" applyFill="1" applyBorder="1" applyAlignment="1">
      <alignment horizontal="center" vertical="center" wrapText="1"/>
    </xf>
    <xf numFmtId="170" fontId="55" fillId="0" borderId="59" xfId="8" applyNumberFormat="1" applyFont="1" applyFill="1" applyBorder="1" applyAlignment="1">
      <alignment horizontal="center" vertical="center" wrapText="1"/>
    </xf>
    <xf numFmtId="170" fontId="55" fillId="0" borderId="62" xfId="8" applyNumberFormat="1" applyFont="1" applyFill="1" applyBorder="1" applyAlignment="1">
      <alignment horizontal="center" vertical="center" wrapText="1"/>
    </xf>
    <xf numFmtId="170" fontId="55" fillId="0" borderId="10" xfId="8" applyNumberFormat="1" applyFont="1" applyFill="1" applyBorder="1" applyAlignment="1">
      <alignment horizontal="center" vertical="center" wrapText="1"/>
    </xf>
    <xf numFmtId="0" fontId="53" fillId="0" borderId="63" xfId="0" applyFont="1" applyFill="1" applyBorder="1" applyAlignment="1">
      <alignment horizontal="center" vertical="center" wrapText="1"/>
    </xf>
    <xf numFmtId="0" fontId="53" fillId="0" borderId="7" xfId="0" applyFont="1" applyFill="1" applyBorder="1" applyAlignment="1">
      <alignment horizontal="center" vertical="center" wrapText="1"/>
    </xf>
    <xf numFmtId="0" fontId="53" fillId="0" borderId="59" xfId="0" applyFont="1" applyFill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 vertical="center" wrapText="1"/>
    </xf>
    <xf numFmtId="0" fontId="53" fillId="0" borderId="65" xfId="0" applyFont="1" applyFill="1" applyBorder="1" applyAlignment="1">
      <alignment horizontal="center" vertical="center" wrapText="1"/>
    </xf>
    <xf numFmtId="0" fontId="53" fillId="0" borderId="4" xfId="0" applyFont="1" applyFill="1" applyBorder="1" applyAlignment="1">
      <alignment horizontal="center" vertical="center" wrapText="1"/>
    </xf>
    <xf numFmtId="170" fontId="55" fillId="0" borderId="6" xfId="8" applyNumberFormat="1" applyFont="1" applyFill="1" applyBorder="1" applyAlignment="1">
      <alignment horizontal="center" vertical="center" wrapText="1"/>
    </xf>
    <xf numFmtId="0" fontId="53" fillId="0" borderId="41" xfId="0" applyFont="1" applyFill="1" applyBorder="1" applyAlignment="1">
      <alignment horizontal="center" vertical="center" wrapText="1"/>
    </xf>
    <xf numFmtId="0" fontId="53" fillId="0" borderId="4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0" borderId="44" xfId="0" applyFont="1" applyFill="1" applyBorder="1" applyAlignment="1">
      <alignment horizontal="center" vertical="center" wrapText="1"/>
    </xf>
    <xf numFmtId="0" fontId="53" fillId="0" borderId="45" xfId="0" applyFont="1" applyFill="1" applyBorder="1" applyAlignment="1">
      <alignment horizontal="center" vertical="center" wrapText="1"/>
    </xf>
    <xf numFmtId="0" fontId="53" fillId="0" borderId="46" xfId="0" applyFont="1" applyFill="1" applyBorder="1" applyAlignment="1">
      <alignment horizontal="center" vertical="center" wrapText="1"/>
    </xf>
    <xf numFmtId="0" fontId="55" fillId="0" borderId="27" xfId="8" applyFont="1" applyFill="1" applyBorder="1" applyAlignment="1">
      <alignment horizontal="center" vertical="center" wrapText="1"/>
    </xf>
    <xf numFmtId="0" fontId="55" fillId="0" borderId="29" xfId="8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center" vertical="center"/>
    </xf>
    <xf numFmtId="0" fontId="63" fillId="15" borderId="27" xfId="0" applyFont="1" applyFill="1" applyBorder="1" applyAlignment="1">
      <alignment horizontal="center" vertical="center"/>
    </xf>
    <xf numFmtId="0" fontId="63" fillId="15" borderId="29" xfId="0" applyFont="1" applyFill="1" applyBorder="1" applyAlignment="1">
      <alignment horizontal="center" vertical="center"/>
    </xf>
    <xf numFmtId="170" fontId="53" fillId="0" borderId="63" xfId="8" applyNumberFormat="1" applyFont="1" applyFill="1" applyBorder="1" applyAlignment="1">
      <alignment horizontal="center" vertical="center" wrapText="1"/>
    </xf>
    <xf numFmtId="170" fontId="53" fillId="0" borderId="65" xfId="8" applyNumberFormat="1" applyFont="1" applyFill="1" applyBorder="1" applyAlignment="1">
      <alignment horizontal="center" vertical="center" wrapText="1"/>
    </xf>
    <xf numFmtId="170" fontId="55" fillId="0" borderId="67" xfId="8" applyNumberFormat="1" applyFont="1" applyFill="1" applyBorder="1" applyAlignment="1">
      <alignment horizontal="center" vertical="center" wrapText="1"/>
    </xf>
    <xf numFmtId="170" fontId="55" fillId="0" borderId="1" xfId="8" applyNumberFormat="1" applyFont="1" applyFill="1" applyBorder="1" applyAlignment="1">
      <alignment horizontal="center" vertical="center" wrapText="1"/>
    </xf>
    <xf numFmtId="0" fontId="57" fillId="0" borderId="101" xfId="0" applyFont="1" applyFill="1" applyBorder="1" applyAlignment="1">
      <alignment horizontal="center"/>
    </xf>
    <xf numFmtId="0" fontId="57" fillId="0" borderId="35" xfId="0" applyFont="1" applyFill="1" applyBorder="1" applyAlignment="1">
      <alignment horizontal="center"/>
    </xf>
    <xf numFmtId="0" fontId="57" fillId="0" borderId="98" xfId="0" applyFont="1" applyFill="1" applyBorder="1" applyAlignment="1">
      <alignment horizontal="center"/>
    </xf>
    <xf numFmtId="0" fontId="106" fillId="0" borderId="0" xfId="0" applyFont="1" applyFill="1" applyAlignment="1">
      <alignment horizontal="center"/>
    </xf>
    <xf numFmtId="0" fontId="63" fillId="15" borderId="10" xfId="0" applyFont="1" applyFill="1" applyBorder="1" applyAlignment="1">
      <alignment horizontal="center" vertical="center"/>
    </xf>
    <xf numFmtId="0" fontId="63" fillId="15" borderId="2" xfId="0" applyFont="1" applyFill="1" applyBorder="1" applyAlignment="1">
      <alignment horizontal="center" vertical="center"/>
    </xf>
    <xf numFmtId="0" fontId="63" fillId="15" borderId="101" xfId="0" applyFont="1" applyFill="1" applyBorder="1" applyAlignment="1">
      <alignment horizontal="center"/>
    </xf>
    <xf numFmtId="0" fontId="63" fillId="15" borderId="35" xfId="0" applyFont="1" applyFill="1" applyBorder="1" applyAlignment="1">
      <alignment horizontal="center"/>
    </xf>
    <xf numFmtId="0" fontId="53" fillId="0" borderId="27" xfId="8" applyFont="1" applyFill="1" applyBorder="1" applyAlignment="1">
      <alignment horizontal="center" vertical="center" wrapText="1"/>
    </xf>
    <xf numFmtId="0" fontId="53" fillId="0" borderId="29" xfId="8" applyFont="1" applyFill="1" applyBorder="1" applyAlignment="1">
      <alignment horizontal="center" vertical="center" wrapText="1"/>
    </xf>
    <xf numFmtId="175" fontId="79" fillId="0" borderId="0" xfId="8" applyNumberFormat="1" applyFont="1" applyFill="1" applyAlignment="1">
      <alignment horizontal="center" vertical="center"/>
    </xf>
    <xf numFmtId="0" fontId="53" fillId="0" borderId="25" xfId="8" applyFont="1" applyFill="1" applyBorder="1" applyAlignment="1">
      <alignment horizontal="center" vertical="center" wrapText="1"/>
    </xf>
    <xf numFmtId="0" fontId="53" fillId="0" borderId="28" xfId="8" applyFont="1" applyFill="1" applyBorder="1" applyAlignment="1">
      <alignment horizontal="center" vertical="center" wrapText="1"/>
    </xf>
    <xf numFmtId="0" fontId="53" fillId="0" borderId="26" xfId="8" applyFont="1" applyFill="1" applyBorder="1" applyAlignment="1">
      <alignment horizontal="center" vertical="center" wrapText="1"/>
    </xf>
    <xf numFmtId="0" fontId="53" fillId="0" borderId="2" xfId="8" applyFont="1" applyFill="1" applyBorder="1" applyAlignment="1">
      <alignment horizontal="center" vertical="center" wrapText="1"/>
    </xf>
    <xf numFmtId="0" fontId="53" fillId="0" borderId="10" xfId="0" applyFont="1" applyFill="1" applyBorder="1" applyAlignment="1">
      <alignment horizontal="center" vertical="center"/>
    </xf>
    <xf numFmtId="0" fontId="53" fillId="0" borderId="8" xfId="0" applyFont="1" applyFill="1" applyBorder="1" applyAlignment="1">
      <alignment horizontal="center" vertical="center"/>
    </xf>
    <xf numFmtId="0" fontId="53" fillId="0" borderId="2" xfId="0" applyFont="1" applyFill="1" applyBorder="1" applyAlignment="1">
      <alignment horizontal="center" vertical="center"/>
    </xf>
    <xf numFmtId="0" fontId="53" fillId="0" borderId="64" xfId="0" applyFont="1" applyFill="1" applyBorder="1" applyAlignment="1">
      <alignment horizontal="center" vertical="center"/>
    </xf>
    <xf numFmtId="0" fontId="53" fillId="0" borderId="121" xfId="0" applyFont="1" applyFill="1" applyBorder="1" applyAlignment="1">
      <alignment horizontal="center" vertical="center"/>
    </xf>
    <xf numFmtId="0" fontId="53" fillId="0" borderId="29" xfId="0" applyFont="1" applyFill="1" applyBorder="1" applyAlignment="1">
      <alignment horizontal="center" vertical="center"/>
    </xf>
    <xf numFmtId="0" fontId="0" fillId="0" borderId="32" xfId="0" applyBorder="1" applyAlignment="1">
      <alignment wrapText="1"/>
    </xf>
    <xf numFmtId="0" fontId="0" fillId="0" borderId="56" xfId="0" applyBorder="1" applyAlignment="1">
      <alignment wrapText="1"/>
    </xf>
    <xf numFmtId="170" fontId="53" fillId="0" borderId="126" xfId="8" applyNumberFormat="1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12" xfId="0" applyFont="1" applyFill="1" applyBorder="1" applyAlignment="1">
      <alignment horizontal="center" vertical="center" wrapText="1"/>
    </xf>
    <xf numFmtId="0" fontId="53" fillId="0" borderId="127" xfId="0" applyFont="1" applyFill="1" applyBorder="1" applyAlignment="1">
      <alignment horizontal="center" vertical="center" wrapText="1"/>
    </xf>
    <xf numFmtId="0" fontId="53" fillId="0" borderId="128" xfId="0" applyFont="1" applyFill="1" applyBorder="1" applyAlignment="1">
      <alignment horizontal="center" vertical="center" wrapText="1"/>
    </xf>
    <xf numFmtId="170" fontId="53" fillId="0" borderId="56" xfId="8" applyNumberFormat="1" applyFont="1" applyFill="1" applyBorder="1" applyAlignment="1">
      <alignment horizontal="center" vertical="center" wrapText="1"/>
    </xf>
    <xf numFmtId="167" fontId="45" fillId="16" borderId="10" xfId="7" applyNumberFormat="1" applyFill="1" applyBorder="1" applyAlignment="1">
      <alignment horizontal="center" vertical="center"/>
    </xf>
    <xf numFmtId="167" fontId="45" fillId="16" borderId="2" xfId="7" applyNumberFormat="1" applyFill="1" applyBorder="1" applyAlignment="1">
      <alignment horizontal="center" vertical="center"/>
    </xf>
    <xf numFmtId="167" fontId="80" fillId="11" borderId="148" xfId="0" applyNumberFormat="1" applyFont="1" applyFill="1" applyBorder="1" applyAlignment="1">
      <alignment horizontal="center" vertical="center"/>
    </xf>
    <xf numFmtId="167" fontId="80" fillId="11" borderId="149" xfId="0" applyNumberFormat="1" applyFont="1" applyFill="1" applyBorder="1" applyAlignment="1">
      <alignment horizontal="center" vertical="center"/>
    </xf>
    <xf numFmtId="167" fontId="81" fillId="15" borderId="132" xfId="0" applyNumberFormat="1" applyFont="1" applyFill="1" applyBorder="1" applyAlignment="1">
      <alignment horizontal="center" vertical="center"/>
    </xf>
    <xf numFmtId="167" fontId="81" fillId="15" borderId="133" xfId="0" applyNumberFormat="1" applyFont="1" applyFill="1" applyBorder="1" applyAlignment="1">
      <alignment horizontal="center" vertical="center"/>
    </xf>
    <xf numFmtId="167" fontId="80" fillId="11" borderId="134" xfId="0" applyNumberFormat="1" applyFont="1" applyFill="1" applyBorder="1" applyAlignment="1">
      <alignment horizontal="center" vertical="center" wrapText="1"/>
    </xf>
    <xf numFmtId="167" fontId="80" fillId="11" borderId="134" xfId="0" applyNumberFormat="1" applyFont="1" applyFill="1" applyBorder="1" applyAlignment="1">
      <alignment horizontal="center" vertical="center"/>
    </xf>
    <xf numFmtId="167" fontId="80" fillId="11" borderId="140" xfId="0" applyNumberFormat="1" applyFont="1" applyFill="1" applyBorder="1" applyAlignment="1">
      <alignment horizontal="center" vertical="center"/>
    </xf>
    <xf numFmtId="167" fontId="81" fillId="11" borderId="139" xfId="0" applyNumberFormat="1" applyFont="1" applyFill="1" applyBorder="1" applyAlignment="1">
      <alignment horizontal="center" vertical="center"/>
    </xf>
    <xf numFmtId="167" fontId="81" fillId="11" borderId="112" xfId="0" applyNumberFormat="1" applyFont="1" applyFill="1" applyBorder="1" applyAlignment="1">
      <alignment horizontal="center" vertical="center"/>
    </xf>
    <xf numFmtId="167" fontId="81" fillId="11" borderId="5" xfId="0" applyNumberFormat="1" applyFont="1" applyFill="1" applyBorder="1" applyAlignment="1">
      <alignment horizontal="left" vertical="center"/>
    </xf>
    <xf numFmtId="167" fontId="81" fillId="11" borderId="20" xfId="0" applyNumberFormat="1" applyFont="1" applyFill="1" applyBorder="1" applyAlignment="1">
      <alignment horizontal="left" vertical="center"/>
    </xf>
    <xf numFmtId="167" fontId="81" fillId="15" borderId="131" xfId="0" applyNumberFormat="1" applyFont="1" applyFill="1" applyBorder="1" applyAlignment="1">
      <alignment horizontal="center" vertical="center"/>
    </xf>
    <xf numFmtId="167" fontId="81" fillId="15" borderId="134" xfId="0" applyNumberFormat="1" applyFont="1" applyFill="1" applyBorder="1" applyAlignment="1">
      <alignment horizontal="center" vertical="center"/>
    </xf>
    <xf numFmtId="167" fontId="81" fillId="15" borderId="74" xfId="0" applyNumberFormat="1" applyFont="1" applyFill="1" applyBorder="1" applyAlignment="1">
      <alignment horizontal="center" vertical="center" wrapText="1"/>
    </xf>
    <xf numFmtId="167" fontId="81" fillId="15" borderId="80" xfId="0" applyNumberFormat="1" applyFont="1" applyFill="1" applyBorder="1" applyAlignment="1">
      <alignment horizontal="center" vertical="center"/>
    </xf>
    <xf numFmtId="167" fontId="81" fillId="15" borderId="75" xfId="0" applyNumberFormat="1" applyFont="1" applyFill="1" applyBorder="1" applyAlignment="1">
      <alignment horizontal="center" vertical="center" wrapText="1"/>
    </xf>
    <xf numFmtId="167" fontId="81" fillId="15" borderId="1" xfId="0" applyNumberFormat="1" applyFont="1" applyFill="1" applyBorder="1" applyAlignment="1">
      <alignment horizontal="center" vertical="center"/>
    </xf>
    <xf numFmtId="167" fontId="81" fillId="15" borderId="75" xfId="0" applyNumberFormat="1" applyFont="1" applyFill="1" applyBorder="1" applyAlignment="1">
      <alignment horizontal="center" vertical="center"/>
    </xf>
    <xf numFmtId="167" fontId="80" fillId="11" borderId="0" xfId="0" applyNumberFormat="1" applyFont="1" applyFill="1" applyAlignment="1">
      <alignment horizontal="center" vertical="center"/>
    </xf>
    <xf numFmtId="0" fontId="86" fillId="0" borderId="0" xfId="0" applyFont="1" applyBorder="1" applyAlignment="1">
      <alignment horizontal="center"/>
    </xf>
    <xf numFmtId="0" fontId="95" fillId="0" borderId="159" xfId="0" applyFont="1" applyBorder="1" applyAlignment="1">
      <alignment horizontal="center" vertical="center" wrapText="1"/>
    </xf>
    <xf numFmtId="0" fontId="95" fillId="0" borderId="160" xfId="0" applyFont="1" applyBorder="1" applyAlignment="1">
      <alignment horizontal="center" vertical="center" wrapText="1"/>
    </xf>
    <xf numFmtId="0" fontId="95" fillId="0" borderId="162" xfId="0" applyFont="1" applyBorder="1" applyAlignment="1">
      <alignment horizontal="center" vertical="center" wrapText="1"/>
    </xf>
    <xf numFmtId="0" fontId="95" fillId="0" borderId="132" xfId="0" applyFont="1" applyBorder="1" applyAlignment="1">
      <alignment horizontal="center" vertical="center" wrapText="1"/>
    </xf>
    <xf numFmtId="0" fontId="95" fillId="0" borderId="8" xfId="0" applyFont="1" applyBorder="1" applyAlignment="1">
      <alignment horizontal="center" vertical="center" wrapText="1"/>
    </xf>
    <xf numFmtId="0" fontId="95" fillId="0" borderId="2" xfId="0" applyFont="1" applyBorder="1" applyAlignment="1">
      <alignment horizontal="center" vertical="center" wrapText="1"/>
    </xf>
    <xf numFmtId="0" fontId="95" fillId="0" borderId="75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5" fillId="0" borderId="139" xfId="0" applyFont="1" applyBorder="1" applyAlignment="1">
      <alignment horizontal="center" vertical="center" wrapText="1"/>
    </xf>
    <xf numFmtId="2" fontId="66" fillId="0" borderId="163" xfId="0" applyNumberFormat="1" applyFont="1" applyBorder="1" applyAlignment="1">
      <alignment horizontal="center" vertical="center" wrapText="1"/>
    </xf>
    <xf numFmtId="2" fontId="66" fillId="0" borderId="164" xfId="0" applyNumberFormat="1" applyFont="1" applyBorder="1" applyAlignment="1">
      <alignment horizontal="center" vertical="center" wrapText="1"/>
    </xf>
    <xf numFmtId="183" fontId="95" fillId="2" borderId="139" xfId="0" applyNumberFormat="1" applyFont="1" applyFill="1" applyBorder="1" applyAlignment="1">
      <alignment horizontal="center" vertical="center" wrapText="1"/>
    </xf>
    <xf numFmtId="183" fontId="95" fillId="2" borderId="160" xfId="0" applyNumberFormat="1" applyFont="1" applyFill="1" applyBorder="1" applyAlignment="1">
      <alignment horizontal="center" vertical="center" wrapText="1"/>
    </xf>
    <xf numFmtId="183" fontId="95" fillId="2" borderId="162" xfId="0" applyNumberFormat="1" applyFont="1" applyFill="1" applyBorder="1" applyAlignment="1">
      <alignment horizontal="center" vertical="center" wrapText="1"/>
    </xf>
    <xf numFmtId="185" fontId="66" fillId="2" borderId="5" xfId="12" applyNumberFormat="1" applyFont="1" applyFill="1" applyBorder="1" applyAlignment="1">
      <alignment horizontal="right" vertical="center"/>
    </xf>
    <xf numFmtId="2" fontId="66" fillId="0" borderId="163" xfId="0" applyNumberFormat="1" applyFont="1" applyBorder="1" applyAlignment="1">
      <alignment horizontal="center" vertical="center"/>
    </xf>
    <xf numFmtId="2" fontId="66" fillId="0" borderId="164" xfId="0" applyNumberFormat="1" applyFont="1" applyBorder="1" applyAlignment="1">
      <alignment horizontal="center" vertical="center"/>
    </xf>
    <xf numFmtId="185" fontId="66" fillId="2" borderId="0" xfId="12" applyNumberFormat="1" applyFont="1" applyFill="1" applyBorder="1" applyAlignment="1">
      <alignment horizontal="right" vertical="center"/>
    </xf>
    <xf numFmtId="183" fontId="96" fillId="2" borderId="139" xfId="0" applyNumberFormat="1" applyFont="1" applyFill="1" applyBorder="1" applyAlignment="1">
      <alignment horizontal="center" vertical="center" wrapText="1"/>
    </xf>
    <xf numFmtId="183" fontId="96" fillId="2" borderId="160" xfId="0" applyNumberFormat="1" applyFont="1" applyFill="1" applyBorder="1" applyAlignment="1">
      <alignment horizontal="center" vertical="center"/>
    </xf>
    <xf numFmtId="183" fontId="96" fillId="2" borderId="112" xfId="0" applyNumberFormat="1" applyFont="1" applyFill="1" applyBorder="1" applyAlignment="1">
      <alignment horizontal="center" vertical="center"/>
    </xf>
    <xf numFmtId="185" fontId="91" fillId="2" borderId="5" xfId="12" applyNumberFormat="1" applyFont="1" applyFill="1" applyBorder="1" applyAlignment="1">
      <alignment horizontal="right" vertical="center"/>
    </xf>
    <xf numFmtId="2" fontId="91" fillId="0" borderId="163" xfId="0" applyNumberFormat="1" applyFont="1" applyBorder="1" applyAlignment="1">
      <alignment horizontal="center" vertical="center"/>
    </xf>
    <xf numFmtId="2" fontId="91" fillId="0" borderId="164" xfId="0" applyNumberFormat="1" applyFont="1" applyBorder="1" applyAlignment="1">
      <alignment horizontal="center" vertical="center"/>
    </xf>
    <xf numFmtId="2" fontId="91" fillId="0" borderId="166" xfId="0" applyNumberFormat="1" applyFont="1" applyBorder="1" applyAlignment="1">
      <alignment horizontal="center" vertical="center"/>
    </xf>
    <xf numFmtId="185" fontId="91" fillId="2" borderId="0" xfId="12" applyNumberFormat="1" applyFont="1" applyFill="1" applyBorder="1" applyAlignment="1">
      <alignment horizontal="right" vertical="center"/>
    </xf>
    <xf numFmtId="185" fontId="91" fillId="2" borderId="20" xfId="12" applyNumberFormat="1" applyFont="1" applyFill="1" applyBorder="1" applyAlignment="1">
      <alignment horizontal="right" vertical="center"/>
    </xf>
    <xf numFmtId="0" fontId="86" fillId="0" borderId="150" xfId="0" applyFont="1" applyBorder="1" applyAlignment="1">
      <alignment horizontal="center" vertical="center" wrapText="1"/>
    </xf>
    <xf numFmtId="0" fontId="86" fillId="0" borderId="151" xfId="0" applyFont="1" applyBorder="1" applyAlignment="1">
      <alignment horizontal="center" vertical="center" wrapText="1"/>
    </xf>
    <xf numFmtId="0" fontId="88" fillId="0" borderId="67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7" fillId="0" borderId="67" xfId="0" applyFont="1" applyBorder="1" applyAlignment="1">
      <alignment horizontal="center" vertical="center" wrapText="1"/>
    </xf>
    <xf numFmtId="0" fontId="87" fillId="0" borderId="67" xfId="0" applyFont="1" applyBorder="1" applyAlignment="1">
      <alignment horizontal="center" vertical="center"/>
    </xf>
    <xf numFmtId="0" fontId="87" fillId="0" borderId="66" xfId="0" applyFont="1" applyBorder="1" applyAlignment="1">
      <alignment horizontal="center" vertical="center"/>
    </xf>
    <xf numFmtId="0" fontId="89" fillId="0" borderId="93" xfId="0" applyFont="1" applyBorder="1" applyAlignment="1">
      <alignment horizontal="center" vertical="center"/>
    </xf>
    <xf numFmtId="0" fontId="89" fillId="0" borderId="67" xfId="0" applyFont="1" applyBorder="1" applyAlignment="1">
      <alignment horizontal="center" vertical="center"/>
    </xf>
    <xf numFmtId="0" fontId="89" fillId="0" borderId="94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89" fillId="0" borderId="94" xfId="0" applyFont="1" applyBorder="1" applyAlignment="1">
      <alignment horizontal="center"/>
    </xf>
    <xf numFmtId="0" fontId="89" fillId="0" borderId="95" xfId="0" applyFont="1" applyBorder="1" applyAlignment="1">
      <alignment horizontal="center"/>
    </xf>
    <xf numFmtId="0" fontId="89" fillId="0" borderId="94" xfId="0" applyFont="1" applyBorder="1" applyAlignment="1">
      <alignment horizontal="center" vertical="center" wrapText="1"/>
    </xf>
    <xf numFmtId="0" fontId="89" fillId="0" borderId="1" xfId="0" applyFont="1" applyBorder="1" applyAlignment="1">
      <alignment horizontal="center" vertical="center" wrapText="1"/>
    </xf>
    <xf numFmtId="0" fontId="89" fillId="0" borderId="95" xfId="0" applyFont="1" applyBorder="1" applyAlignment="1">
      <alignment horizontal="center" vertical="center" wrapText="1"/>
    </xf>
    <xf numFmtId="0" fontId="89" fillId="0" borderId="68" xfId="0" applyFont="1" applyBorder="1" applyAlignment="1">
      <alignment horizontal="center" vertical="center" wrapText="1"/>
    </xf>
    <xf numFmtId="0" fontId="52" fillId="0" borderId="26" xfId="0" applyFont="1" applyBorder="1" applyAlignment="1">
      <alignment horizontal="center" vertical="center"/>
    </xf>
    <xf numFmtId="0" fontId="52" fillId="0" borderId="8" xfId="0" applyFont="1" applyBorder="1" applyAlignment="1">
      <alignment horizontal="center" vertical="center"/>
    </xf>
    <xf numFmtId="0" fontId="52" fillId="0" borderId="2" xfId="0" applyFont="1" applyBorder="1" applyAlignment="1">
      <alignment horizontal="center" vertical="center"/>
    </xf>
    <xf numFmtId="43" fontId="52" fillId="0" borderId="115" xfId="1" applyFont="1" applyBorder="1" applyAlignment="1">
      <alignment horizontal="center" vertical="center"/>
    </xf>
    <xf numFmtId="43" fontId="52" fillId="0" borderId="117" xfId="1" applyFont="1" applyBorder="1" applyAlignment="1">
      <alignment horizontal="center" vertical="center"/>
    </xf>
    <xf numFmtId="0" fontId="52" fillId="0" borderId="30" xfId="0" applyFont="1" applyBorder="1" applyAlignment="1">
      <alignment horizontal="center" vertical="center" wrapText="1"/>
    </xf>
    <xf numFmtId="0" fontId="52" fillId="0" borderId="32" xfId="0" applyFont="1" applyBorder="1" applyAlignment="1">
      <alignment horizontal="center" vertical="center" wrapText="1"/>
    </xf>
    <xf numFmtId="0" fontId="52" fillId="0" borderId="56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/>
    </xf>
    <xf numFmtId="0" fontId="52" fillId="0" borderId="101" xfId="0" applyFont="1" applyFill="1" applyBorder="1" applyAlignment="1">
      <alignment horizontal="left" vertical="center"/>
    </xf>
    <xf numFmtId="0" fontId="52" fillId="0" borderId="35" xfId="0" applyFont="1" applyFill="1" applyBorder="1" applyAlignment="1">
      <alignment horizontal="left" vertical="center"/>
    </xf>
    <xf numFmtId="0" fontId="52" fillId="0" borderId="98" xfId="0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67" fillId="0" borderId="1" xfId="0" applyFont="1" applyFill="1" applyBorder="1" applyAlignment="1">
      <alignment horizontal="center" vertical="center"/>
    </xf>
    <xf numFmtId="0" fontId="67" fillId="0" borderId="68" xfId="0" applyFont="1" applyFill="1" applyBorder="1" applyAlignment="1">
      <alignment horizontal="center" vertical="center"/>
    </xf>
    <xf numFmtId="0" fontId="52" fillId="0" borderId="156" xfId="0" applyFont="1" applyFill="1" applyBorder="1" applyAlignment="1">
      <alignment horizontal="left" vertical="center"/>
    </xf>
    <xf numFmtId="0" fontId="52" fillId="0" borderId="157" xfId="0" applyFont="1" applyFill="1" applyBorder="1" applyAlignment="1">
      <alignment horizontal="left" vertical="center"/>
    </xf>
    <xf numFmtId="0" fontId="52" fillId="0" borderId="158" xfId="0" applyFont="1" applyFill="1" applyBorder="1" applyAlignment="1">
      <alignment horizontal="left" vertical="center"/>
    </xf>
    <xf numFmtId="0" fontId="52" fillId="0" borderId="99" xfId="0" applyFont="1" applyFill="1" applyBorder="1" applyAlignment="1">
      <alignment horizontal="center" vertical="center"/>
    </xf>
    <xf numFmtId="0" fontId="67" fillId="0" borderId="99" xfId="0" applyFont="1" applyFill="1" applyBorder="1" applyAlignment="1">
      <alignment horizontal="center" vertical="center"/>
    </xf>
    <xf numFmtId="0" fontId="67" fillId="0" borderId="100" xfId="0" applyFont="1" applyFill="1" applyBorder="1" applyAlignment="1">
      <alignment horizontal="center" vertical="center"/>
    </xf>
    <xf numFmtId="0" fontId="52" fillId="0" borderId="38" xfId="0" applyFont="1" applyBorder="1" applyAlignment="1">
      <alignment horizontal="center" vertical="center" wrapText="1"/>
    </xf>
    <xf numFmtId="0" fontId="52" fillId="0" borderId="39" xfId="0" applyFont="1" applyBorder="1" applyAlignment="1">
      <alignment horizontal="center" vertical="center" wrapText="1"/>
    </xf>
    <xf numFmtId="0" fontId="52" fillId="0" borderId="154" xfId="0" applyFont="1" applyBorder="1" applyAlignment="1">
      <alignment horizontal="center" vertical="center" wrapText="1"/>
    </xf>
    <xf numFmtId="0" fontId="52" fillId="0" borderId="128" xfId="0" applyFont="1" applyBorder="1" applyAlignment="1">
      <alignment horizontal="center" vertical="center" wrapText="1"/>
    </xf>
    <xf numFmtId="0" fontId="52" fillId="0" borderId="13" xfId="0" applyFont="1" applyFill="1" applyBorder="1" applyAlignment="1">
      <alignment horizontal="left" vertical="center"/>
    </xf>
    <xf numFmtId="0" fontId="52" fillId="0" borderId="9" xfId="0" applyFont="1" applyFill="1" applyBorder="1" applyAlignment="1">
      <alignment horizontal="left" vertical="center"/>
    </xf>
    <xf numFmtId="0" fontId="52" fillId="0" borderId="22" xfId="0" applyFont="1" applyFill="1" applyBorder="1" applyAlignment="1">
      <alignment horizontal="left" vertical="center"/>
    </xf>
    <xf numFmtId="0" fontId="52" fillId="0" borderId="2" xfId="0" applyFont="1" applyFill="1" applyBorder="1" applyAlignment="1">
      <alignment horizontal="center" vertical="center"/>
    </xf>
    <xf numFmtId="0" fontId="67" fillId="0" borderId="2" xfId="0" applyFont="1" applyFill="1" applyBorder="1" applyAlignment="1">
      <alignment horizontal="center" vertical="center"/>
    </xf>
    <xf numFmtId="0" fontId="67" fillId="0" borderId="29" xfId="0" applyFont="1" applyFill="1" applyBorder="1" applyAlignment="1">
      <alignment horizontal="center" vertical="center"/>
    </xf>
    <xf numFmtId="0" fontId="52" fillId="0" borderId="101" xfId="0" applyFont="1" applyFill="1" applyBorder="1" applyAlignment="1">
      <alignment horizontal="center" vertical="center"/>
    </xf>
    <xf numFmtId="0" fontId="52" fillId="0" borderId="98" xfId="0" applyFont="1" applyFill="1" applyBorder="1" applyAlignment="1">
      <alignment horizontal="center" vertical="center"/>
    </xf>
    <xf numFmtId="0" fontId="67" fillId="0" borderId="101" xfId="0" applyFont="1" applyFill="1" applyBorder="1" applyAlignment="1">
      <alignment horizontal="center" vertical="center"/>
    </xf>
    <xf numFmtId="0" fontId="67" fillId="0" borderId="35" xfId="0" applyFont="1" applyFill="1" applyBorder="1" applyAlignment="1">
      <alignment horizontal="center" vertical="center"/>
    </xf>
    <xf numFmtId="0" fontId="67" fillId="0" borderId="36" xfId="0" applyFont="1" applyFill="1" applyBorder="1" applyAlignment="1">
      <alignment horizontal="center" vertical="center"/>
    </xf>
    <xf numFmtId="0" fontId="67" fillId="15" borderId="95" xfId="0" applyFont="1" applyFill="1" applyBorder="1" applyAlignment="1">
      <alignment horizontal="center" vertical="center"/>
    </xf>
    <xf numFmtId="0" fontId="67" fillId="15" borderId="68" xfId="0" applyFont="1" applyFill="1" applyBorder="1" applyAlignment="1">
      <alignment horizontal="center" vertical="center"/>
    </xf>
    <xf numFmtId="0" fontId="52" fillId="0" borderId="25" xfId="0" applyFont="1" applyBorder="1" applyAlignment="1">
      <alignment horizontal="center" vertical="center" wrapText="1"/>
    </xf>
    <xf numFmtId="0" fontId="52" fillId="0" borderId="153" xfId="0" applyFont="1" applyBorder="1" applyAlignment="1">
      <alignment horizontal="center" vertical="center" wrapText="1"/>
    </xf>
    <xf numFmtId="0" fontId="52" fillId="0" borderId="115" xfId="0" applyFont="1" applyFill="1" applyBorder="1" applyAlignment="1">
      <alignment horizontal="left" vertical="center"/>
    </xf>
    <xf numFmtId="0" fontId="52" fillId="0" borderId="116" xfId="0" applyFont="1" applyFill="1" applyBorder="1" applyAlignment="1">
      <alignment horizontal="left" vertical="center"/>
    </xf>
    <xf numFmtId="0" fontId="52" fillId="0" borderId="155" xfId="0" applyFont="1" applyFill="1" applyBorder="1" applyAlignment="1">
      <alignment horizontal="left" vertical="center"/>
    </xf>
    <xf numFmtId="0" fontId="52" fillId="0" borderId="94" xfId="0" applyFont="1" applyFill="1" applyBorder="1" applyAlignment="1">
      <alignment horizontal="center" vertical="center"/>
    </xf>
    <xf numFmtId="0" fontId="67" fillId="0" borderId="94" xfId="0" applyFont="1" applyFill="1" applyBorder="1" applyAlignment="1">
      <alignment horizontal="center" vertical="center"/>
    </xf>
    <xf numFmtId="0" fontId="67" fillId="0" borderId="95" xfId="0" applyFont="1" applyFill="1" applyBorder="1" applyAlignment="1">
      <alignment horizontal="center" vertical="center"/>
    </xf>
    <xf numFmtId="0" fontId="67" fillId="15" borderId="26" xfId="0" applyFont="1" applyFill="1" applyBorder="1" applyAlignment="1">
      <alignment horizontal="center" vertical="center" wrapText="1"/>
    </xf>
    <xf numFmtId="0" fontId="67" fillId="15" borderId="2" xfId="0" applyFont="1" applyFill="1" applyBorder="1" applyAlignment="1">
      <alignment horizontal="center" vertical="center" wrapText="1"/>
    </xf>
    <xf numFmtId="0" fontId="52" fillId="0" borderId="2" xfId="0" applyFont="1" applyBorder="1" applyAlignment="1">
      <alignment horizontal="left" vertical="center"/>
    </xf>
    <xf numFmtId="0" fontId="52" fillId="0" borderId="1" xfId="0" applyFont="1" applyBorder="1" applyAlignment="1">
      <alignment horizontal="left" vertical="center"/>
    </xf>
    <xf numFmtId="0" fontId="52" fillId="0" borderId="99" xfId="0" applyFont="1" applyBorder="1" applyAlignment="1">
      <alignment horizontal="left" vertical="center"/>
    </xf>
    <xf numFmtId="0" fontId="67" fillId="15" borderId="117" xfId="0" applyFont="1" applyFill="1" applyBorder="1" applyAlignment="1">
      <alignment horizontal="center" vertical="center"/>
    </xf>
    <xf numFmtId="0" fontId="67" fillId="15" borderId="36" xfId="0" applyFont="1" applyFill="1" applyBorder="1" applyAlignment="1">
      <alignment horizontal="center" vertical="center"/>
    </xf>
    <xf numFmtId="0" fontId="52" fillId="0" borderId="94" xfId="0" applyFont="1" applyBorder="1" applyAlignment="1">
      <alignment horizontal="left" vertical="center"/>
    </xf>
    <xf numFmtId="0" fontId="67" fillId="15" borderId="152" xfId="0" applyFont="1" applyFill="1" applyBorder="1" applyAlignment="1">
      <alignment horizontal="center" vertical="center" wrapText="1"/>
    </xf>
    <xf numFmtId="0" fontId="67" fillId="15" borderId="13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/>
    </xf>
    <xf numFmtId="0" fontId="44" fillId="15" borderId="1" xfId="0" applyFont="1" applyFill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6" fillId="0" borderId="9" xfId="0" applyFont="1" applyBorder="1" applyAlignment="1">
      <alignment horizontal="center" vertical="top"/>
    </xf>
    <xf numFmtId="0" fontId="9" fillId="0" borderId="0" xfId="0" applyNumberFormat="1" applyFont="1" applyFill="1" applyAlignment="1">
      <alignment vertical="center"/>
    </xf>
    <xf numFmtId="0" fontId="35" fillId="0" borderId="3" xfId="0" applyFont="1" applyFill="1" applyBorder="1" applyAlignment="1">
      <alignment vertical="center" wrapText="1"/>
    </xf>
    <xf numFmtId="49" fontId="108" fillId="0" borderId="3" xfId="7" quotePrefix="1" applyNumberFormat="1" applyFont="1" applyFill="1" applyBorder="1" applyAlignment="1">
      <alignment horizontal="center" vertical="center" wrapText="1"/>
    </xf>
    <xf numFmtId="0" fontId="35" fillId="0" borderId="3" xfId="0" quotePrefix="1" applyFont="1" applyFill="1" applyBorder="1" applyAlignment="1">
      <alignment horizontal="center" vertical="center" shrinkToFit="1"/>
    </xf>
  </cellXfs>
  <cellStyles count="13">
    <cellStyle name="Comma" xfId="1" builtinId="3"/>
    <cellStyle name="Comma 2" xfId="4"/>
    <cellStyle name="Currency" xfId="9" builtinId="4"/>
    <cellStyle name="Hyperlink" xfId="7" builtinId="8"/>
    <cellStyle name="Neutral" xfId="12" builtinId="28"/>
    <cellStyle name="Normal" xfId="0" builtinId="0"/>
    <cellStyle name="Normal 2" xfId="2"/>
    <cellStyle name="Normal 2 2" xfId="3"/>
    <cellStyle name="Normal 4" xfId="6"/>
    <cellStyle name="Normal 6 3" xfId="11"/>
    <cellStyle name="Normal_Goi 3 (Km74-Km78)" xfId="5"/>
    <cellStyle name="Normal_MO" xfId="10"/>
    <cellStyle name="Normal_Sheet1" xfId="8"/>
  </cellStyles>
  <dxfs count="9"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externalLink" Target="externalLinks/externalLink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5.xml"/><Relationship Id="rId30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B&#7843;ng dien giai KL hoan cong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B&#7843;ng dien giai KL hoan cong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B&#7843;ng dien giai KL hoan cong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B&#7843;ng dien giai KL hoan cong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B&#7843;ng dien giai KL hoan cong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2</xdr:row>
      <xdr:rowOff>0</xdr:rowOff>
    </xdr:from>
    <xdr:to>
      <xdr:col>6</xdr:col>
      <xdr:colOff>28575</xdr:colOff>
      <xdr:row>2</xdr:row>
      <xdr:rowOff>0</xdr:rowOff>
    </xdr:to>
    <xdr:cxnSp macro="">
      <xdr:nvCxnSpPr>
        <xdr:cNvPr id="2" name="AutoShape 1"/>
        <xdr:cNvCxnSpPr>
          <a:cxnSpLocks noChangeShapeType="1"/>
        </xdr:cNvCxnSpPr>
      </xdr:nvCxnSpPr>
      <xdr:spPr bwMode="auto">
        <a:xfrm>
          <a:off x="1800225" y="447675"/>
          <a:ext cx="18859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223631</xdr:colOff>
      <xdr:row>0</xdr:row>
      <xdr:rowOff>265043</xdr:rowOff>
    </xdr:from>
    <xdr:to>
      <xdr:col>6</xdr:col>
      <xdr:colOff>538370</xdr:colOff>
      <xdr:row>4</xdr:row>
      <xdr:rowOff>33130</xdr:rowOff>
    </xdr:to>
    <xdr:sp macro="" textlink="">
      <xdr:nvSpPr>
        <xdr:cNvPr id="2" name="Right Arrow 1">
          <a:hlinkClick xmlns:r="http://schemas.openxmlformats.org/officeDocument/2006/relationships" r:id="rId1"/>
        </xdr:cNvPr>
        <xdr:cNvSpPr/>
      </xdr:nvSpPr>
      <xdr:spPr>
        <a:xfrm>
          <a:off x="6013174" y="265043"/>
          <a:ext cx="911087" cy="57978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Quay lại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85725</xdr:colOff>
      <xdr:row>0</xdr:row>
      <xdr:rowOff>0</xdr:rowOff>
    </xdr:from>
    <xdr:to>
      <xdr:col>23</xdr:col>
      <xdr:colOff>9525</xdr:colOff>
      <xdr:row>49</xdr:row>
      <xdr:rowOff>57150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0"/>
          <a:ext cx="6019800" cy="983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515471</xdr:colOff>
      <xdr:row>0</xdr:row>
      <xdr:rowOff>22412</xdr:rowOff>
    </xdr:from>
    <xdr:to>
      <xdr:col>9</xdr:col>
      <xdr:colOff>560294</xdr:colOff>
      <xdr:row>2</xdr:row>
      <xdr:rowOff>156882</xdr:rowOff>
    </xdr:to>
    <xdr:sp macro="" textlink="">
      <xdr:nvSpPr>
        <xdr:cNvPr id="2" name="Right Arrow 1">
          <a:hlinkClick xmlns:r="http://schemas.openxmlformats.org/officeDocument/2006/relationships" r:id="rId1"/>
        </xdr:cNvPr>
        <xdr:cNvSpPr/>
      </xdr:nvSpPr>
      <xdr:spPr>
        <a:xfrm>
          <a:off x="6208059" y="22412"/>
          <a:ext cx="907676" cy="51547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Trở</a:t>
          </a:r>
          <a:r>
            <a:rPr lang="en-US" sz="1100" baseline="0"/>
            <a:t> về</a:t>
          </a:r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0</xdr:row>
      <xdr:rowOff>180975</xdr:rowOff>
    </xdr:from>
    <xdr:to>
      <xdr:col>11</xdr:col>
      <xdr:colOff>485775</xdr:colOff>
      <xdr:row>2</xdr:row>
      <xdr:rowOff>476250</xdr:rowOff>
    </xdr:to>
    <xdr:sp macro="" textlink="">
      <xdr:nvSpPr>
        <xdr:cNvPr id="2" name="Right Arrow 1">
          <a:hlinkClick xmlns:r="http://schemas.openxmlformats.org/officeDocument/2006/relationships" r:id="rId1"/>
        </xdr:cNvPr>
        <xdr:cNvSpPr/>
      </xdr:nvSpPr>
      <xdr:spPr>
        <a:xfrm>
          <a:off x="6981825" y="180975"/>
          <a:ext cx="1038225" cy="6762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Quay</a:t>
          </a:r>
          <a:r>
            <a:rPr lang="en-US" sz="1100" baseline="0"/>
            <a:t> lại</a:t>
          </a:r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47625</xdr:colOff>
      <xdr:row>0</xdr:row>
      <xdr:rowOff>73025</xdr:rowOff>
    </xdr:from>
    <xdr:to>
      <xdr:col>23</xdr:col>
      <xdr:colOff>584338</xdr:colOff>
      <xdr:row>58</xdr:row>
      <xdr:rowOff>225425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2625" y="73025"/>
          <a:ext cx="5965963" cy="1151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19049</xdr:colOff>
      <xdr:row>23</xdr:row>
      <xdr:rowOff>123825</xdr:rowOff>
    </xdr:from>
    <xdr:to>
      <xdr:col>19</xdr:col>
      <xdr:colOff>38099</xdr:colOff>
      <xdr:row>26</xdr:row>
      <xdr:rowOff>104775</xdr:rowOff>
    </xdr:to>
    <xdr:sp macro="" textlink="">
      <xdr:nvSpPr>
        <xdr:cNvPr id="3" name="Right Arrow 2">
          <a:hlinkClick xmlns:r="http://schemas.openxmlformats.org/officeDocument/2006/relationships" r:id="rId1"/>
        </xdr:cNvPr>
        <xdr:cNvSpPr/>
      </xdr:nvSpPr>
      <xdr:spPr>
        <a:xfrm>
          <a:off x="13211174" y="4410075"/>
          <a:ext cx="885825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Quay lại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781050</xdr:colOff>
      <xdr:row>0</xdr:row>
      <xdr:rowOff>104776</xdr:rowOff>
    </xdr:from>
    <xdr:to>
      <xdr:col>8</xdr:col>
      <xdr:colOff>542925</xdr:colOff>
      <xdr:row>2</xdr:row>
      <xdr:rowOff>114301</xdr:rowOff>
    </xdr:to>
    <xdr:sp macro="" textlink="">
      <xdr:nvSpPr>
        <xdr:cNvPr id="2" name="Right Arrow 1">
          <a:hlinkClick xmlns:r="http://schemas.openxmlformats.org/officeDocument/2006/relationships" r:id="rId1"/>
        </xdr:cNvPr>
        <xdr:cNvSpPr/>
      </xdr:nvSpPr>
      <xdr:spPr>
        <a:xfrm>
          <a:off x="6286500" y="104776"/>
          <a:ext cx="800100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Quay lại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L-M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TC-tru%20chinh%20T4-T7%20(QC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hi%20cong%20tru%20Quy%20Cao%20(T1-T3,%20T8-T1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KLTC-tru%20chinh%20T5%20nang%20b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15.%20TLG_%20TL1/3.%20Hoanthanhcongtrinhql10/New%20folder/2.Quy%20Cao/Lan%20can/Lan%20can%20cau%20Quy%20Ca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15.%20TLG_%20TL1/3.%20Hoanthanhcongtrinhql10/New%20folder/2.Quy%20Cao/Chieu%20sang/Chieu%20sang%20cau%20Quy%20Ca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15.%20TLG_%20TL1/3.%20Hoanthanhcongtrinhql10/New%20folder/2.Quy%20Cao/Cau%20thang/Cau%20thang%20-%20Quy%20Ca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1"/>
      <sheetName val="MO2"/>
      <sheetName val="MoCAU"/>
      <sheetName val="COC-KN"/>
      <sheetName val="TH"/>
      <sheetName val="Be M0"/>
      <sheetName val="ThanM0"/>
      <sheetName val="Canh phai M0"/>
      <sheetName val="Canh trai M0"/>
      <sheetName val="TT+Dake"/>
      <sheetName val="Cao do"/>
      <sheetName val="KLD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8">
          <cell r="C8">
            <v>6</v>
          </cell>
          <cell r="D8">
            <v>8</v>
          </cell>
          <cell r="E8">
            <v>10</v>
          </cell>
          <cell r="F8">
            <v>12</v>
          </cell>
          <cell r="G8">
            <v>14</v>
          </cell>
          <cell r="H8">
            <v>16</v>
          </cell>
          <cell r="I8">
            <v>18</v>
          </cell>
          <cell r="J8">
            <v>20</v>
          </cell>
          <cell r="K8">
            <v>22</v>
          </cell>
          <cell r="L8">
            <v>25</v>
          </cell>
          <cell r="M8">
            <v>28</v>
          </cell>
          <cell r="N8">
            <v>32</v>
          </cell>
        </row>
        <row r="9">
          <cell r="C9">
            <v>0.222</v>
          </cell>
          <cell r="D9">
            <v>0.39500000000000002</v>
          </cell>
          <cell r="E9">
            <v>0.61699999999999999</v>
          </cell>
          <cell r="F9">
            <v>0.88800000000000001</v>
          </cell>
          <cell r="G9">
            <v>1.21</v>
          </cell>
          <cell r="H9">
            <v>1.58</v>
          </cell>
          <cell r="I9">
            <v>2</v>
          </cell>
          <cell r="J9">
            <v>2.4700000000000002</v>
          </cell>
          <cell r="K9">
            <v>2.98</v>
          </cell>
          <cell r="L9">
            <v>3.85</v>
          </cell>
          <cell r="M9">
            <v>4.83</v>
          </cell>
          <cell r="N9">
            <v>6.31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KL-T5, T6"/>
      <sheetName val="THKL-T4, T7"/>
      <sheetName val="Bang cao do T4, T7"/>
      <sheetName val="Thung chup T4"/>
      <sheetName val="Thung chup T5, T6"/>
      <sheetName val="Gia p«c tich "/>
      <sheetName val="Da giao T4"/>
      <sheetName val="T5"/>
      <sheetName val="THKL-P10"/>
      <sheetName val="Tru P10"/>
      <sheetName val="THKL-P8"/>
      <sheetName val="Tru P8"/>
      <sheetName val="THKL-P9"/>
      <sheetName val="Tru P9"/>
      <sheetName val="TBTRU"/>
      <sheetName val="TBTC-K0"/>
      <sheetName val="THKL-k0"/>
      <sheetName val="Khoi K0"/>
      <sheetName val="Khoi14.5m(T7)"/>
      <sheetName val="Khoi14.5m (T10)in"/>
      <sheetName val="Khoi14.5m (T10)-bo"/>
      <sheetName val="Cau cap BT"/>
      <sheetName val="Thep"/>
      <sheetName val="May thi cong"/>
    </sheetNames>
    <sheetDataSet>
      <sheetData sheetId="0"/>
      <sheetData sheetId="1"/>
      <sheetData sheetId="2">
        <row r="5">
          <cell r="H5">
            <v>1.732</v>
          </cell>
          <cell r="I5">
            <v>-0.76800000000000002</v>
          </cell>
          <cell r="L5">
            <v>64</v>
          </cell>
        </row>
        <row r="6">
          <cell r="G6">
            <v>2</v>
          </cell>
          <cell r="H6">
            <v>0.23100000000000001</v>
          </cell>
          <cell r="I6">
            <v>-2.2690000000000001</v>
          </cell>
          <cell r="L6">
            <v>63</v>
          </cell>
        </row>
      </sheetData>
      <sheetData sheetId="3"/>
      <sheetData sheetId="4"/>
      <sheetData sheetId="5"/>
      <sheetData sheetId="6"/>
      <sheetData sheetId="7">
        <row r="34">
          <cell r="I34">
            <v>712.19999999999993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L-M0 new"/>
      <sheetName val="KL-M0"/>
      <sheetName val="KL-M12 new"/>
      <sheetName val="KL-M12"/>
      <sheetName val="KL-T1-T3 new"/>
      <sheetName val="Bang cao do truT1-T3"/>
      <sheetName val="KL-T8, T9 new"/>
      <sheetName val="Bang cao do tru-CC"/>
      <sheetName val="KL-T10, T11 new"/>
      <sheetName val="KL-T1-T3"/>
      <sheetName val="KL-T8, T9"/>
      <sheetName val="KL-T10, T11"/>
      <sheetName val="KL thi cong"/>
      <sheetName val="Khung chong than+xamu"/>
      <sheetName val="Khung chong be"/>
      <sheetName val="TBNhip"/>
      <sheetName val="Sheet1"/>
    </sheetNames>
    <sheetDataSet>
      <sheetData sheetId="0"/>
      <sheetData sheetId="1"/>
      <sheetData sheetId="2"/>
      <sheetData sheetId="3"/>
      <sheetData sheetId="4"/>
      <sheetData sheetId="5">
        <row r="4">
          <cell r="D4">
            <v>2</v>
          </cell>
          <cell r="E4">
            <v>0.63100000000000001</v>
          </cell>
          <cell r="I4">
            <v>62</v>
          </cell>
          <cell r="J4">
            <v>4</v>
          </cell>
        </row>
        <row r="5">
          <cell r="D5">
            <v>2</v>
          </cell>
          <cell r="E5">
            <v>0.53200000000000003</v>
          </cell>
          <cell r="I5">
            <v>58</v>
          </cell>
          <cell r="J5">
            <v>4</v>
          </cell>
        </row>
        <row r="6">
          <cell r="D6">
            <v>2</v>
          </cell>
          <cell r="E6">
            <v>0.43399999999999994</v>
          </cell>
          <cell r="I6">
            <v>58</v>
          </cell>
          <cell r="J6">
            <v>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>
        <row r="9">
          <cell r="I9">
            <v>6.78</v>
          </cell>
        </row>
        <row r="13">
          <cell r="P13">
            <v>4.29</v>
          </cell>
          <cell r="Q13">
            <v>3.3</v>
          </cell>
          <cell r="R13">
            <v>4.32</v>
          </cell>
          <cell r="S13">
            <v>5.33</v>
          </cell>
        </row>
      </sheetData>
      <sheetData sheetId="14">
        <row r="8">
          <cell r="I8">
            <v>3.2399999999999998</v>
          </cell>
        </row>
        <row r="14">
          <cell r="I14">
            <v>3</v>
          </cell>
        </row>
      </sheetData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KL-T5, T6"/>
      <sheetName val="THKL-T4, T7"/>
      <sheetName val="Bang cao do T4, T7"/>
      <sheetName val="Thung chup T4"/>
      <sheetName val="Thung chup T5 DIEU CHINH"/>
      <sheetName val="Thung chup T5 DUYET"/>
      <sheetName val="Gia p«c tich "/>
      <sheetName val="Da giao T4"/>
      <sheetName val="T5"/>
      <sheetName val="THKL-P10"/>
      <sheetName val="Tru P10"/>
      <sheetName val="THKL-P8"/>
      <sheetName val="Tru P8"/>
      <sheetName val="THKL-P9"/>
      <sheetName val="Tru P9"/>
      <sheetName val="TBTRU"/>
      <sheetName val="TBTC-K0"/>
      <sheetName val="THKL-k0"/>
      <sheetName val="Khoi K0"/>
      <sheetName val="Khoi14.5m(T7)"/>
      <sheetName val="Khoi14.5m (T10)in"/>
      <sheetName val="Khoi14.5m (T10)-bo"/>
      <sheetName val="Cau cap BT"/>
      <sheetName val="Thep"/>
      <sheetName val="May thi cong"/>
    </sheetNames>
    <sheetDataSet>
      <sheetData sheetId="0"/>
      <sheetData sheetId="1"/>
      <sheetData sheetId="2"/>
      <sheetData sheetId="3"/>
      <sheetData sheetId="4">
        <row r="24">
          <cell r="I24">
            <v>26079.84</v>
          </cell>
          <cell r="N24">
            <v>79952.92</v>
          </cell>
        </row>
        <row r="25">
          <cell r="I25">
            <v>53873.08</v>
          </cell>
        </row>
      </sheetData>
      <sheetData sheetId="5">
        <row r="24">
          <cell r="I24">
            <v>22256.639999999999</v>
          </cell>
          <cell r="N24">
            <v>63199.040000000001</v>
          </cell>
        </row>
        <row r="25">
          <cell r="I25">
            <v>40942.400000000001</v>
          </cell>
        </row>
      </sheetData>
      <sheetData sheetId="6">
        <row r="10">
          <cell r="H10">
            <v>7786.6399999999994</v>
          </cell>
        </row>
        <row r="11">
          <cell r="H11">
            <v>14205.99</v>
          </cell>
        </row>
        <row r="22">
          <cell r="H22">
            <v>9070.44</v>
          </cell>
        </row>
        <row r="23">
          <cell r="H23">
            <v>15695.55</v>
          </cell>
        </row>
      </sheetData>
      <sheetData sheetId="7"/>
      <sheetData sheetId="8">
        <row r="31">
          <cell r="I31">
            <v>3500</v>
          </cell>
        </row>
        <row r="34">
          <cell r="I34">
            <v>712.19999999999993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1"/>
      <sheetName val="Tinh 2"/>
      <sheetName val="Khoi go LC"/>
      <sheetName val="CT Go LC"/>
      <sheetName val="CT Go LC-Dau cau"/>
      <sheetName val="CT Go LC-Cuoi cau"/>
      <sheetName val="Tay vin"/>
      <sheetName val="Tay vin-Dau cau"/>
      <sheetName val="Tay vin-Cuoi cau"/>
      <sheetName val="Bang tra"/>
    </sheetNames>
    <sheetDataSet>
      <sheetData sheetId="0"/>
      <sheetData sheetId="1"/>
      <sheetData sheetId="2">
        <row r="2">
          <cell r="A2" t="str">
            <v>G1</v>
          </cell>
          <cell r="B2">
            <v>11800</v>
          </cell>
        </row>
        <row r="3">
          <cell r="A3" t="str">
            <v>G2</v>
          </cell>
          <cell r="B3">
            <v>10132</v>
          </cell>
          <cell r="C3">
            <v>2</v>
          </cell>
        </row>
        <row r="4">
          <cell r="A4" t="str">
            <v>G3</v>
          </cell>
          <cell r="B4">
            <v>11825</v>
          </cell>
        </row>
        <row r="13">
          <cell r="G13">
            <v>79</v>
          </cell>
          <cell r="M13">
            <v>8</v>
          </cell>
          <cell r="N13">
            <v>11700</v>
          </cell>
        </row>
        <row r="14">
          <cell r="G14">
            <v>69</v>
          </cell>
          <cell r="N14">
            <v>10032</v>
          </cell>
        </row>
        <row r="15">
          <cell r="G15">
            <v>80</v>
          </cell>
          <cell r="N15">
            <v>11725</v>
          </cell>
        </row>
        <row r="22">
          <cell r="I22">
            <v>1017</v>
          </cell>
        </row>
        <row r="23">
          <cell r="I23">
            <v>1095</v>
          </cell>
        </row>
        <row r="24">
          <cell r="I24">
            <v>1330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2">
          <cell r="A2">
            <v>6</v>
          </cell>
          <cell r="B2">
            <v>8</v>
          </cell>
          <cell r="C2">
            <v>10</v>
          </cell>
          <cell r="D2">
            <v>12</v>
          </cell>
          <cell r="E2">
            <v>14</v>
          </cell>
          <cell r="F2">
            <v>16</v>
          </cell>
          <cell r="G2">
            <v>18</v>
          </cell>
          <cell r="H2">
            <v>20</v>
          </cell>
          <cell r="I2">
            <v>22</v>
          </cell>
          <cell r="J2">
            <v>25</v>
          </cell>
          <cell r="K2">
            <v>28</v>
          </cell>
          <cell r="L2">
            <v>32</v>
          </cell>
        </row>
        <row r="3">
          <cell r="A3">
            <v>33</v>
          </cell>
          <cell r="B3">
            <v>44</v>
          </cell>
          <cell r="C3">
            <v>55</v>
          </cell>
          <cell r="D3">
            <v>66</v>
          </cell>
          <cell r="E3">
            <v>77</v>
          </cell>
          <cell r="F3">
            <v>88</v>
          </cell>
          <cell r="G3">
            <v>99</v>
          </cell>
          <cell r="H3">
            <v>110</v>
          </cell>
          <cell r="I3">
            <v>121</v>
          </cell>
          <cell r="J3">
            <v>137</v>
          </cell>
          <cell r="K3">
            <v>198</v>
          </cell>
          <cell r="L3">
            <v>226</v>
          </cell>
        </row>
        <row r="4">
          <cell r="A4">
            <v>0.222</v>
          </cell>
          <cell r="B4">
            <v>0.39500000000000002</v>
          </cell>
          <cell r="C4">
            <v>0.61699999999999999</v>
          </cell>
          <cell r="D4">
            <v>0.88800000000000001</v>
          </cell>
          <cell r="E4">
            <v>1.21</v>
          </cell>
          <cell r="F4">
            <v>1.58</v>
          </cell>
          <cell r="G4">
            <v>2</v>
          </cell>
          <cell r="H4">
            <v>2.4700000000000002</v>
          </cell>
          <cell r="I4">
            <v>2.98</v>
          </cell>
          <cell r="J4">
            <v>3.85</v>
          </cell>
          <cell r="K4">
            <v>4.83</v>
          </cell>
          <cell r="L4">
            <v>6.31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"/>
      <sheetName val="Bang tra"/>
    </sheetNames>
    <sheetDataSet>
      <sheetData sheetId="0"/>
      <sheetData sheetId="1">
        <row r="2">
          <cell r="A2">
            <v>6</v>
          </cell>
          <cell r="B2">
            <v>8</v>
          </cell>
          <cell r="C2">
            <v>10</v>
          </cell>
          <cell r="D2">
            <v>12</v>
          </cell>
          <cell r="E2">
            <v>14</v>
          </cell>
          <cell r="F2">
            <v>16</v>
          </cell>
          <cell r="G2">
            <v>18</v>
          </cell>
          <cell r="H2">
            <v>20</v>
          </cell>
          <cell r="I2">
            <v>22</v>
          </cell>
          <cell r="J2">
            <v>25</v>
          </cell>
          <cell r="K2">
            <v>28</v>
          </cell>
          <cell r="L2">
            <v>32</v>
          </cell>
        </row>
        <row r="3">
          <cell r="A3">
            <v>33</v>
          </cell>
          <cell r="B3">
            <v>44</v>
          </cell>
          <cell r="C3">
            <v>55</v>
          </cell>
          <cell r="D3">
            <v>66</v>
          </cell>
          <cell r="E3">
            <v>77</v>
          </cell>
          <cell r="F3">
            <v>88</v>
          </cell>
          <cell r="G3">
            <v>99</v>
          </cell>
          <cell r="H3">
            <v>110</v>
          </cell>
          <cell r="I3">
            <v>121</v>
          </cell>
          <cell r="J3">
            <v>137</v>
          </cell>
          <cell r="K3">
            <v>198</v>
          </cell>
          <cell r="L3">
            <v>226</v>
          </cell>
        </row>
        <row r="4">
          <cell r="A4">
            <v>0.222</v>
          </cell>
          <cell r="B4">
            <v>0.39500000000000002</v>
          </cell>
          <cell r="C4">
            <v>0.61699999999999999</v>
          </cell>
          <cell r="D4">
            <v>0.88800000000000001</v>
          </cell>
          <cell r="E4">
            <v>1.21</v>
          </cell>
          <cell r="F4">
            <v>1.58</v>
          </cell>
          <cell r="G4">
            <v>2</v>
          </cell>
          <cell r="H4">
            <v>2.4700000000000002</v>
          </cell>
          <cell r="I4">
            <v>2.98</v>
          </cell>
          <cell r="J4">
            <v>3.85</v>
          </cell>
          <cell r="K4">
            <v>4.83</v>
          </cell>
          <cell r="L4">
            <v>6.31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 Tien Cuu"/>
      <sheetName val="Bang tra"/>
    </sheetNames>
    <sheetDataSet>
      <sheetData sheetId="0"/>
      <sheetData sheetId="1">
        <row r="2">
          <cell r="A2">
            <v>6</v>
          </cell>
          <cell r="B2">
            <v>8</v>
          </cell>
          <cell r="C2">
            <v>10</v>
          </cell>
          <cell r="D2">
            <v>12</v>
          </cell>
          <cell r="E2">
            <v>14</v>
          </cell>
          <cell r="F2">
            <v>16</v>
          </cell>
          <cell r="G2">
            <v>18</v>
          </cell>
          <cell r="H2">
            <v>20</v>
          </cell>
          <cell r="I2">
            <v>22</v>
          </cell>
          <cell r="J2">
            <v>25</v>
          </cell>
          <cell r="K2">
            <v>28</v>
          </cell>
          <cell r="L2">
            <v>32</v>
          </cell>
        </row>
        <row r="3">
          <cell r="A3">
            <v>33</v>
          </cell>
          <cell r="B3">
            <v>44</v>
          </cell>
          <cell r="C3">
            <v>55</v>
          </cell>
          <cell r="D3">
            <v>66</v>
          </cell>
          <cell r="E3">
            <v>77</v>
          </cell>
          <cell r="F3">
            <v>88</v>
          </cell>
          <cell r="G3">
            <v>99</v>
          </cell>
          <cell r="H3">
            <v>110</v>
          </cell>
          <cell r="I3">
            <v>121</v>
          </cell>
          <cell r="J3">
            <v>137</v>
          </cell>
          <cell r="K3">
            <v>198</v>
          </cell>
          <cell r="L3">
            <v>226</v>
          </cell>
        </row>
        <row r="4">
          <cell r="A4">
            <v>0.222</v>
          </cell>
          <cell r="B4">
            <v>0.39500000000000002</v>
          </cell>
          <cell r="C4">
            <v>0.61699999999999999</v>
          </cell>
          <cell r="D4">
            <v>0.88800000000000001</v>
          </cell>
          <cell r="E4">
            <v>1.21</v>
          </cell>
          <cell r="F4">
            <v>1.58</v>
          </cell>
          <cell r="G4">
            <v>2</v>
          </cell>
          <cell r="H4">
            <v>2.4700000000000002</v>
          </cell>
          <cell r="I4">
            <v>2.98</v>
          </cell>
          <cell r="J4">
            <v>3.85</v>
          </cell>
          <cell r="K4">
            <v>4.83</v>
          </cell>
          <cell r="L4">
            <v>6.31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THKL-I35.xlsx" TargetMode="External"/><Relationship Id="rId13" Type="http://schemas.openxmlformats.org/officeDocument/2006/relationships/hyperlink" Target="Mat%20bang%20cong%20truong,%20duong%20cong%20vu.xlsx" TargetMode="External"/><Relationship Id="rId18" Type="http://schemas.openxmlformats.org/officeDocument/2006/relationships/hyperlink" Target="Mat%20bang%20cong%20truong,%20duong%20cong%20vu.xlsx" TargetMode="External"/><Relationship Id="rId3" Type="http://schemas.openxmlformats.org/officeDocument/2006/relationships/hyperlink" Target="THKL-I35.xlsx" TargetMode="External"/><Relationship Id="rId7" Type="http://schemas.openxmlformats.org/officeDocument/2006/relationships/hyperlink" Target="THKL-I35.xlsx" TargetMode="External"/><Relationship Id="rId12" Type="http://schemas.openxmlformats.org/officeDocument/2006/relationships/hyperlink" Target="Mat%20bang%20cong%20truong,%20duong%20cong%20vu.xlsx" TargetMode="External"/><Relationship Id="rId17" Type="http://schemas.openxmlformats.org/officeDocument/2006/relationships/hyperlink" Target="Mat%20bang%20cong%20truong,%20duong%20cong%20vu.xlsx" TargetMode="External"/><Relationship Id="rId2" Type="http://schemas.openxmlformats.org/officeDocument/2006/relationships/hyperlink" Target="Khe%20co%20gian%20-%20Quy%20Cao.xls" TargetMode="External"/><Relationship Id="rId16" Type="http://schemas.openxmlformats.org/officeDocument/2006/relationships/hyperlink" Target="Mat%20bang%20cong%20truong,%20duong%20cong%20vu.xlsx" TargetMode="External"/><Relationship Id="rId1" Type="http://schemas.openxmlformats.org/officeDocument/2006/relationships/hyperlink" Target="THKL-I35.xlsx" TargetMode="External"/><Relationship Id="rId6" Type="http://schemas.openxmlformats.org/officeDocument/2006/relationships/hyperlink" Target="THKL-I35.xlsx" TargetMode="External"/><Relationship Id="rId11" Type="http://schemas.openxmlformats.org/officeDocument/2006/relationships/hyperlink" Target="THKL-I35.xlsx" TargetMode="External"/><Relationship Id="rId5" Type="http://schemas.openxmlformats.org/officeDocument/2006/relationships/hyperlink" Target="THKL-I35.xlsx" TargetMode="External"/><Relationship Id="rId15" Type="http://schemas.openxmlformats.org/officeDocument/2006/relationships/hyperlink" Target="Mat%20bang%20cong%20truong,%20duong%20cong%20vu.xlsx" TargetMode="External"/><Relationship Id="rId10" Type="http://schemas.openxmlformats.org/officeDocument/2006/relationships/hyperlink" Target="THKL-I35.xlsx" TargetMode="External"/><Relationship Id="rId19" Type="http://schemas.openxmlformats.org/officeDocument/2006/relationships/printerSettings" Target="../printerSettings/printerSettings3.bin"/><Relationship Id="rId4" Type="http://schemas.openxmlformats.org/officeDocument/2006/relationships/hyperlink" Target="THKL-I35.xlsx" TargetMode="External"/><Relationship Id="rId9" Type="http://schemas.openxmlformats.org/officeDocument/2006/relationships/hyperlink" Target="THKL-I35.xlsx" TargetMode="External"/><Relationship Id="rId14" Type="http://schemas.openxmlformats.org/officeDocument/2006/relationships/hyperlink" Target="Mat%20bang%20cong%20truong,%20duong%20cong%20vu.xlsx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7"/>
  <sheetViews>
    <sheetView view="pageBreakPreview" zoomScale="60" zoomScaleNormal="100" workbookViewId="0">
      <selection activeCell="B22" sqref="B22:I22"/>
    </sheetView>
  </sheetViews>
  <sheetFormatPr defaultRowHeight="15" x14ac:dyDescent="0.25"/>
  <sheetData>
    <row r="1" spans="1:9" ht="16.5" thickTop="1" x14ac:dyDescent="0.25">
      <c r="A1" s="21"/>
      <c r="B1" s="22"/>
      <c r="C1" s="22"/>
      <c r="D1" s="22"/>
      <c r="E1" s="22"/>
      <c r="F1" s="22"/>
      <c r="G1" s="22"/>
      <c r="H1" s="22"/>
      <c r="I1" s="23"/>
    </row>
    <row r="2" spans="1:9" ht="18.75" x14ac:dyDescent="0.25">
      <c r="A2" s="1145" t="s">
        <v>12</v>
      </c>
      <c r="B2" s="1146"/>
      <c r="C2" s="1146"/>
      <c r="D2" s="1146"/>
      <c r="E2" s="1146"/>
      <c r="F2" s="1146"/>
      <c r="G2" s="1146"/>
      <c r="H2" s="1146"/>
      <c r="I2" s="1147"/>
    </row>
    <row r="3" spans="1:9" ht="18.75" x14ac:dyDescent="0.3">
      <c r="A3" s="24"/>
      <c r="B3" s="13"/>
      <c r="C3" s="25"/>
      <c r="D3" s="25"/>
      <c r="E3" s="25"/>
      <c r="F3" s="25"/>
      <c r="G3" s="25"/>
      <c r="H3" s="25"/>
      <c r="I3" s="26"/>
    </row>
    <row r="4" spans="1:9" ht="18.75" x14ac:dyDescent="0.3">
      <c r="A4" s="24"/>
      <c r="B4" s="13"/>
      <c r="C4" s="27"/>
      <c r="D4" s="27"/>
      <c r="E4" s="27"/>
      <c r="F4" s="27"/>
      <c r="G4" s="27"/>
      <c r="H4" s="27"/>
      <c r="I4" s="28"/>
    </row>
    <row r="5" spans="1:9" ht="18.75" x14ac:dyDescent="0.25">
      <c r="A5" s="24"/>
      <c r="B5" s="13"/>
      <c r="C5" s="29"/>
      <c r="D5" s="29"/>
      <c r="E5" s="29"/>
      <c r="F5" s="29"/>
      <c r="G5" s="29"/>
      <c r="H5" s="29"/>
      <c r="I5" s="30"/>
    </row>
    <row r="6" spans="1:9" ht="18.75" x14ac:dyDescent="0.25">
      <c r="A6" s="24"/>
      <c r="B6" s="13"/>
      <c r="C6" s="29"/>
      <c r="D6" s="29"/>
      <c r="E6" s="29"/>
      <c r="F6" s="29"/>
      <c r="G6" s="29"/>
      <c r="H6" s="29"/>
      <c r="I6" s="30"/>
    </row>
    <row r="7" spans="1:9" ht="18.75" x14ac:dyDescent="0.25">
      <c r="A7" s="24"/>
      <c r="B7" s="13"/>
      <c r="C7" s="29"/>
      <c r="D7" s="29"/>
      <c r="E7" s="29"/>
      <c r="F7" s="29"/>
      <c r="G7" s="29"/>
      <c r="H7" s="29"/>
      <c r="I7" s="30"/>
    </row>
    <row r="8" spans="1:9" ht="18.75" x14ac:dyDescent="0.25">
      <c r="A8" s="24"/>
      <c r="B8" s="13"/>
      <c r="C8" s="29"/>
      <c r="D8" s="29"/>
      <c r="E8" s="29"/>
      <c r="F8" s="29"/>
      <c r="G8" s="29"/>
      <c r="H8" s="29"/>
      <c r="I8" s="30"/>
    </row>
    <row r="9" spans="1:9" ht="18.75" x14ac:dyDescent="0.25">
      <c r="A9" s="24"/>
      <c r="B9" s="13"/>
      <c r="C9" s="29"/>
      <c r="D9" s="29"/>
      <c r="E9" s="29"/>
      <c r="F9" s="29"/>
      <c r="G9" s="29"/>
      <c r="H9" s="29"/>
      <c r="I9" s="30"/>
    </row>
    <row r="10" spans="1:9" ht="18.75" x14ac:dyDescent="0.25">
      <c r="A10" s="24"/>
      <c r="B10" s="13"/>
      <c r="C10" s="29"/>
      <c r="D10" s="29"/>
      <c r="E10" s="29"/>
      <c r="F10" s="29"/>
      <c r="G10" s="29"/>
      <c r="H10" s="29"/>
      <c r="I10" s="30"/>
    </row>
    <row r="11" spans="1:9" ht="18.75" x14ac:dyDescent="0.25">
      <c r="A11" s="24"/>
      <c r="B11" s="13"/>
      <c r="C11" s="29"/>
      <c r="D11" s="29"/>
      <c r="E11" s="29"/>
      <c r="F11" s="29"/>
      <c r="G11" s="29"/>
      <c r="H11" s="29"/>
      <c r="I11" s="30"/>
    </row>
    <row r="12" spans="1:9" ht="18.75" x14ac:dyDescent="0.25">
      <c r="A12" s="24"/>
      <c r="B12" s="13"/>
      <c r="C12" s="29"/>
      <c r="D12" s="29"/>
      <c r="E12" s="29"/>
      <c r="F12" s="29"/>
      <c r="G12" s="29"/>
      <c r="H12" s="29"/>
      <c r="I12" s="30"/>
    </row>
    <row r="13" spans="1:9" ht="22.5" x14ac:dyDescent="0.25">
      <c r="A13" s="1148" t="s">
        <v>22</v>
      </c>
      <c r="B13" s="1149"/>
      <c r="C13" s="1149"/>
      <c r="D13" s="1149"/>
      <c r="E13" s="1149"/>
      <c r="F13" s="1149"/>
      <c r="G13" s="1149"/>
      <c r="H13" s="1149"/>
      <c r="I13" s="1150"/>
    </row>
    <row r="14" spans="1:9" ht="22.5" x14ac:dyDescent="0.25">
      <c r="A14" s="1148"/>
      <c r="B14" s="1149"/>
      <c r="C14" s="1149"/>
      <c r="D14" s="1149"/>
      <c r="E14" s="1149"/>
      <c r="F14" s="1149"/>
      <c r="G14" s="1149"/>
      <c r="H14" s="1149"/>
      <c r="I14" s="1150"/>
    </row>
    <row r="15" spans="1:9" ht="57" customHeight="1" x14ac:dyDescent="0.25">
      <c r="A15" s="31"/>
      <c r="B15" s="1143" t="s">
        <v>13</v>
      </c>
      <c r="C15" s="1143"/>
      <c r="D15" s="1143"/>
      <c r="E15" s="1143"/>
      <c r="F15" s="1143"/>
      <c r="G15" s="1143"/>
      <c r="H15" s="1143"/>
      <c r="I15" s="1144"/>
    </row>
    <row r="16" spans="1:9" ht="37.5" customHeight="1" x14ac:dyDescent="0.25">
      <c r="A16" s="31"/>
      <c r="B16" s="1143" t="s">
        <v>14</v>
      </c>
      <c r="C16" s="1143"/>
      <c r="D16" s="1143"/>
      <c r="E16" s="1143"/>
      <c r="F16" s="1143"/>
      <c r="G16" s="1143"/>
      <c r="H16" s="1143"/>
      <c r="I16" s="1144"/>
    </row>
    <row r="17" spans="1:9" ht="37.5" customHeight="1" x14ac:dyDescent="0.25">
      <c r="A17" s="31"/>
      <c r="B17" s="1143" t="s">
        <v>15</v>
      </c>
      <c r="C17" s="1143"/>
      <c r="D17" s="1143"/>
      <c r="E17" s="1143"/>
      <c r="F17" s="1143"/>
      <c r="G17" s="1143"/>
      <c r="H17" s="1143"/>
      <c r="I17" s="1144"/>
    </row>
    <row r="18" spans="1:9" ht="18.75" x14ac:dyDescent="0.25">
      <c r="A18" s="31"/>
      <c r="B18" s="1143" t="s">
        <v>16</v>
      </c>
      <c r="C18" s="1143"/>
      <c r="D18" s="1143"/>
      <c r="E18" s="1143"/>
      <c r="F18" s="1143"/>
      <c r="G18" s="1143"/>
      <c r="H18" s="1143"/>
      <c r="I18" s="1144"/>
    </row>
    <row r="19" spans="1:9" ht="37.5" customHeight="1" x14ac:dyDescent="0.25">
      <c r="A19" s="31"/>
      <c r="B19" s="1143" t="s">
        <v>17</v>
      </c>
      <c r="C19" s="1143"/>
      <c r="D19" s="1143"/>
      <c r="E19" s="1143"/>
      <c r="F19" s="1143"/>
      <c r="G19" s="1143"/>
      <c r="H19" s="1143"/>
      <c r="I19" s="1144"/>
    </row>
    <row r="20" spans="1:9" ht="18.75" x14ac:dyDescent="0.25">
      <c r="A20" s="31"/>
      <c r="B20" s="1143" t="s">
        <v>18</v>
      </c>
      <c r="C20" s="1143"/>
      <c r="D20" s="1143"/>
      <c r="E20" s="1143"/>
      <c r="F20" s="1143"/>
      <c r="G20" s="1143"/>
      <c r="H20" s="1143"/>
      <c r="I20" s="1144"/>
    </row>
    <row r="21" spans="1:9" ht="18.75" x14ac:dyDescent="0.25">
      <c r="A21" s="31"/>
      <c r="B21" s="1143" t="s">
        <v>19</v>
      </c>
      <c r="C21" s="1143"/>
      <c r="D21" s="1143"/>
      <c r="E21" s="1143"/>
      <c r="F21" s="1143"/>
      <c r="G21" s="1143"/>
      <c r="H21" s="1143"/>
      <c r="I21" s="1144"/>
    </row>
    <row r="22" spans="1:9" ht="18.75" x14ac:dyDescent="0.25">
      <c r="A22" s="31"/>
      <c r="B22" s="1143" t="s">
        <v>20</v>
      </c>
      <c r="C22" s="1143"/>
      <c r="D22" s="1143"/>
      <c r="E22" s="1143"/>
      <c r="F22" s="1143"/>
      <c r="G22" s="1143"/>
      <c r="H22" s="1143"/>
      <c r="I22" s="1144"/>
    </row>
    <row r="23" spans="1:9" ht="15.75" x14ac:dyDescent="0.25">
      <c r="A23" s="32"/>
      <c r="B23" s="13"/>
      <c r="C23" s="29"/>
      <c r="D23" s="29"/>
      <c r="E23" s="29"/>
      <c r="F23" s="29"/>
      <c r="G23" s="29"/>
      <c r="H23" s="29"/>
      <c r="I23" s="30"/>
    </row>
    <row r="24" spans="1:9" ht="16.5" x14ac:dyDescent="0.25">
      <c r="A24" s="33"/>
      <c r="B24" s="13"/>
      <c r="C24" s="29"/>
      <c r="D24" s="29"/>
      <c r="E24" s="29"/>
      <c r="F24" s="29"/>
      <c r="G24" s="29"/>
      <c r="H24" s="29"/>
      <c r="I24" s="30"/>
    </row>
    <row r="25" spans="1:9" ht="15.75" x14ac:dyDescent="0.25">
      <c r="A25" s="34"/>
      <c r="B25" s="29"/>
      <c r="C25" s="29"/>
      <c r="D25" s="29"/>
      <c r="E25" s="29"/>
      <c r="F25" s="29"/>
      <c r="G25" s="29"/>
      <c r="H25" s="29"/>
      <c r="I25" s="30"/>
    </row>
    <row r="26" spans="1:9" ht="15.75" x14ac:dyDescent="0.25">
      <c r="A26" s="34"/>
      <c r="B26" s="29"/>
      <c r="C26" s="29"/>
      <c r="D26" s="29"/>
      <c r="E26" s="29"/>
      <c r="F26" s="29"/>
      <c r="G26" s="29"/>
      <c r="H26" s="29"/>
      <c r="I26" s="30"/>
    </row>
    <row r="27" spans="1:9" ht="15.75" x14ac:dyDescent="0.25">
      <c r="A27" s="34"/>
      <c r="B27" s="29"/>
      <c r="C27" s="29"/>
      <c r="D27" s="29"/>
      <c r="E27" s="29"/>
      <c r="F27" s="29"/>
      <c r="G27" s="29"/>
      <c r="H27" s="29"/>
      <c r="I27" s="30"/>
    </row>
    <row r="28" spans="1:9" ht="15.75" x14ac:dyDescent="0.25">
      <c r="A28" s="34"/>
      <c r="B28" s="29"/>
      <c r="C28" s="29"/>
      <c r="D28" s="29"/>
      <c r="E28" s="29"/>
      <c r="F28" s="29"/>
      <c r="G28" s="29"/>
      <c r="H28" s="29"/>
      <c r="I28" s="30"/>
    </row>
    <row r="29" spans="1:9" ht="15.75" x14ac:dyDescent="0.25">
      <c r="A29" s="34"/>
      <c r="B29" s="29"/>
      <c r="C29" s="29"/>
      <c r="D29" s="29"/>
      <c r="E29" s="29"/>
      <c r="F29" s="29"/>
      <c r="G29" s="29"/>
      <c r="H29" s="29"/>
      <c r="I29" s="30"/>
    </row>
    <row r="30" spans="1:9" ht="18.75" x14ac:dyDescent="0.25">
      <c r="A30" s="1145"/>
      <c r="B30" s="1146"/>
      <c r="C30" s="1146"/>
      <c r="D30" s="1146"/>
      <c r="E30" s="1146"/>
      <c r="F30" s="1146"/>
      <c r="G30" s="1146"/>
      <c r="H30" s="1146"/>
      <c r="I30" s="1147"/>
    </row>
    <row r="31" spans="1:9" ht="18.75" x14ac:dyDescent="0.25">
      <c r="A31" s="35"/>
      <c r="B31" s="36"/>
      <c r="C31" s="36"/>
      <c r="D31" s="36"/>
      <c r="E31" s="36"/>
      <c r="F31" s="36"/>
      <c r="G31" s="36"/>
      <c r="H31" s="36"/>
      <c r="I31" s="37"/>
    </row>
    <row r="32" spans="1:9" ht="18.75" x14ac:dyDescent="0.25">
      <c r="A32" s="35"/>
      <c r="B32" s="36"/>
      <c r="C32" s="36"/>
      <c r="D32" s="36"/>
      <c r="E32" s="36"/>
      <c r="F32" s="36"/>
      <c r="G32" s="36"/>
      <c r="H32" s="36"/>
      <c r="I32" s="37"/>
    </row>
    <row r="33" spans="1:9" ht="15.75" x14ac:dyDescent="0.25">
      <c r="A33" s="34"/>
      <c r="B33" s="29"/>
      <c r="C33" s="29"/>
      <c r="D33" s="29"/>
      <c r="E33" s="29"/>
      <c r="F33" s="29"/>
      <c r="G33" s="29"/>
      <c r="H33" s="29"/>
      <c r="I33" s="30"/>
    </row>
    <row r="34" spans="1:9" ht="15.75" x14ac:dyDescent="0.25">
      <c r="A34" s="34"/>
      <c r="B34" s="29"/>
      <c r="C34" s="29"/>
      <c r="D34" s="29"/>
      <c r="E34" s="29"/>
      <c r="F34" s="29"/>
      <c r="G34" s="29"/>
      <c r="H34" s="29"/>
      <c r="I34" s="30"/>
    </row>
    <row r="35" spans="1:9" ht="18.75" x14ac:dyDescent="0.25">
      <c r="A35" s="1145" t="s">
        <v>21</v>
      </c>
      <c r="B35" s="1146"/>
      <c r="C35" s="1146"/>
      <c r="D35" s="1146"/>
      <c r="E35" s="1146"/>
      <c r="F35" s="1146"/>
      <c r="G35" s="1146"/>
      <c r="H35" s="1146"/>
      <c r="I35" s="1147"/>
    </row>
    <row r="36" spans="1:9" ht="19.5" thickBot="1" x14ac:dyDescent="0.3">
      <c r="A36" s="38"/>
      <c r="B36" s="39"/>
      <c r="C36" s="39"/>
      <c r="D36" s="39"/>
      <c r="E36" s="39"/>
      <c r="F36" s="39"/>
      <c r="G36" s="39"/>
      <c r="H36" s="39"/>
      <c r="I36" s="40"/>
    </row>
    <row r="37" spans="1:9" ht="15.75" thickTop="1" x14ac:dyDescent="0.25"/>
  </sheetData>
  <mergeCells count="13">
    <mergeCell ref="A35:I35"/>
    <mergeCell ref="B18:I18"/>
    <mergeCell ref="B19:I19"/>
    <mergeCell ref="B20:I20"/>
    <mergeCell ref="B21:I21"/>
    <mergeCell ref="B22:I22"/>
    <mergeCell ref="A30:I30"/>
    <mergeCell ref="B17:I17"/>
    <mergeCell ref="A2:I2"/>
    <mergeCell ref="A13:I13"/>
    <mergeCell ref="A14:I14"/>
    <mergeCell ref="B15:I15"/>
    <mergeCell ref="B16:I1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399"/>
  <sheetViews>
    <sheetView showGridLines="0" view="pageBreakPreview" topLeftCell="A40" zoomScale="85" zoomScaleSheetLayoutView="85" workbookViewId="0">
      <selection activeCell="E1293" sqref="E1293"/>
    </sheetView>
  </sheetViews>
  <sheetFormatPr defaultRowHeight="15.75" outlineLevelRow="2" x14ac:dyDescent="0.25"/>
  <cols>
    <col min="1" max="1" width="7.140625" style="2" customWidth="1"/>
    <col min="2" max="2" width="34.7109375" style="1" customWidth="1"/>
    <col min="3" max="3" width="11.85546875" style="2" customWidth="1"/>
    <col min="4" max="5" width="14.85546875" style="3" customWidth="1"/>
    <col min="6" max="6" width="39.85546875" style="4" customWidth="1"/>
    <col min="7" max="8" width="9.140625" style="1"/>
    <col min="9" max="9" width="10.42578125" style="1" bestFit="1" customWidth="1"/>
    <col min="10" max="248" width="9.140625" style="1"/>
    <col min="249" max="249" width="6.140625" style="1" customWidth="1"/>
    <col min="250" max="250" width="31.5703125" style="1" customWidth="1"/>
    <col min="251" max="251" width="7.28515625" style="1" customWidth="1"/>
    <col min="252" max="252" width="11.85546875" style="1" customWidth="1"/>
    <col min="253" max="253" width="9.5703125" style="1" bestFit="1" customWidth="1"/>
    <col min="254" max="254" width="10.5703125" style="1" customWidth="1"/>
    <col min="255" max="255" width="11.28515625" style="1" customWidth="1"/>
    <col min="256" max="256" width="11.42578125" style="1" bestFit="1" customWidth="1"/>
    <col min="257" max="257" width="11.7109375" style="1" customWidth="1"/>
    <col min="258" max="258" width="13.85546875" style="1" customWidth="1"/>
    <col min="259" max="504" width="9.140625" style="1"/>
    <col min="505" max="505" width="6.140625" style="1" customWidth="1"/>
    <col min="506" max="506" width="31.5703125" style="1" customWidth="1"/>
    <col min="507" max="507" width="7.28515625" style="1" customWidth="1"/>
    <col min="508" max="508" width="11.85546875" style="1" customWidth="1"/>
    <col min="509" max="509" width="9.5703125" style="1" bestFit="1" customWidth="1"/>
    <col min="510" max="510" width="10.5703125" style="1" customWidth="1"/>
    <col min="511" max="511" width="11.28515625" style="1" customWidth="1"/>
    <col min="512" max="512" width="11.42578125" style="1" bestFit="1" customWidth="1"/>
    <col min="513" max="513" width="11.7109375" style="1" customWidth="1"/>
    <col min="514" max="514" width="13.85546875" style="1" customWidth="1"/>
    <col min="515" max="760" width="9.140625" style="1"/>
    <col min="761" max="761" width="6.140625" style="1" customWidth="1"/>
    <col min="762" max="762" width="31.5703125" style="1" customWidth="1"/>
    <col min="763" max="763" width="7.28515625" style="1" customWidth="1"/>
    <col min="764" max="764" width="11.85546875" style="1" customWidth="1"/>
    <col min="765" max="765" width="9.5703125" style="1" bestFit="1" customWidth="1"/>
    <col min="766" max="766" width="10.5703125" style="1" customWidth="1"/>
    <col min="767" max="767" width="11.28515625" style="1" customWidth="1"/>
    <col min="768" max="768" width="11.42578125" style="1" bestFit="1" customWidth="1"/>
    <col min="769" max="769" width="11.7109375" style="1" customWidth="1"/>
    <col min="770" max="770" width="13.85546875" style="1" customWidth="1"/>
    <col min="771" max="1016" width="9.140625" style="1"/>
    <col min="1017" max="1017" width="6.140625" style="1" customWidth="1"/>
    <col min="1018" max="1018" width="31.5703125" style="1" customWidth="1"/>
    <col min="1019" max="1019" width="7.28515625" style="1" customWidth="1"/>
    <col min="1020" max="1020" width="11.85546875" style="1" customWidth="1"/>
    <col min="1021" max="1021" width="9.5703125" style="1" bestFit="1" customWidth="1"/>
    <col min="1022" max="1022" width="10.5703125" style="1" customWidth="1"/>
    <col min="1023" max="1023" width="11.28515625" style="1" customWidth="1"/>
    <col min="1024" max="1024" width="11.42578125" style="1" bestFit="1" customWidth="1"/>
    <col min="1025" max="1025" width="11.7109375" style="1" customWidth="1"/>
    <col min="1026" max="1026" width="13.85546875" style="1" customWidth="1"/>
    <col min="1027" max="1272" width="9.140625" style="1"/>
    <col min="1273" max="1273" width="6.140625" style="1" customWidth="1"/>
    <col min="1274" max="1274" width="31.5703125" style="1" customWidth="1"/>
    <col min="1275" max="1275" width="7.28515625" style="1" customWidth="1"/>
    <col min="1276" max="1276" width="11.85546875" style="1" customWidth="1"/>
    <col min="1277" max="1277" width="9.5703125" style="1" bestFit="1" customWidth="1"/>
    <col min="1278" max="1278" width="10.5703125" style="1" customWidth="1"/>
    <col min="1279" max="1279" width="11.28515625" style="1" customWidth="1"/>
    <col min="1280" max="1280" width="11.42578125" style="1" bestFit="1" customWidth="1"/>
    <col min="1281" max="1281" width="11.7109375" style="1" customWidth="1"/>
    <col min="1282" max="1282" width="13.85546875" style="1" customWidth="1"/>
    <col min="1283" max="1528" width="9.140625" style="1"/>
    <col min="1529" max="1529" width="6.140625" style="1" customWidth="1"/>
    <col min="1530" max="1530" width="31.5703125" style="1" customWidth="1"/>
    <col min="1531" max="1531" width="7.28515625" style="1" customWidth="1"/>
    <col min="1532" max="1532" width="11.85546875" style="1" customWidth="1"/>
    <col min="1533" max="1533" width="9.5703125" style="1" bestFit="1" customWidth="1"/>
    <col min="1534" max="1534" width="10.5703125" style="1" customWidth="1"/>
    <col min="1535" max="1535" width="11.28515625" style="1" customWidth="1"/>
    <col min="1536" max="1536" width="11.42578125" style="1" bestFit="1" customWidth="1"/>
    <col min="1537" max="1537" width="11.7109375" style="1" customWidth="1"/>
    <col min="1538" max="1538" width="13.85546875" style="1" customWidth="1"/>
    <col min="1539" max="1784" width="9.140625" style="1"/>
    <col min="1785" max="1785" width="6.140625" style="1" customWidth="1"/>
    <col min="1786" max="1786" width="31.5703125" style="1" customWidth="1"/>
    <col min="1787" max="1787" width="7.28515625" style="1" customWidth="1"/>
    <col min="1788" max="1788" width="11.85546875" style="1" customWidth="1"/>
    <col min="1789" max="1789" width="9.5703125" style="1" bestFit="1" customWidth="1"/>
    <col min="1790" max="1790" width="10.5703125" style="1" customWidth="1"/>
    <col min="1791" max="1791" width="11.28515625" style="1" customWidth="1"/>
    <col min="1792" max="1792" width="11.42578125" style="1" bestFit="1" customWidth="1"/>
    <col min="1793" max="1793" width="11.7109375" style="1" customWidth="1"/>
    <col min="1794" max="1794" width="13.85546875" style="1" customWidth="1"/>
    <col min="1795" max="2040" width="9.140625" style="1"/>
    <col min="2041" max="2041" width="6.140625" style="1" customWidth="1"/>
    <col min="2042" max="2042" width="31.5703125" style="1" customWidth="1"/>
    <col min="2043" max="2043" width="7.28515625" style="1" customWidth="1"/>
    <col min="2044" max="2044" width="11.85546875" style="1" customWidth="1"/>
    <col min="2045" max="2045" width="9.5703125" style="1" bestFit="1" customWidth="1"/>
    <col min="2046" max="2046" width="10.5703125" style="1" customWidth="1"/>
    <col min="2047" max="2047" width="11.28515625" style="1" customWidth="1"/>
    <col min="2048" max="2048" width="11.42578125" style="1" bestFit="1" customWidth="1"/>
    <col min="2049" max="2049" width="11.7109375" style="1" customWidth="1"/>
    <col min="2050" max="2050" width="13.85546875" style="1" customWidth="1"/>
    <col min="2051" max="2296" width="9.140625" style="1"/>
    <col min="2297" max="2297" width="6.140625" style="1" customWidth="1"/>
    <col min="2298" max="2298" width="31.5703125" style="1" customWidth="1"/>
    <col min="2299" max="2299" width="7.28515625" style="1" customWidth="1"/>
    <col min="2300" max="2300" width="11.85546875" style="1" customWidth="1"/>
    <col min="2301" max="2301" width="9.5703125" style="1" bestFit="1" customWidth="1"/>
    <col min="2302" max="2302" width="10.5703125" style="1" customWidth="1"/>
    <col min="2303" max="2303" width="11.28515625" style="1" customWidth="1"/>
    <col min="2304" max="2304" width="11.42578125" style="1" bestFit="1" customWidth="1"/>
    <col min="2305" max="2305" width="11.7109375" style="1" customWidth="1"/>
    <col min="2306" max="2306" width="13.85546875" style="1" customWidth="1"/>
    <col min="2307" max="2552" width="9.140625" style="1"/>
    <col min="2553" max="2553" width="6.140625" style="1" customWidth="1"/>
    <col min="2554" max="2554" width="31.5703125" style="1" customWidth="1"/>
    <col min="2555" max="2555" width="7.28515625" style="1" customWidth="1"/>
    <col min="2556" max="2556" width="11.85546875" style="1" customWidth="1"/>
    <col min="2557" max="2557" width="9.5703125" style="1" bestFit="1" customWidth="1"/>
    <col min="2558" max="2558" width="10.5703125" style="1" customWidth="1"/>
    <col min="2559" max="2559" width="11.28515625" style="1" customWidth="1"/>
    <col min="2560" max="2560" width="11.42578125" style="1" bestFit="1" customWidth="1"/>
    <col min="2561" max="2561" width="11.7109375" style="1" customWidth="1"/>
    <col min="2562" max="2562" width="13.85546875" style="1" customWidth="1"/>
    <col min="2563" max="2808" width="9.140625" style="1"/>
    <col min="2809" max="2809" width="6.140625" style="1" customWidth="1"/>
    <col min="2810" max="2810" width="31.5703125" style="1" customWidth="1"/>
    <col min="2811" max="2811" width="7.28515625" style="1" customWidth="1"/>
    <col min="2812" max="2812" width="11.85546875" style="1" customWidth="1"/>
    <col min="2813" max="2813" width="9.5703125" style="1" bestFit="1" customWidth="1"/>
    <col min="2814" max="2814" width="10.5703125" style="1" customWidth="1"/>
    <col min="2815" max="2815" width="11.28515625" style="1" customWidth="1"/>
    <col min="2816" max="2816" width="11.42578125" style="1" bestFit="1" customWidth="1"/>
    <col min="2817" max="2817" width="11.7109375" style="1" customWidth="1"/>
    <col min="2818" max="2818" width="13.85546875" style="1" customWidth="1"/>
    <col min="2819" max="3064" width="9.140625" style="1"/>
    <col min="3065" max="3065" width="6.140625" style="1" customWidth="1"/>
    <col min="3066" max="3066" width="31.5703125" style="1" customWidth="1"/>
    <col min="3067" max="3067" width="7.28515625" style="1" customWidth="1"/>
    <col min="3068" max="3068" width="11.85546875" style="1" customWidth="1"/>
    <col min="3069" max="3069" width="9.5703125" style="1" bestFit="1" customWidth="1"/>
    <col min="3070" max="3070" width="10.5703125" style="1" customWidth="1"/>
    <col min="3071" max="3071" width="11.28515625" style="1" customWidth="1"/>
    <col min="3072" max="3072" width="11.42578125" style="1" bestFit="1" customWidth="1"/>
    <col min="3073" max="3073" width="11.7109375" style="1" customWidth="1"/>
    <col min="3074" max="3074" width="13.85546875" style="1" customWidth="1"/>
    <col min="3075" max="3320" width="9.140625" style="1"/>
    <col min="3321" max="3321" width="6.140625" style="1" customWidth="1"/>
    <col min="3322" max="3322" width="31.5703125" style="1" customWidth="1"/>
    <col min="3323" max="3323" width="7.28515625" style="1" customWidth="1"/>
    <col min="3324" max="3324" width="11.85546875" style="1" customWidth="1"/>
    <col min="3325" max="3325" width="9.5703125" style="1" bestFit="1" customWidth="1"/>
    <col min="3326" max="3326" width="10.5703125" style="1" customWidth="1"/>
    <col min="3327" max="3327" width="11.28515625" style="1" customWidth="1"/>
    <col min="3328" max="3328" width="11.42578125" style="1" bestFit="1" customWidth="1"/>
    <col min="3329" max="3329" width="11.7109375" style="1" customWidth="1"/>
    <col min="3330" max="3330" width="13.85546875" style="1" customWidth="1"/>
    <col min="3331" max="3576" width="9.140625" style="1"/>
    <col min="3577" max="3577" width="6.140625" style="1" customWidth="1"/>
    <col min="3578" max="3578" width="31.5703125" style="1" customWidth="1"/>
    <col min="3579" max="3579" width="7.28515625" style="1" customWidth="1"/>
    <col min="3580" max="3580" width="11.85546875" style="1" customWidth="1"/>
    <col min="3581" max="3581" width="9.5703125" style="1" bestFit="1" customWidth="1"/>
    <col min="3582" max="3582" width="10.5703125" style="1" customWidth="1"/>
    <col min="3583" max="3583" width="11.28515625" style="1" customWidth="1"/>
    <col min="3584" max="3584" width="11.42578125" style="1" bestFit="1" customWidth="1"/>
    <col min="3585" max="3585" width="11.7109375" style="1" customWidth="1"/>
    <col min="3586" max="3586" width="13.85546875" style="1" customWidth="1"/>
    <col min="3587" max="3832" width="9.140625" style="1"/>
    <col min="3833" max="3833" width="6.140625" style="1" customWidth="1"/>
    <col min="3834" max="3834" width="31.5703125" style="1" customWidth="1"/>
    <col min="3835" max="3835" width="7.28515625" style="1" customWidth="1"/>
    <col min="3836" max="3836" width="11.85546875" style="1" customWidth="1"/>
    <col min="3837" max="3837" width="9.5703125" style="1" bestFit="1" customWidth="1"/>
    <col min="3838" max="3838" width="10.5703125" style="1" customWidth="1"/>
    <col min="3839" max="3839" width="11.28515625" style="1" customWidth="1"/>
    <col min="3840" max="3840" width="11.42578125" style="1" bestFit="1" customWidth="1"/>
    <col min="3841" max="3841" width="11.7109375" style="1" customWidth="1"/>
    <col min="3842" max="3842" width="13.85546875" style="1" customWidth="1"/>
    <col min="3843" max="4088" width="9.140625" style="1"/>
    <col min="4089" max="4089" width="6.140625" style="1" customWidth="1"/>
    <col min="4090" max="4090" width="31.5703125" style="1" customWidth="1"/>
    <col min="4091" max="4091" width="7.28515625" style="1" customWidth="1"/>
    <col min="4092" max="4092" width="11.85546875" style="1" customWidth="1"/>
    <col min="4093" max="4093" width="9.5703125" style="1" bestFit="1" customWidth="1"/>
    <col min="4094" max="4094" width="10.5703125" style="1" customWidth="1"/>
    <col min="4095" max="4095" width="11.28515625" style="1" customWidth="1"/>
    <col min="4096" max="4096" width="11.42578125" style="1" bestFit="1" customWidth="1"/>
    <col min="4097" max="4097" width="11.7109375" style="1" customWidth="1"/>
    <col min="4098" max="4098" width="13.85546875" style="1" customWidth="1"/>
    <col min="4099" max="4344" width="9.140625" style="1"/>
    <col min="4345" max="4345" width="6.140625" style="1" customWidth="1"/>
    <col min="4346" max="4346" width="31.5703125" style="1" customWidth="1"/>
    <col min="4347" max="4347" width="7.28515625" style="1" customWidth="1"/>
    <col min="4348" max="4348" width="11.85546875" style="1" customWidth="1"/>
    <col min="4349" max="4349" width="9.5703125" style="1" bestFit="1" customWidth="1"/>
    <col min="4350" max="4350" width="10.5703125" style="1" customWidth="1"/>
    <col min="4351" max="4351" width="11.28515625" style="1" customWidth="1"/>
    <col min="4352" max="4352" width="11.42578125" style="1" bestFit="1" customWidth="1"/>
    <col min="4353" max="4353" width="11.7109375" style="1" customWidth="1"/>
    <col min="4354" max="4354" width="13.85546875" style="1" customWidth="1"/>
    <col min="4355" max="4600" width="9.140625" style="1"/>
    <col min="4601" max="4601" width="6.140625" style="1" customWidth="1"/>
    <col min="4602" max="4602" width="31.5703125" style="1" customWidth="1"/>
    <col min="4603" max="4603" width="7.28515625" style="1" customWidth="1"/>
    <col min="4604" max="4604" width="11.85546875" style="1" customWidth="1"/>
    <col min="4605" max="4605" width="9.5703125" style="1" bestFit="1" customWidth="1"/>
    <col min="4606" max="4606" width="10.5703125" style="1" customWidth="1"/>
    <col min="4607" max="4607" width="11.28515625" style="1" customWidth="1"/>
    <col min="4608" max="4608" width="11.42578125" style="1" bestFit="1" customWidth="1"/>
    <col min="4609" max="4609" width="11.7109375" style="1" customWidth="1"/>
    <col min="4610" max="4610" width="13.85546875" style="1" customWidth="1"/>
    <col min="4611" max="4856" width="9.140625" style="1"/>
    <col min="4857" max="4857" width="6.140625" style="1" customWidth="1"/>
    <col min="4858" max="4858" width="31.5703125" style="1" customWidth="1"/>
    <col min="4859" max="4859" width="7.28515625" style="1" customWidth="1"/>
    <col min="4860" max="4860" width="11.85546875" style="1" customWidth="1"/>
    <col min="4861" max="4861" width="9.5703125" style="1" bestFit="1" customWidth="1"/>
    <col min="4862" max="4862" width="10.5703125" style="1" customWidth="1"/>
    <col min="4863" max="4863" width="11.28515625" style="1" customWidth="1"/>
    <col min="4864" max="4864" width="11.42578125" style="1" bestFit="1" customWidth="1"/>
    <col min="4865" max="4865" width="11.7109375" style="1" customWidth="1"/>
    <col min="4866" max="4866" width="13.85546875" style="1" customWidth="1"/>
    <col min="4867" max="5112" width="9.140625" style="1"/>
    <col min="5113" max="5113" width="6.140625" style="1" customWidth="1"/>
    <col min="5114" max="5114" width="31.5703125" style="1" customWidth="1"/>
    <col min="5115" max="5115" width="7.28515625" style="1" customWidth="1"/>
    <col min="5116" max="5116" width="11.85546875" style="1" customWidth="1"/>
    <col min="5117" max="5117" width="9.5703125" style="1" bestFit="1" customWidth="1"/>
    <col min="5118" max="5118" width="10.5703125" style="1" customWidth="1"/>
    <col min="5119" max="5119" width="11.28515625" style="1" customWidth="1"/>
    <col min="5120" max="5120" width="11.42578125" style="1" bestFit="1" customWidth="1"/>
    <col min="5121" max="5121" width="11.7109375" style="1" customWidth="1"/>
    <col min="5122" max="5122" width="13.85546875" style="1" customWidth="1"/>
    <col min="5123" max="5368" width="9.140625" style="1"/>
    <col min="5369" max="5369" width="6.140625" style="1" customWidth="1"/>
    <col min="5370" max="5370" width="31.5703125" style="1" customWidth="1"/>
    <col min="5371" max="5371" width="7.28515625" style="1" customWidth="1"/>
    <col min="5372" max="5372" width="11.85546875" style="1" customWidth="1"/>
    <col min="5373" max="5373" width="9.5703125" style="1" bestFit="1" customWidth="1"/>
    <col min="5374" max="5374" width="10.5703125" style="1" customWidth="1"/>
    <col min="5375" max="5375" width="11.28515625" style="1" customWidth="1"/>
    <col min="5376" max="5376" width="11.42578125" style="1" bestFit="1" customWidth="1"/>
    <col min="5377" max="5377" width="11.7109375" style="1" customWidth="1"/>
    <col min="5378" max="5378" width="13.85546875" style="1" customWidth="1"/>
    <col min="5379" max="5624" width="9.140625" style="1"/>
    <col min="5625" max="5625" width="6.140625" style="1" customWidth="1"/>
    <col min="5626" max="5626" width="31.5703125" style="1" customWidth="1"/>
    <col min="5627" max="5627" width="7.28515625" style="1" customWidth="1"/>
    <col min="5628" max="5628" width="11.85546875" style="1" customWidth="1"/>
    <col min="5629" max="5629" width="9.5703125" style="1" bestFit="1" customWidth="1"/>
    <col min="5630" max="5630" width="10.5703125" style="1" customWidth="1"/>
    <col min="5631" max="5631" width="11.28515625" style="1" customWidth="1"/>
    <col min="5632" max="5632" width="11.42578125" style="1" bestFit="1" customWidth="1"/>
    <col min="5633" max="5633" width="11.7109375" style="1" customWidth="1"/>
    <col min="5634" max="5634" width="13.85546875" style="1" customWidth="1"/>
    <col min="5635" max="5880" width="9.140625" style="1"/>
    <col min="5881" max="5881" width="6.140625" style="1" customWidth="1"/>
    <col min="5882" max="5882" width="31.5703125" style="1" customWidth="1"/>
    <col min="5883" max="5883" width="7.28515625" style="1" customWidth="1"/>
    <col min="5884" max="5884" width="11.85546875" style="1" customWidth="1"/>
    <col min="5885" max="5885" width="9.5703125" style="1" bestFit="1" customWidth="1"/>
    <col min="5886" max="5886" width="10.5703125" style="1" customWidth="1"/>
    <col min="5887" max="5887" width="11.28515625" style="1" customWidth="1"/>
    <col min="5888" max="5888" width="11.42578125" style="1" bestFit="1" customWidth="1"/>
    <col min="5889" max="5889" width="11.7109375" style="1" customWidth="1"/>
    <col min="5890" max="5890" width="13.85546875" style="1" customWidth="1"/>
    <col min="5891" max="6136" width="9.140625" style="1"/>
    <col min="6137" max="6137" width="6.140625" style="1" customWidth="1"/>
    <col min="6138" max="6138" width="31.5703125" style="1" customWidth="1"/>
    <col min="6139" max="6139" width="7.28515625" style="1" customWidth="1"/>
    <col min="6140" max="6140" width="11.85546875" style="1" customWidth="1"/>
    <col min="6141" max="6141" width="9.5703125" style="1" bestFit="1" customWidth="1"/>
    <col min="6142" max="6142" width="10.5703125" style="1" customWidth="1"/>
    <col min="6143" max="6143" width="11.28515625" style="1" customWidth="1"/>
    <col min="6144" max="6144" width="11.42578125" style="1" bestFit="1" customWidth="1"/>
    <col min="6145" max="6145" width="11.7109375" style="1" customWidth="1"/>
    <col min="6146" max="6146" width="13.85546875" style="1" customWidth="1"/>
    <col min="6147" max="6392" width="9.140625" style="1"/>
    <col min="6393" max="6393" width="6.140625" style="1" customWidth="1"/>
    <col min="6394" max="6394" width="31.5703125" style="1" customWidth="1"/>
    <col min="6395" max="6395" width="7.28515625" style="1" customWidth="1"/>
    <col min="6396" max="6396" width="11.85546875" style="1" customWidth="1"/>
    <col min="6397" max="6397" width="9.5703125" style="1" bestFit="1" customWidth="1"/>
    <col min="6398" max="6398" width="10.5703125" style="1" customWidth="1"/>
    <col min="6399" max="6399" width="11.28515625" style="1" customWidth="1"/>
    <col min="6400" max="6400" width="11.42578125" style="1" bestFit="1" customWidth="1"/>
    <col min="6401" max="6401" width="11.7109375" style="1" customWidth="1"/>
    <col min="6402" max="6402" width="13.85546875" style="1" customWidth="1"/>
    <col min="6403" max="6648" width="9.140625" style="1"/>
    <col min="6649" max="6649" width="6.140625" style="1" customWidth="1"/>
    <col min="6650" max="6650" width="31.5703125" style="1" customWidth="1"/>
    <col min="6651" max="6651" width="7.28515625" style="1" customWidth="1"/>
    <col min="6652" max="6652" width="11.85546875" style="1" customWidth="1"/>
    <col min="6653" max="6653" width="9.5703125" style="1" bestFit="1" customWidth="1"/>
    <col min="6654" max="6654" width="10.5703125" style="1" customWidth="1"/>
    <col min="6655" max="6655" width="11.28515625" style="1" customWidth="1"/>
    <col min="6656" max="6656" width="11.42578125" style="1" bestFit="1" customWidth="1"/>
    <col min="6657" max="6657" width="11.7109375" style="1" customWidth="1"/>
    <col min="6658" max="6658" width="13.85546875" style="1" customWidth="1"/>
    <col min="6659" max="6904" width="9.140625" style="1"/>
    <col min="6905" max="6905" width="6.140625" style="1" customWidth="1"/>
    <col min="6906" max="6906" width="31.5703125" style="1" customWidth="1"/>
    <col min="6907" max="6907" width="7.28515625" style="1" customWidth="1"/>
    <col min="6908" max="6908" width="11.85546875" style="1" customWidth="1"/>
    <col min="6909" max="6909" width="9.5703125" style="1" bestFit="1" customWidth="1"/>
    <col min="6910" max="6910" width="10.5703125" style="1" customWidth="1"/>
    <col min="6911" max="6911" width="11.28515625" style="1" customWidth="1"/>
    <col min="6912" max="6912" width="11.42578125" style="1" bestFit="1" customWidth="1"/>
    <col min="6913" max="6913" width="11.7109375" style="1" customWidth="1"/>
    <col min="6914" max="6914" width="13.85546875" style="1" customWidth="1"/>
    <col min="6915" max="7160" width="9.140625" style="1"/>
    <col min="7161" max="7161" width="6.140625" style="1" customWidth="1"/>
    <col min="7162" max="7162" width="31.5703125" style="1" customWidth="1"/>
    <col min="7163" max="7163" width="7.28515625" style="1" customWidth="1"/>
    <col min="7164" max="7164" width="11.85546875" style="1" customWidth="1"/>
    <col min="7165" max="7165" width="9.5703125" style="1" bestFit="1" customWidth="1"/>
    <col min="7166" max="7166" width="10.5703125" style="1" customWidth="1"/>
    <col min="7167" max="7167" width="11.28515625" style="1" customWidth="1"/>
    <col min="7168" max="7168" width="11.42578125" style="1" bestFit="1" customWidth="1"/>
    <col min="7169" max="7169" width="11.7109375" style="1" customWidth="1"/>
    <col min="7170" max="7170" width="13.85546875" style="1" customWidth="1"/>
    <col min="7171" max="7416" width="9.140625" style="1"/>
    <col min="7417" max="7417" width="6.140625" style="1" customWidth="1"/>
    <col min="7418" max="7418" width="31.5703125" style="1" customWidth="1"/>
    <col min="7419" max="7419" width="7.28515625" style="1" customWidth="1"/>
    <col min="7420" max="7420" width="11.85546875" style="1" customWidth="1"/>
    <col min="7421" max="7421" width="9.5703125" style="1" bestFit="1" customWidth="1"/>
    <col min="7422" max="7422" width="10.5703125" style="1" customWidth="1"/>
    <col min="7423" max="7423" width="11.28515625" style="1" customWidth="1"/>
    <col min="7424" max="7424" width="11.42578125" style="1" bestFit="1" customWidth="1"/>
    <col min="7425" max="7425" width="11.7109375" style="1" customWidth="1"/>
    <col min="7426" max="7426" width="13.85546875" style="1" customWidth="1"/>
    <col min="7427" max="7672" width="9.140625" style="1"/>
    <col min="7673" max="7673" width="6.140625" style="1" customWidth="1"/>
    <col min="7674" max="7674" width="31.5703125" style="1" customWidth="1"/>
    <col min="7675" max="7675" width="7.28515625" style="1" customWidth="1"/>
    <col min="7676" max="7676" width="11.85546875" style="1" customWidth="1"/>
    <col min="7677" max="7677" width="9.5703125" style="1" bestFit="1" customWidth="1"/>
    <col min="7678" max="7678" width="10.5703125" style="1" customWidth="1"/>
    <col min="7679" max="7679" width="11.28515625" style="1" customWidth="1"/>
    <col min="7680" max="7680" width="11.42578125" style="1" bestFit="1" customWidth="1"/>
    <col min="7681" max="7681" width="11.7109375" style="1" customWidth="1"/>
    <col min="7682" max="7682" width="13.85546875" style="1" customWidth="1"/>
    <col min="7683" max="7928" width="9.140625" style="1"/>
    <col min="7929" max="7929" width="6.140625" style="1" customWidth="1"/>
    <col min="7930" max="7930" width="31.5703125" style="1" customWidth="1"/>
    <col min="7931" max="7931" width="7.28515625" style="1" customWidth="1"/>
    <col min="7932" max="7932" width="11.85546875" style="1" customWidth="1"/>
    <col min="7933" max="7933" width="9.5703125" style="1" bestFit="1" customWidth="1"/>
    <col min="7934" max="7934" width="10.5703125" style="1" customWidth="1"/>
    <col min="7935" max="7935" width="11.28515625" style="1" customWidth="1"/>
    <col min="7936" max="7936" width="11.42578125" style="1" bestFit="1" customWidth="1"/>
    <col min="7937" max="7937" width="11.7109375" style="1" customWidth="1"/>
    <col min="7938" max="7938" width="13.85546875" style="1" customWidth="1"/>
    <col min="7939" max="8184" width="9.140625" style="1"/>
    <col min="8185" max="8185" width="6.140625" style="1" customWidth="1"/>
    <col min="8186" max="8186" width="31.5703125" style="1" customWidth="1"/>
    <col min="8187" max="8187" width="7.28515625" style="1" customWidth="1"/>
    <col min="8188" max="8188" width="11.85546875" style="1" customWidth="1"/>
    <col min="8189" max="8189" width="9.5703125" style="1" bestFit="1" customWidth="1"/>
    <col min="8190" max="8190" width="10.5703125" style="1" customWidth="1"/>
    <col min="8191" max="8191" width="11.28515625" style="1" customWidth="1"/>
    <col min="8192" max="8192" width="11.42578125" style="1" bestFit="1" customWidth="1"/>
    <col min="8193" max="8193" width="11.7109375" style="1" customWidth="1"/>
    <col min="8194" max="8194" width="13.85546875" style="1" customWidth="1"/>
    <col min="8195" max="8440" width="9.140625" style="1"/>
    <col min="8441" max="8441" width="6.140625" style="1" customWidth="1"/>
    <col min="8442" max="8442" width="31.5703125" style="1" customWidth="1"/>
    <col min="8443" max="8443" width="7.28515625" style="1" customWidth="1"/>
    <col min="8444" max="8444" width="11.85546875" style="1" customWidth="1"/>
    <col min="8445" max="8445" width="9.5703125" style="1" bestFit="1" customWidth="1"/>
    <col min="8446" max="8446" width="10.5703125" style="1" customWidth="1"/>
    <col min="8447" max="8447" width="11.28515625" style="1" customWidth="1"/>
    <col min="8448" max="8448" width="11.42578125" style="1" bestFit="1" customWidth="1"/>
    <col min="8449" max="8449" width="11.7109375" style="1" customWidth="1"/>
    <col min="8450" max="8450" width="13.85546875" style="1" customWidth="1"/>
    <col min="8451" max="8696" width="9.140625" style="1"/>
    <col min="8697" max="8697" width="6.140625" style="1" customWidth="1"/>
    <col min="8698" max="8698" width="31.5703125" style="1" customWidth="1"/>
    <col min="8699" max="8699" width="7.28515625" style="1" customWidth="1"/>
    <col min="8700" max="8700" width="11.85546875" style="1" customWidth="1"/>
    <col min="8701" max="8701" width="9.5703125" style="1" bestFit="1" customWidth="1"/>
    <col min="8702" max="8702" width="10.5703125" style="1" customWidth="1"/>
    <col min="8703" max="8703" width="11.28515625" style="1" customWidth="1"/>
    <col min="8704" max="8704" width="11.42578125" style="1" bestFit="1" customWidth="1"/>
    <col min="8705" max="8705" width="11.7109375" style="1" customWidth="1"/>
    <col min="8706" max="8706" width="13.85546875" style="1" customWidth="1"/>
    <col min="8707" max="8952" width="9.140625" style="1"/>
    <col min="8953" max="8953" width="6.140625" style="1" customWidth="1"/>
    <col min="8954" max="8954" width="31.5703125" style="1" customWidth="1"/>
    <col min="8955" max="8955" width="7.28515625" style="1" customWidth="1"/>
    <col min="8956" max="8956" width="11.85546875" style="1" customWidth="1"/>
    <col min="8957" max="8957" width="9.5703125" style="1" bestFit="1" customWidth="1"/>
    <col min="8958" max="8958" width="10.5703125" style="1" customWidth="1"/>
    <col min="8959" max="8959" width="11.28515625" style="1" customWidth="1"/>
    <col min="8960" max="8960" width="11.42578125" style="1" bestFit="1" customWidth="1"/>
    <col min="8961" max="8961" width="11.7109375" style="1" customWidth="1"/>
    <col min="8962" max="8962" width="13.85546875" style="1" customWidth="1"/>
    <col min="8963" max="9208" width="9.140625" style="1"/>
    <col min="9209" max="9209" width="6.140625" style="1" customWidth="1"/>
    <col min="9210" max="9210" width="31.5703125" style="1" customWidth="1"/>
    <col min="9211" max="9211" width="7.28515625" style="1" customWidth="1"/>
    <col min="9212" max="9212" width="11.85546875" style="1" customWidth="1"/>
    <col min="9213" max="9213" width="9.5703125" style="1" bestFit="1" customWidth="1"/>
    <col min="9214" max="9214" width="10.5703125" style="1" customWidth="1"/>
    <col min="9215" max="9215" width="11.28515625" style="1" customWidth="1"/>
    <col min="9216" max="9216" width="11.42578125" style="1" bestFit="1" customWidth="1"/>
    <col min="9217" max="9217" width="11.7109375" style="1" customWidth="1"/>
    <col min="9218" max="9218" width="13.85546875" style="1" customWidth="1"/>
    <col min="9219" max="9464" width="9.140625" style="1"/>
    <col min="9465" max="9465" width="6.140625" style="1" customWidth="1"/>
    <col min="9466" max="9466" width="31.5703125" style="1" customWidth="1"/>
    <col min="9467" max="9467" width="7.28515625" style="1" customWidth="1"/>
    <col min="9468" max="9468" width="11.85546875" style="1" customWidth="1"/>
    <col min="9469" max="9469" width="9.5703125" style="1" bestFit="1" customWidth="1"/>
    <col min="9470" max="9470" width="10.5703125" style="1" customWidth="1"/>
    <col min="9471" max="9471" width="11.28515625" style="1" customWidth="1"/>
    <col min="9472" max="9472" width="11.42578125" style="1" bestFit="1" customWidth="1"/>
    <col min="9473" max="9473" width="11.7109375" style="1" customWidth="1"/>
    <col min="9474" max="9474" width="13.85546875" style="1" customWidth="1"/>
    <col min="9475" max="9720" width="9.140625" style="1"/>
    <col min="9721" max="9721" width="6.140625" style="1" customWidth="1"/>
    <col min="9722" max="9722" width="31.5703125" style="1" customWidth="1"/>
    <col min="9723" max="9723" width="7.28515625" style="1" customWidth="1"/>
    <col min="9724" max="9724" width="11.85546875" style="1" customWidth="1"/>
    <col min="9725" max="9725" width="9.5703125" style="1" bestFit="1" customWidth="1"/>
    <col min="9726" max="9726" width="10.5703125" style="1" customWidth="1"/>
    <col min="9727" max="9727" width="11.28515625" style="1" customWidth="1"/>
    <col min="9728" max="9728" width="11.42578125" style="1" bestFit="1" customWidth="1"/>
    <col min="9729" max="9729" width="11.7109375" style="1" customWidth="1"/>
    <col min="9730" max="9730" width="13.85546875" style="1" customWidth="1"/>
    <col min="9731" max="9976" width="9.140625" style="1"/>
    <col min="9977" max="9977" width="6.140625" style="1" customWidth="1"/>
    <col min="9978" max="9978" width="31.5703125" style="1" customWidth="1"/>
    <col min="9979" max="9979" width="7.28515625" style="1" customWidth="1"/>
    <col min="9980" max="9980" width="11.85546875" style="1" customWidth="1"/>
    <col min="9981" max="9981" width="9.5703125" style="1" bestFit="1" customWidth="1"/>
    <col min="9982" max="9982" width="10.5703125" style="1" customWidth="1"/>
    <col min="9983" max="9983" width="11.28515625" style="1" customWidth="1"/>
    <col min="9984" max="9984" width="11.42578125" style="1" bestFit="1" customWidth="1"/>
    <col min="9985" max="9985" width="11.7109375" style="1" customWidth="1"/>
    <col min="9986" max="9986" width="13.85546875" style="1" customWidth="1"/>
    <col min="9987" max="10232" width="9.140625" style="1"/>
    <col min="10233" max="10233" width="6.140625" style="1" customWidth="1"/>
    <col min="10234" max="10234" width="31.5703125" style="1" customWidth="1"/>
    <col min="10235" max="10235" width="7.28515625" style="1" customWidth="1"/>
    <col min="10236" max="10236" width="11.85546875" style="1" customWidth="1"/>
    <col min="10237" max="10237" width="9.5703125" style="1" bestFit="1" customWidth="1"/>
    <col min="10238" max="10238" width="10.5703125" style="1" customWidth="1"/>
    <col min="10239" max="10239" width="11.28515625" style="1" customWidth="1"/>
    <col min="10240" max="10240" width="11.42578125" style="1" bestFit="1" customWidth="1"/>
    <col min="10241" max="10241" width="11.7109375" style="1" customWidth="1"/>
    <col min="10242" max="10242" width="13.85546875" style="1" customWidth="1"/>
    <col min="10243" max="10488" width="9.140625" style="1"/>
    <col min="10489" max="10489" width="6.140625" style="1" customWidth="1"/>
    <col min="10490" max="10490" width="31.5703125" style="1" customWidth="1"/>
    <col min="10491" max="10491" width="7.28515625" style="1" customWidth="1"/>
    <col min="10492" max="10492" width="11.85546875" style="1" customWidth="1"/>
    <col min="10493" max="10493" width="9.5703125" style="1" bestFit="1" customWidth="1"/>
    <col min="10494" max="10494" width="10.5703125" style="1" customWidth="1"/>
    <col min="10495" max="10495" width="11.28515625" style="1" customWidth="1"/>
    <col min="10496" max="10496" width="11.42578125" style="1" bestFit="1" customWidth="1"/>
    <col min="10497" max="10497" width="11.7109375" style="1" customWidth="1"/>
    <col min="10498" max="10498" width="13.85546875" style="1" customWidth="1"/>
    <col min="10499" max="10744" width="9.140625" style="1"/>
    <col min="10745" max="10745" width="6.140625" style="1" customWidth="1"/>
    <col min="10746" max="10746" width="31.5703125" style="1" customWidth="1"/>
    <col min="10747" max="10747" width="7.28515625" style="1" customWidth="1"/>
    <col min="10748" max="10748" width="11.85546875" style="1" customWidth="1"/>
    <col min="10749" max="10749" width="9.5703125" style="1" bestFit="1" customWidth="1"/>
    <col min="10750" max="10750" width="10.5703125" style="1" customWidth="1"/>
    <col min="10751" max="10751" width="11.28515625" style="1" customWidth="1"/>
    <col min="10752" max="10752" width="11.42578125" style="1" bestFit="1" customWidth="1"/>
    <col min="10753" max="10753" width="11.7109375" style="1" customWidth="1"/>
    <col min="10754" max="10754" width="13.85546875" style="1" customWidth="1"/>
    <col min="10755" max="11000" width="9.140625" style="1"/>
    <col min="11001" max="11001" width="6.140625" style="1" customWidth="1"/>
    <col min="11002" max="11002" width="31.5703125" style="1" customWidth="1"/>
    <col min="11003" max="11003" width="7.28515625" style="1" customWidth="1"/>
    <col min="11004" max="11004" width="11.85546875" style="1" customWidth="1"/>
    <col min="11005" max="11005" width="9.5703125" style="1" bestFit="1" customWidth="1"/>
    <col min="11006" max="11006" width="10.5703125" style="1" customWidth="1"/>
    <col min="11007" max="11007" width="11.28515625" style="1" customWidth="1"/>
    <col min="11008" max="11008" width="11.42578125" style="1" bestFit="1" customWidth="1"/>
    <col min="11009" max="11009" width="11.7109375" style="1" customWidth="1"/>
    <col min="11010" max="11010" width="13.85546875" style="1" customWidth="1"/>
    <col min="11011" max="11256" width="9.140625" style="1"/>
    <col min="11257" max="11257" width="6.140625" style="1" customWidth="1"/>
    <col min="11258" max="11258" width="31.5703125" style="1" customWidth="1"/>
    <col min="11259" max="11259" width="7.28515625" style="1" customWidth="1"/>
    <col min="11260" max="11260" width="11.85546875" style="1" customWidth="1"/>
    <col min="11261" max="11261" width="9.5703125" style="1" bestFit="1" customWidth="1"/>
    <col min="11262" max="11262" width="10.5703125" style="1" customWidth="1"/>
    <col min="11263" max="11263" width="11.28515625" style="1" customWidth="1"/>
    <col min="11264" max="11264" width="11.42578125" style="1" bestFit="1" customWidth="1"/>
    <col min="11265" max="11265" width="11.7109375" style="1" customWidth="1"/>
    <col min="11266" max="11266" width="13.85546875" style="1" customWidth="1"/>
    <col min="11267" max="11512" width="9.140625" style="1"/>
    <col min="11513" max="11513" width="6.140625" style="1" customWidth="1"/>
    <col min="11514" max="11514" width="31.5703125" style="1" customWidth="1"/>
    <col min="11515" max="11515" width="7.28515625" style="1" customWidth="1"/>
    <col min="11516" max="11516" width="11.85546875" style="1" customWidth="1"/>
    <col min="11517" max="11517" width="9.5703125" style="1" bestFit="1" customWidth="1"/>
    <col min="11518" max="11518" width="10.5703125" style="1" customWidth="1"/>
    <col min="11519" max="11519" width="11.28515625" style="1" customWidth="1"/>
    <col min="11520" max="11520" width="11.42578125" style="1" bestFit="1" customWidth="1"/>
    <col min="11521" max="11521" width="11.7109375" style="1" customWidth="1"/>
    <col min="11522" max="11522" width="13.85546875" style="1" customWidth="1"/>
    <col min="11523" max="11768" width="9.140625" style="1"/>
    <col min="11769" max="11769" width="6.140625" style="1" customWidth="1"/>
    <col min="11770" max="11770" width="31.5703125" style="1" customWidth="1"/>
    <col min="11771" max="11771" width="7.28515625" style="1" customWidth="1"/>
    <col min="11772" max="11772" width="11.85546875" style="1" customWidth="1"/>
    <col min="11773" max="11773" width="9.5703125" style="1" bestFit="1" customWidth="1"/>
    <col min="11774" max="11774" width="10.5703125" style="1" customWidth="1"/>
    <col min="11775" max="11775" width="11.28515625" style="1" customWidth="1"/>
    <col min="11776" max="11776" width="11.42578125" style="1" bestFit="1" customWidth="1"/>
    <col min="11777" max="11777" width="11.7109375" style="1" customWidth="1"/>
    <col min="11778" max="11778" width="13.85546875" style="1" customWidth="1"/>
    <col min="11779" max="12024" width="9.140625" style="1"/>
    <col min="12025" max="12025" width="6.140625" style="1" customWidth="1"/>
    <col min="12026" max="12026" width="31.5703125" style="1" customWidth="1"/>
    <col min="12027" max="12027" width="7.28515625" style="1" customWidth="1"/>
    <col min="12028" max="12028" width="11.85546875" style="1" customWidth="1"/>
    <col min="12029" max="12029" width="9.5703125" style="1" bestFit="1" customWidth="1"/>
    <col min="12030" max="12030" width="10.5703125" style="1" customWidth="1"/>
    <col min="12031" max="12031" width="11.28515625" style="1" customWidth="1"/>
    <col min="12032" max="12032" width="11.42578125" style="1" bestFit="1" customWidth="1"/>
    <col min="12033" max="12033" width="11.7109375" style="1" customWidth="1"/>
    <col min="12034" max="12034" width="13.85546875" style="1" customWidth="1"/>
    <col min="12035" max="12280" width="9.140625" style="1"/>
    <col min="12281" max="12281" width="6.140625" style="1" customWidth="1"/>
    <col min="12282" max="12282" width="31.5703125" style="1" customWidth="1"/>
    <col min="12283" max="12283" width="7.28515625" style="1" customWidth="1"/>
    <col min="12284" max="12284" width="11.85546875" style="1" customWidth="1"/>
    <col min="12285" max="12285" width="9.5703125" style="1" bestFit="1" customWidth="1"/>
    <col min="12286" max="12286" width="10.5703125" style="1" customWidth="1"/>
    <col min="12287" max="12287" width="11.28515625" style="1" customWidth="1"/>
    <col min="12288" max="12288" width="11.42578125" style="1" bestFit="1" customWidth="1"/>
    <col min="12289" max="12289" width="11.7109375" style="1" customWidth="1"/>
    <col min="12290" max="12290" width="13.85546875" style="1" customWidth="1"/>
    <col min="12291" max="12536" width="9.140625" style="1"/>
    <col min="12537" max="12537" width="6.140625" style="1" customWidth="1"/>
    <col min="12538" max="12538" width="31.5703125" style="1" customWidth="1"/>
    <col min="12539" max="12539" width="7.28515625" style="1" customWidth="1"/>
    <col min="12540" max="12540" width="11.85546875" style="1" customWidth="1"/>
    <col min="12541" max="12541" width="9.5703125" style="1" bestFit="1" customWidth="1"/>
    <col min="12542" max="12542" width="10.5703125" style="1" customWidth="1"/>
    <col min="12543" max="12543" width="11.28515625" style="1" customWidth="1"/>
    <col min="12544" max="12544" width="11.42578125" style="1" bestFit="1" customWidth="1"/>
    <col min="12545" max="12545" width="11.7109375" style="1" customWidth="1"/>
    <col min="12546" max="12546" width="13.85546875" style="1" customWidth="1"/>
    <col min="12547" max="12792" width="9.140625" style="1"/>
    <col min="12793" max="12793" width="6.140625" style="1" customWidth="1"/>
    <col min="12794" max="12794" width="31.5703125" style="1" customWidth="1"/>
    <col min="12795" max="12795" width="7.28515625" style="1" customWidth="1"/>
    <col min="12796" max="12796" width="11.85546875" style="1" customWidth="1"/>
    <col min="12797" max="12797" width="9.5703125" style="1" bestFit="1" customWidth="1"/>
    <col min="12798" max="12798" width="10.5703125" style="1" customWidth="1"/>
    <col min="12799" max="12799" width="11.28515625" style="1" customWidth="1"/>
    <col min="12800" max="12800" width="11.42578125" style="1" bestFit="1" customWidth="1"/>
    <col min="12801" max="12801" width="11.7109375" style="1" customWidth="1"/>
    <col min="12802" max="12802" width="13.85546875" style="1" customWidth="1"/>
    <col min="12803" max="13048" width="9.140625" style="1"/>
    <col min="13049" max="13049" width="6.140625" style="1" customWidth="1"/>
    <col min="13050" max="13050" width="31.5703125" style="1" customWidth="1"/>
    <col min="13051" max="13051" width="7.28515625" style="1" customWidth="1"/>
    <col min="13052" max="13052" width="11.85546875" style="1" customWidth="1"/>
    <col min="13053" max="13053" width="9.5703125" style="1" bestFit="1" customWidth="1"/>
    <col min="13054" max="13054" width="10.5703125" style="1" customWidth="1"/>
    <col min="13055" max="13055" width="11.28515625" style="1" customWidth="1"/>
    <col min="13056" max="13056" width="11.42578125" style="1" bestFit="1" customWidth="1"/>
    <col min="13057" max="13057" width="11.7109375" style="1" customWidth="1"/>
    <col min="13058" max="13058" width="13.85546875" style="1" customWidth="1"/>
    <col min="13059" max="13304" width="9.140625" style="1"/>
    <col min="13305" max="13305" width="6.140625" style="1" customWidth="1"/>
    <col min="13306" max="13306" width="31.5703125" style="1" customWidth="1"/>
    <col min="13307" max="13307" width="7.28515625" style="1" customWidth="1"/>
    <col min="13308" max="13308" width="11.85546875" style="1" customWidth="1"/>
    <col min="13309" max="13309" width="9.5703125" style="1" bestFit="1" customWidth="1"/>
    <col min="13310" max="13310" width="10.5703125" style="1" customWidth="1"/>
    <col min="13311" max="13311" width="11.28515625" style="1" customWidth="1"/>
    <col min="13312" max="13312" width="11.42578125" style="1" bestFit="1" customWidth="1"/>
    <col min="13313" max="13313" width="11.7109375" style="1" customWidth="1"/>
    <col min="13314" max="13314" width="13.85546875" style="1" customWidth="1"/>
    <col min="13315" max="13560" width="9.140625" style="1"/>
    <col min="13561" max="13561" width="6.140625" style="1" customWidth="1"/>
    <col min="13562" max="13562" width="31.5703125" style="1" customWidth="1"/>
    <col min="13563" max="13563" width="7.28515625" style="1" customWidth="1"/>
    <col min="13564" max="13564" width="11.85546875" style="1" customWidth="1"/>
    <col min="13565" max="13565" width="9.5703125" style="1" bestFit="1" customWidth="1"/>
    <col min="13566" max="13566" width="10.5703125" style="1" customWidth="1"/>
    <col min="13567" max="13567" width="11.28515625" style="1" customWidth="1"/>
    <col min="13568" max="13568" width="11.42578125" style="1" bestFit="1" customWidth="1"/>
    <col min="13569" max="13569" width="11.7109375" style="1" customWidth="1"/>
    <col min="13570" max="13570" width="13.85546875" style="1" customWidth="1"/>
    <col min="13571" max="13816" width="9.140625" style="1"/>
    <col min="13817" max="13817" width="6.140625" style="1" customWidth="1"/>
    <col min="13818" max="13818" width="31.5703125" style="1" customWidth="1"/>
    <col min="13819" max="13819" width="7.28515625" style="1" customWidth="1"/>
    <col min="13820" max="13820" width="11.85546875" style="1" customWidth="1"/>
    <col min="13821" max="13821" width="9.5703125" style="1" bestFit="1" customWidth="1"/>
    <col min="13822" max="13822" width="10.5703125" style="1" customWidth="1"/>
    <col min="13823" max="13823" width="11.28515625" style="1" customWidth="1"/>
    <col min="13824" max="13824" width="11.42578125" style="1" bestFit="1" customWidth="1"/>
    <col min="13825" max="13825" width="11.7109375" style="1" customWidth="1"/>
    <col min="13826" max="13826" width="13.85546875" style="1" customWidth="1"/>
    <col min="13827" max="14072" width="9.140625" style="1"/>
    <col min="14073" max="14073" width="6.140625" style="1" customWidth="1"/>
    <col min="14074" max="14074" width="31.5703125" style="1" customWidth="1"/>
    <col min="14075" max="14075" width="7.28515625" style="1" customWidth="1"/>
    <col min="14076" max="14076" width="11.85546875" style="1" customWidth="1"/>
    <col min="14077" max="14077" width="9.5703125" style="1" bestFit="1" customWidth="1"/>
    <col min="14078" max="14078" width="10.5703125" style="1" customWidth="1"/>
    <col min="14079" max="14079" width="11.28515625" style="1" customWidth="1"/>
    <col min="14080" max="14080" width="11.42578125" style="1" bestFit="1" customWidth="1"/>
    <col min="14081" max="14081" width="11.7109375" style="1" customWidth="1"/>
    <col min="14082" max="14082" width="13.85546875" style="1" customWidth="1"/>
    <col min="14083" max="14328" width="9.140625" style="1"/>
    <col min="14329" max="14329" width="6.140625" style="1" customWidth="1"/>
    <col min="14330" max="14330" width="31.5703125" style="1" customWidth="1"/>
    <col min="14331" max="14331" width="7.28515625" style="1" customWidth="1"/>
    <col min="14332" max="14332" width="11.85546875" style="1" customWidth="1"/>
    <col min="14333" max="14333" width="9.5703125" style="1" bestFit="1" customWidth="1"/>
    <col min="14334" max="14334" width="10.5703125" style="1" customWidth="1"/>
    <col min="14335" max="14335" width="11.28515625" style="1" customWidth="1"/>
    <col min="14336" max="14336" width="11.42578125" style="1" bestFit="1" customWidth="1"/>
    <col min="14337" max="14337" width="11.7109375" style="1" customWidth="1"/>
    <col min="14338" max="14338" width="13.85546875" style="1" customWidth="1"/>
    <col min="14339" max="14584" width="9.140625" style="1"/>
    <col min="14585" max="14585" width="6.140625" style="1" customWidth="1"/>
    <col min="14586" max="14586" width="31.5703125" style="1" customWidth="1"/>
    <col min="14587" max="14587" width="7.28515625" style="1" customWidth="1"/>
    <col min="14588" max="14588" width="11.85546875" style="1" customWidth="1"/>
    <col min="14589" max="14589" width="9.5703125" style="1" bestFit="1" customWidth="1"/>
    <col min="14590" max="14590" width="10.5703125" style="1" customWidth="1"/>
    <col min="14591" max="14591" width="11.28515625" style="1" customWidth="1"/>
    <col min="14592" max="14592" width="11.42578125" style="1" bestFit="1" customWidth="1"/>
    <col min="14593" max="14593" width="11.7109375" style="1" customWidth="1"/>
    <col min="14594" max="14594" width="13.85546875" style="1" customWidth="1"/>
    <col min="14595" max="14840" width="9.140625" style="1"/>
    <col min="14841" max="14841" width="6.140625" style="1" customWidth="1"/>
    <col min="14842" max="14842" width="31.5703125" style="1" customWidth="1"/>
    <col min="14843" max="14843" width="7.28515625" style="1" customWidth="1"/>
    <col min="14844" max="14844" width="11.85546875" style="1" customWidth="1"/>
    <col min="14845" max="14845" width="9.5703125" style="1" bestFit="1" customWidth="1"/>
    <col min="14846" max="14846" width="10.5703125" style="1" customWidth="1"/>
    <col min="14847" max="14847" width="11.28515625" style="1" customWidth="1"/>
    <col min="14848" max="14848" width="11.42578125" style="1" bestFit="1" customWidth="1"/>
    <col min="14849" max="14849" width="11.7109375" style="1" customWidth="1"/>
    <col min="14850" max="14850" width="13.85546875" style="1" customWidth="1"/>
    <col min="14851" max="15096" width="9.140625" style="1"/>
    <col min="15097" max="15097" width="6.140625" style="1" customWidth="1"/>
    <col min="15098" max="15098" width="31.5703125" style="1" customWidth="1"/>
    <col min="15099" max="15099" width="7.28515625" style="1" customWidth="1"/>
    <col min="15100" max="15100" width="11.85546875" style="1" customWidth="1"/>
    <col min="15101" max="15101" width="9.5703125" style="1" bestFit="1" customWidth="1"/>
    <col min="15102" max="15102" width="10.5703125" style="1" customWidth="1"/>
    <col min="15103" max="15103" width="11.28515625" style="1" customWidth="1"/>
    <col min="15104" max="15104" width="11.42578125" style="1" bestFit="1" customWidth="1"/>
    <col min="15105" max="15105" width="11.7109375" style="1" customWidth="1"/>
    <col min="15106" max="15106" width="13.85546875" style="1" customWidth="1"/>
    <col min="15107" max="15352" width="9.140625" style="1"/>
    <col min="15353" max="15353" width="6.140625" style="1" customWidth="1"/>
    <col min="15354" max="15354" width="31.5703125" style="1" customWidth="1"/>
    <col min="15355" max="15355" width="7.28515625" style="1" customWidth="1"/>
    <col min="15356" max="15356" width="11.85546875" style="1" customWidth="1"/>
    <col min="15357" max="15357" width="9.5703125" style="1" bestFit="1" customWidth="1"/>
    <col min="15358" max="15358" width="10.5703125" style="1" customWidth="1"/>
    <col min="15359" max="15359" width="11.28515625" style="1" customWidth="1"/>
    <col min="15360" max="15360" width="11.42578125" style="1" bestFit="1" customWidth="1"/>
    <col min="15361" max="15361" width="11.7109375" style="1" customWidth="1"/>
    <col min="15362" max="15362" width="13.85546875" style="1" customWidth="1"/>
    <col min="15363" max="15608" width="9.140625" style="1"/>
    <col min="15609" max="15609" width="6.140625" style="1" customWidth="1"/>
    <col min="15610" max="15610" width="31.5703125" style="1" customWidth="1"/>
    <col min="15611" max="15611" width="7.28515625" style="1" customWidth="1"/>
    <col min="15612" max="15612" width="11.85546875" style="1" customWidth="1"/>
    <col min="15613" max="15613" width="9.5703125" style="1" bestFit="1" customWidth="1"/>
    <col min="15614" max="15614" width="10.5703125" style="1" customWidth="1"/>
    <col min="15615" max="15615" width="11.28515625" style="1" customWidth="1"/>
    <col min="15616" max="15616" width="11.42578125" style="1" bestFit="1" customWidth="1"/>
    <col min="15617" max="15617" width="11.7109375" style="1" customWidth="1"/>
    <col min="15618" max="15618" width="13.85546875" style="1" customWidth="1"/>
    <col min="15619" max="15864" width="9.140625" style="1"/>
    <col min="15865" max="15865" width="6.140625" style="1" customWidth="1"/>
    <col min="15866" max="15866" width="31.5703125" style="1" customWidth="1"/>
    <col min="15867" max="15867" width="7.28515625" style="1" customWidth="1"/>
    <col min="15868" max="15868" width="11.85546875" style="1" customWidth="1"/>
    <col min="15869" max="15869" width="9.5703125" style="1" bestFit="1" customWidth="1"/>
    <col min="15870" max="15870" width="10.5703125" style="1" customWidth="1"/>
    <col min="15871" max="15871" width="11.28515625" style="1" customWidth="1"/>
    <col min="15872" max="15872" width="11.42578125" style="1" bestFit="1" customWidth="1"/>
    <col min="15873" max="15873" width="11.7109375" style="1" customWidth="1"/>
    <col min="15874" max="15874" width="13.85546875" style="1" customWidth="1"/>
    <col min="15875" max="16120" width="9.140625" style="1"/>
    <col min="16121" max="16121" width="6.140625" style="1" customWidth="1"/>
    <col min="16122" max="16122" width="31.5703125" style="1" customWidth="1"/>
    <col min="16123" max="16123" width="7.28515625" style="1" customWidth="1"/>
    <col min="16124" max="16124" width="11.85546875" style="1" customWidth="1"/>
    <col min="16125" max="16125" width="9.5703125" style="1" bestFit="1" customWidth="1"/>
    <col min="16126" max="16126" width="10.5703125" style="1" customWidth="1"/>
    <col min="16127" max="16127" width="11.28515625" style="1" customWidth="1"/>
    <col min="16128" max="16128" width="11.42578125" style="1" bestFit="1" customWidth="1"/>
    <col min="16129" max="16129" width="11.7109375" style="1" customWidth="1"/>
    <col min="16130" max="16130" width="13.85546875" style="1" customWidth="1"/>
    <col min="16131" max="16384" width="9.140625" style="1"/>
  </cols>
  <sheetData>
    <row r="1" spans="1:13" ht="33.75" customHeight="1" x14ac:dyDescent="0.25">
      <c r="A1" s="1156" t="s">
        <v>23</v>
      </c>
      <c r="B1" s="1156"/>
      <c r="C1" s="1156"/>
      <c r="D1" s="1156"/>
      <c r="E1" s="1156"/>
      <c r="F1" s="1156"/>
    </row>
    <row r="2" spans="1:13" s="14" customFormat="1" ht="24.75" customHeight="1" x14ac:dyDescent="0.25">
      <c r="A2" s="16" t="s">
        <v>4</v>
      </c>
      <c r="B2" s="16"/>
      <c r="C2" s="18"/>
      <c r="D2" s="16"/>
      <c r="E2" s="16"/>
      <c r="F2" s="16"/>
      <c r="G2" s="1152"/>
      <c r="H2" s="1152"/>
      <c r="I2" s="1152"/>
      <c r="J2" s="1152"/>
      <c r="K2" s="1152"/>
      <c r="L2" s="1152"/>
      <c r="M2" s="1152"/>
    </row>
    <row r="3" spans="1:13" s="14" customFormat="1" ht="24.75" customHeight="1" x14ac:dyDescent="0.25">
      <c r="A3" s="16" t="s">
        <v>5</v>
      </c>
      <c r="B3" s="16"/>
      <c r="C3" s="18"/>
      <c r="D3" s="16"/>
      <c r="E3" s="16"/>
      <c r="F3" s="16"/>
      <c r="G3" s="1152"/>
      <c r="H3" s="1152"/>
      <c r="I3" s="1152"/>
      <c r="J3" s="1152"/>
      <c r="K3" s="1152"/>
      <c r="L3" s="1152"/>
      <c r="M3" s="1152"/>
    </row>
    <row r="4" spans="1:13" s="14" customFormat="1" ht="24.75" customHeight="1" x14ac:dyDescent="0.25">
      <c r="A4" s="16" t="s">
        <v>634</v>
      </c>
      <c r="B4" s="17"/>
      <c r="C4" s="18"/>
      <c r="D4" s="17"/>
      <c r="E4" s="17"/>
      <c r="F4" s="17"/>
      <c r="G4" s="129"/>
      <c r="H4" s="129"/>
      <c r="I4" s="129"/>
      <c r="J4" s="129"/>
      <c r="K4" s="129"/>
      <c r="L4" s="129"/>
      <c r="M4" s="129"/>
    </row>
    <row r="5" spans="1:13" s="14" customFormat="1" ht="24.75" customHeight="1" x14ac:dyDescent="0.25">
      <c r="A5" s="16" t="s">
        <v>6</v>
      </c>
      <c r="B5" s="16"/>
      <c r="C5" s="18"/>
      <c r="D5" s="16"/>
      <c r="E5" s="16"/>
      <c r="F5" s="16"/>
      <c r="G5" s="1152"/>
      <c r="H5" s="1152"/>
      <c r="I5" s="1152"/>
      <c r="J5" s="1152"/>
      <c r="K5" s="1152"/>
      <c r="L5" s="1152"/>
      <c r="M5" s="1152"/>
    </row>
    <row r="6" spans="1:13" s="14" customFormat="1" ht="24.75" customHeight="1" x14ac:dyDescent="0.25">
      <c r="A6" s="16" t="s">
        <v>7</v>
      </c>
      <c r="B6" s="16"/>
      <c r="C6" s="18"/>
      <c r="D6" s="16"/>
      <c r="E6" s="16"/>
      <c r="F6" s="16"/>
      <c r="G6" s="1152"/>
      <c r="H6" s="1152"/>
      <c r="I6" s="1152"/>
      <c r="J6" s="1152"/>
      <c r="K6" s="1152"/>
      <c r="L6" s="1152"/>
      <c r="M6" s="1152"/>
    </row>
    <row r="7" spans="1:13" s="14" customFormat="1" ht="24.75" customHeight="1" x14ac:dyDescent="0.25">
      <c r="A7" s="16" t="s">
        <v>8</v>
      </c>
      <c r="B7" s="16"/>
      <c r="C7" s="18"/>
      <c r="D7" s="16"/>
      <c r="E7" s="16"/>
      <c r="F7" s="16"/>
      <c r="G7" s="1152"/>
      <c r="H7" s="1152"/>
      <c r="I7" s="1152"/>
      <c r="J7" s="1152"/>
      <c r="K7" s="1152"/>
      <c r="L7" s="1152"/>
      <c r="M7" s="1152"/>
    </row>
    <row r="8" spans="1:13" s="14" customFormat="1" ht="24.75" customHeight="1" x14ac:dyDescent="0.25">
      <c r="A8" s="16" t="s">
        <v>9</v>
      </c>
      <c r="B8" s="16"/>
      <c r="C8" s="18"/>
      <c r="D8" s="16"/>
      <c r="E8" s="16"/>
      <c r="F8" s="16"/>
      <c r="G8" s="1152"/>
      <c r="H8" s="1152"/>
      <c r="I8" s="1152"/>
      <c r="J8" s="1152"/>
      <c r="K8" s="1152"/>
      <c r="L8" s="1152"/>
      <c r="M8" s="1152"/>
    </row>
    <row r="9" spans="1:13" s="14" customFormat="1" ht="24.75" customHeight="1" x14ac:dyDescent="0.25">
      <c r="A9" s="16" t="s">
        <v>635</v>
      </c>
      <c r="B9" s="15"/>
      <c r="C9" s="131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ht="18.75" customHeight="1" x14ac:dyDescent="0.25">
      <c r="A10" s="1153"/>
      <c r="B10" s="1153"/>
      <c r="C10" s="1153"/>
      <c r="D10" s="1153"/>
      <c r="E10" s="1153"/>
      <c r="F10" s="1153"/>
      <c r="K10" s="1" t="s">
        <v>411</v>
      </c>
    </row>
    <row r="11" spans="1:13" s="14" customFormat="1" ht="16.5" customHeight="1" x14ac:dyDescent="0.25">
      <c r="A11" s="1154" t="s">
        <v>2</v>
      </c>
      <c r="B11" s="1154" t="s">
        <v>636</v>
      </c>
      <c r="C11" s="1154" t="s">
        <v>1</v>
      </c>
      <c r="D11" s="1154" t="s">
        <v>31</v>
      </c>
      <c r="E11" s="1154"/>
      <c r="F11" s="1154" t="s">
        <v>0</v>
      </c>
      <c r="H11" s="1155" t="s">
        <v>382</v>
      </c>
    </row>
    <row r="12" spans="1:13" s="14" customFormat="1" ht="11.25" customHeight="1" x14ac:dyDescent="0.25">
      <c r="A12" s="1154"/>
      <c r="B12" s="1154"/>
      <c r="C12" s="1154"/>
      <c r="D12" s="1154"/>
      <c r="E12" s="1154"/>
      <c r="F12" s="1154"/>
      <c r="H12" s="1155"/>
      <c r="K12" s="14" t="s">
        <v>412</v>
      </c>
      <c r="L12" s="14">
        <f>64000-1000+1500</f>
        <v>64500</v>
      </c>
    </row>
    <row r="13" spans="1:13" s="14" customFormat="1" ht="31.5" customHeight="1" x14ac:dyDescent="0.25">
      <c r="A13" s="1154"/>
      <c r="B13" s="1154"/>
      <c r="C13" s="1154"/>
      <c r="D13" s="203" t="s">
        <v>32</v>
      </c>
      <c r="E13" s="203" t="s">
        <v>33</v>
      </c>
      <c r="F13" s="1154"/>
      <c r="H13" s="1155"/>
    </row>
    <row r="14" spans="1:13" s="14" customFormat="1" ht="24.75" customHeight="1" x14ac:dyDescent="0.25">
      <c r="A14" s="622" t="s">
        <v>26</v>
      </c>
      <c r="B14" s="622" t="s">
        <v>27</v>
      </c>
      <c r="C14" s="622" t="s">
        <v>28</v>
      </c>
      <c r="D14" s="622" t="s">
        <v>29</v>
      </c>
      <c r="E14" s="622" t="s">
        <v>30</v>
      </c>
      <c r="F14" s="622" t="s">
        <v>37</v>
      </c>
      <c r="K14" s="14" t="s">
        <v>413</v>
      </c>
    </row>
    <row r="15" spans="1:13" s="14" customFormat="1" ht="35.25" customHeight="1" x14ac:dyDescent="0.25">
      <c r="A15" s="73" t="s">
        <v>962</v>
      </c>
      <c r="B15" s="74" t="s">
        <v>974</v>
      </c>
      <c r="C15" s="75"/>
      <c r="D15" s="53"/>
      <c r="E15" s="607"/>
      <c r="F15" s="607"/>
    </row>
    <row r="16" spans="1:13" s="14" customFormat="1" ht="24.75" customHeight="1" outlineLevel="1" x14ac:dyDescent="0.25">
      <c r="A16" s="77">
        <v>1</v>
      </c>
      <c r="B16" s="78" t="s">
        <v>975</v>
      </c>
      <c r="C16" s="77" t="s">
        <v>970</v>
      </c>
      <c r="D16" s="54"/>
      <c r="E16" s="608">
        <f>D16</f>
        <v>0</v>
      </c>
      <c r="F16" s="607"/>
    </row>
    <row r="17" spans="1:6" s="14" customFormat="1" ht="39" customHeight="1" outlineLevel="2" x14ac:dyDescent="0.25">
      <c r="A17" s="57"/>
      <c r="B17" s="64" t="s">
        <v>976</v>
      </c>
      <c r="C17" s="60" t="s">
        <v>970</v>
      </c>
      <c r="D17" s="588">
        <v>1</v>
      </c>
      <c r="E17" s="608">
        <f t="shared" ref="E17:E80" si="0">D17</f>
        <v>1</v>
      </c>
      <c r="F17" s="607"/>
    </row>
    <row r="18" spans="1:6" s="14" customFormat="1" ht="24.75" customHeight="1" outlineLevel="2" x14ac:dyDescent="0.25">
      <c r="A18" s="57"/>
      <c r="B18" s="61" t="s">
        <v>977</v>
      </c>
      <c r="C18" s="63" t="s">
        <v>77</v>
      </c>
      <c r="D18" s="49">
        <v>4.7228399999999997</v>
      </c>
      <c r="E18" s="608">
        <f t="shared" si="0"/>
        <v>4.7228399999999997</v>
      </c>
      <c r="F18" s="607"/>
    </row>
    <row r="19" spans="1:6" s="14" customFormat="1" ht="24.75" customHeight="1" outlineLevel="2" x14ac:dyDescent="0.25">
      <c r="A19" s="57"/>
      <c r="B19" s="61" t="s">
        <v>978</v>
      </c>
      <c r="C19" s="63" t="s">
        <v>77</v>
      </c>
      <c r="D19" s="49">
        <v>9.2645400000000002</v>
      </c>
      <c r="E19" s="608">
        <f t="shared" si="0"/>
        <v>9.2645400000000002</v>
      </c>
      <c r="F19" s="607"/>
    </row>
    <row r="20" spans="1:6" s="14" customFormat="1" ht="24.75" customHeight="1" outlineLevel="2" x14ac:dyDescent="0.25">
      <c r="A20" s="57"/>
      <c r="B20" s="61" t="s">
        <v>979</v>
      </c>
      <c r="C20" s="63" t="s">
        <v>77</v>
      </c>
      <c r="D20" s="49">
        <v>0.8</v>
      </c>
      <c r="E20" s="608">
        <f t="shared" si="0"/>
        <v>0.8</v>
      </c>
      <c r="F20" s="607"/>
    </row>
    <row r="21" spans="1:6" s="14" customFormat="1" ht="24.75" customHeight="1" outlineLevel="2" x14ac:dyDescent="0.25">
      <c r="A21" s="57"/>
      <c r="B21" s="61" t="s">
        <v>980</v>
      </c>
      <c r="C21" s="63" t="s">
        <v>77</v>
      </c>
      <c r="D21" s="49">
        <v>2.5688</v>
      </c>
      <c r="E21" s="608">
        <f t="shared" si="0"/>
        <v>2.5688</v>
      </c>
      <c r="F21" s="607"/>
    </row>
    <row r="22" spans="1:6" s="14" customFormat="1" ht="24.75" customHeight="1" outlineLevel="2" x14ac:dyDescent="0.25">
      <c r="A22" s="57"/>
      <c r="B22" s="61" t="s">
        <v>981</v>
      </c>
      <c r="C22" s="63" t="s">
        <v>77</v>
      </c>
      <c r="D22" s="49">
        <v>3.0467499999999998</v>
      </c>
      <c r="E22" s="608">
        <f t="shared" si="0"/>
        <v>3.0467499999999998</v>
      </c>
      <c r="F22" s="607"/>
    </row>
    <row r="23" spans="1:6" s="14" customFormat="1" ht="24.75" customHeight="1" outlineLevel="2" x14ac:dyDescent="0.25">
      <c r="A23" s="57"/>
      <c r="B23" s="61" t="s">
        <v>982</v>
      </c>
      <c r="C23" s="63" t="s">
        <v>77</v>
      </c>
      <c r="D23" s="49">
        <v>12.828989999999999</v>
      </c>
      <c r="E23" s="608">
        <f t="shared" si="0"/>
        <v>12.828989999999999</v>
      </c>
      <c r="F23" s="607"/>
    </row>
    <row r="24" spans="1:6" s="14" customFormat="1" ht="24.75" customHeight="1" outlineLevel="2" x14ac:dyDescent="0.25">
      <c r="A24" s="57"/>
      <c r="B24" s="61" t="s">
        <v>983</v>
      </c>
      <c r="C24" s="63" t="s">
        <v>77</v>
      </c>
      <c r="D24" s="49">
        <v>9.55762</v>
      </c>
      <c r="E24" s="608">
        <f t="shared" si="0"/>
        <v>9.55762</v>
      </c>
      <c r="F24" s="607"/>
    </row>
    <row r="25" spans="1:6" s="14" customFormat="1" ht="24.75" customHeight="1" outlineLevel="2" x14ac:dyDescent="0.25">
      <c r="A25" s="57"/>
      <c r="B25" s="61" t="s">
        <v>984</v>
      </c>
      <c r="C25" s="63" t="s">
        <v>10</v>
      </c>
      <c r="D25" s="49">
        <v>197.9</v>
      </c>
      <c r="E25" s="608">
        <f t="shared" si="0"/>
        <v>197.9</v>
      </c>
      <c r="F25" s="607"/>
    </row>
    <row r="26" spans="1:6" s="14" customFormat="1" ht="24.75" customHeight="1" outlineLevel="2" x14ac:dyDescent="0.25">
      <c r="A26" s="57"/>
      <c r="B26" s="61" t="s">
        <v>102</v>
      </c>
      <c r="C26" s="63" t="s">
        <v>68</v>
      </c>
      <c r="D26" s="49">
        <v>435.3</v>
      </c>
      <c r="E26" s="608">
        <f t="shared" si="0"/>
        <v>435.3</v>
      </c>
      <c r="F26" s="607"/>
    </row>
    <row r="27" spans="1:6" s="14" customFormat="1" ht="24.75" customHeight="1" outlineLevel="2" x14ac:dyDescent="0.25">
      <c r="A27" s="57"/>
      <c r="B27" s="64" t="s">
        <v>985</v>
      </c>
      <c r="C27" s="59" t="s">
        <v>134</v>
      </c>
      <c r="D27" s="49"/>
      <c r="E27" s="608">
        <f t="shared" si="0"/>
        <v>0</v>
      </c>
      <c r="F27" s="607"/>
    </row>
    <row r="28" spans="1:6" s="14" customFormat="1" ht="24.75" customHeight="1" outlineLevel="2" x14ac:dyDescent="0.25">
      <c r="A28" s="57"/>
      <c r="B28" s="76" t="s">
        <v>986</v>
      </c>
      <c r="C28" s="62" t="s">
        <v>77</v>
      </c>
      <c r="D28" s="49">
        <v>0.38018200000000002</v>
      </c>
      <c r="E28" s="608">
        <f t="shared" si="0"/>
        <v>0.38018200000000002</v>
      </c>
      <c r="F28" s="607"/>
    </row>
    <row r="29" spans="1:6" s="14" customFormat="1" ht="24.75" customHeight="1" outlineLevel="2" x14ac:dyDescent="0.25">
      <c r="A29" s="57"/>
      <c r="B29" s="76" t="s">
        <v>987</v>
      </c>
      <c r="C29" s="62" t="s">
        <v>124</v>
      </c>
      <c r="D29" s="49">
        <v>359.4</v>
      </c>
      <c r="E29" s="608">
        <f t="shared" si="0"/>
        <v>359.4</v>
      </c>
      <c r="F29" s="607"/>
    </row>
    <row r="30" spans="1:6" s="14" customFormat="1" ht="24.75" customHeight="1" outlineLevel="2" x14ac:dyDescent="0.25">
      <c r="A30" s="57"/>
      <c r="B30" s="76" t="s">
        <v>988</v>
      </c>
      <c r="C30" s="62" t="s">
        <v>124</v>
      </c>
      <c r="D30" s="49">
        <v>11.2</v>
      </c>
      <c r="E30" s="608">
        <f t="shared" si="0"/>
        <v>11.2</v>
      </c>
      <c r="F30" s="607"/>
    </row>
    <row r="31" spans="1:6" s="14" customFormat="1" ht="24.75" customHeight="1" outlineLevel="2" x14ac:dyDescent="0.25">
      <c r="A31" s="57"/>
      <c r="B31" s="61" t="s">
        <v>989</v>
      </c>
      <c r="C31" s="63" t="s">
        <v>78</v>
      </c>
      <c r="D31" s="49">
        <v>4</v>
      </c>
      <c r="E31" s="608">
        <f t="shared" si="0"/>
        <v>4</v>
      </c>
      <c r="F31" s="607"/>
    </row>
    <row r="32" spans="1:6" s="14" customFormat="1" ht="24.75" customHeight="1" outlineLevel="2" x14ac:dyDescent="0.25">
      <c r="A32" s="77"/>
      <c r="B32" s="79" t="s">
        <v>990</v>
      </c>
      <c r="C32" s="80" t="s">
        <v>78</v>
      </c>
      <c r="D32" s="55">
        <v>4</v>
      </c>
      <c r="E32" s="608">
        <f t="shared" si="0"/>
        <v>4</v>
      </c>
      <c r="F32" s="607"/>
    </row>
    <row r="33" spans="1:6" s="14" customFormat="1" ht="24.75" customHeight="1" outlineLevel="2" x14ac:dyDescent="0.25">
      <c r="A33" s="57"/>
      <c r="B33" s="76" t="s">
        <v>991</v>
      </c>
      <c r="C33" s="62" t="s">
        <v>10</v>
      </c>
      <c r="D33" s="49">
        <v>1.6830000000000001</v>
      </c>
      <c r="E33" s="608">
        <f t="shared" si="0"/>
        <v>1.6830000000000001</v>
      </c>
      <c r="F33" s="607"/>
    </row>
    <row r="34" spans="1:6" s="14" customFormat="1" ht="24.75" customHeight="1" outlineLevel="1" x14ac:dyDescent="0.25">
      <c r="A34" s="77">
        <v>2</v>
      </c>
      <c r="B34" s="78" t="s">
        <v>992</v>
      </c>
      <c r="C34" s="77" t="s">
        <v>970</v>
      </c>
      <c r="D34" s="55">
        <v>1</v>
      </c>
      <c r="E34" s="608">
        <f t="shared" si="0"/>
        <v>1</v>
      </c>
      <c r="F34" s="607"/>
    </row>
    <row r="35" spans="1:6" s="14" customFormat="1" ht="39" customHeight="1" outlineLevel="2" x14ac:dyDescent="0.25">
      <c r="A35" s="57"/>
      <c r="B35" s="64" t="s">
        <v>993</v>
      </c>
      <c r="C35" s="60" t="s">
        <v>970</v>
      </c>
      <c r="D35" s="49">
        <v>1</v>
      </c>
      <c r="E35" s="608">
        <f t="shared" si="0"/>
        <v>1</v>
      </c>
      <c r="F35" s="607"/>
    </row>
    <row r="36" spans="1:6" s="14" customFormat="1" ht="24.75" customHeight="1" outlineLevel="2" x14ac:dyDescent="0.25">
      <c r="A36" s="57"/>
      <c r="B36" s="61" t="s">
        <v>105</v>
      </c>
      <c r="C36" s="62" t="s">
        <v>77</v>
      </c>
      <c r="D36" s="49">
        <v>0.94457000000000002</v>
      </c>
      <c r="E36" s="608">
        <f t="shared" si="0"/>
        <v>0.94457000000000002</v>
      </c>
      <c r="F36" s="607"/>
    </row>
    <row r="37" spans="1:6" s="14" customFormat="1" ht="24.75" customHeight="1" outlineLevel="2" x14ac:dyDescent="0.25">
      <c r="A37" s="57"/>
      <c r="B37" s="61" t="s">
        <v>83</v>
      </c>
      <c r="C37" s="62" t="s">
        <v>77</v>
      </c>
      <c r="D37" s="49">
        <v>1.58433</v>
      </c>
      <c r="E37" s="608">
        <f t="shared" si="0"/>
        <v>1.58433</v>
      </c>
      <c r="F37" s="607"/>
    </row>
    <row r="38" spans="1:6" s="14" customFormat="1" ht="24.75" customHeight="1" outlineLevel="2" x14ac:dyDescent="0.25">
      <c r="A38" s="57"/>
      <c r="B38" s="61" t="s">
        <v>84</v>
      </c>
      <c r="C38" s="62" t="s">
        <v>77</v>
      </c>
      <c r="D38" s="49">
        <v>0.22</v>
      </c>
      <c r="E38" s="608">
        <f t="shared" si="0"/>
        <v>0.22</v>
      </c>
      <c r="F38" s="607"/>
    </row>
    <row r="39" spans="1:6" s="14" customFormat="1" ht="24.75" customHeight="1" outlineLevel="2" x14ac:dyDescent="0.25">
      <c r="A39" s="57"/>
      <c r="B39" s="61" t="s">
        <v>85</v>
      </c>
      <c r="C39" s="62" t="s">
        <v>77</v>
      </c>
      <c r="D39" s="49">
        <v>0.70641999999999994</v>
      </c>
      <c r="E39" s="608">
        <f t="shared" si="0"/>
        <v>0.70641999999999994</v>
      </c>
      <c r="F39" s="607"/>
    </row>
    <row r="40" spans="1:6" s="14" customFormat="1" ht="24.75" customHeight="1" outlineLevel="2" x14ac:dyDescent="0.25">
      <c r="A40" s="57"/>
      <c r="B40" s="61" t="s">
        <v>86</v>
      </c>
      <c r="C40" s="62" t="s">
        <v>77</v>
      </c>
      <c r="D40" s="49">
        <v>0.83786000000000005</v>
      </c>
      <c r="E40" s="608">
        <f t="shared" si="0"/>
        <v>0.83786000000000005</v>
      </c>
      <c r="F40" s="607"/>
    </row>
    <row r="41" spans="1:6" s="14" customFormat="1" ht="24.75" customHeight="1" outlineLevel="2" x14ac:dyDescent="0.25">
      <c r="A41" s="57"/>
      <c r="B41" s="61" t="s">
        <v>87</v>
      </c>
      <c r="C41" s="62" t="s">
        <v>77</v>
      </c>
      <c r="D41" s="49">
        <v>0.62215999999999994</v>
      </c>
      <c r="E41" s="608">
        <f t="shared" si="0"/>
        <v>0.62215999999999994</v>
      </c>
      <c r="F41" s="607"/>
    </row>
    <row r="42" spans="1:6" s="14" customFormat="1" ht="24.75" customHeight="1" outlineLevel="2" x14ac:dyDescent="0.25">
      <c r="A42" s="57"/>
      <c r="B42" s="61" t="s">
        <v>143</v>
      </c>
      <c r="C42" s="62" t="s">
        <v>77</v>
      </c>
      <c r="D42" s="49">
        <v>2.3749199999999999</v>
      </c>
      <c r="E42" s="608">
        <f t="shared" si="0"/>
        <v>2.3749199999999999</v>
      </c>
      <c r="F42" s="607"/>
    </row>
    <row r="43" spans="1:6" s="14" customFormat="1" ht="24.75" customHeight="1" outlineLevel="2" x14ac:dyDescent="0.25">
      <c r="A43" s="57"/>
      <c r="B43" s="61" t="s">
        <v>984</v>
      </c>
      <c r="C43" s="63" t="s">
        <v>10</v>
      </c>
      <c r="D43" s="49">
        <v>32</v>
      </c>
      <c r="E43" s="608">
        <f t="shared" si="0"/>
        <v>32</v>
      </c>
      <c r="F43" s="607"/>
    </row>
    <row r="44" spans="1:6" s="14" customFormat="1" ht="24.75" customHeight="1" outlineLevel="2" x14ac:dyDescent="0.25">
      <c r="A44" s="57"/>
      <c r="B44" s="61" t="s">
        <v>102</v>
      </c>
      <c r="C44" s="63" t="s">
        <v>68</v>
      </c>
      <c r="D44" s="49">
        <v>115.62</v>
      </c>
      <c r="E44" s="608">
        <f t="shared" si="0"/>
        <v>115.62</v>
      </c>
      <c r="F44" s="607"/>
    </row>
    <row r="45" spans="1:6" s="14" customFormat="1" ht="24.75" customHeight="1" outlineLevel="2" x14ac:dyDescent="0.25">
      <c r="A45" s="57"/>
      <c r="B45" s="64" t="s">
        <v>985</v>
      </c>
      <c r="C45" s="59" t="s">
        <v>134</v>
      </c>
      <c r="D45" s="49"/>
      <c r="E45" s="608">
        <f t="shared" si="0"/>
        <v>0</v>
      </c>
      <c r="F45" s="607"/>
    </row>
    <row r="46" spans="1:6" s="14" customFormat="1" ht="24.75" customHeight="1" outlineLevel="2" x14ac:dyDescent="0.25">
      <c r="A46" s="57"/>
      <c r="B46" s="76" t="s">
        <v>986</v>
      </c>
      <c r="C46" s="62" t="s">
        <v>77</v>
      </c>
      <c r="D46" s="49">
        <v>0.26929599999999998</v>
      </c>
      <c r="E46" s="608">
        <f t="shared" si="0"/>
        <v>0.26929599999999998</v>
      </c>
      <c r="F46" s="607"/>
    </row>
    <row r="47" spans="1:6" s="14" customFormat="1" ht="24.75" customHeight="1" outlineLevel="2" x14ac:dyDescent="0.25">
      <c r="A47" s="57"/>
      <c r="B47" s="76" t="s">
        <v>987</v>
      </c>
      <c r="C47" s="62" t="s">
        <v>124</v>
      </c>
      <c r="D47" s="49">
        <v>83.700999999999993</v>
      </c>
      <c r="E47" s="608">
        <f t="shared" si="0"/>
        <v>83.700999999999993</v>
      </c>
      <c r="F47" s="607"/>
    </row>
    <row r="48" spans="1:6" s="14" customFormat="1" ht="24.75" customHeight="1" outlineLevel="2" x14ac:dyDescent="0.25">
      <c r="A48" s="57"/>
      <c r="B48" s="76" t="s">
        <v>988</v>
      </c>
      <c r="C48" s="62" t="s">
        <v>124</v>
      </c>
      <c r="D48" s="49">
        <v>2.4</v>
      </c>
      <c r="E48" s="608">
        <f t="shared" si="0"/>
        <v>2.4</v>
      </c>
      <c r="F48" s="607"/>
    </row>
    <row r="49" spans="1:6" s="14" customFormat="1" ht="24.75" customHeight="1" outlineLevel="2" x14ac:dyDescent="0.25">
      <c r="A49" s="57"/>
      <c r="B49" s="61" t="s">
        <v>989</v>
      </c>
      <c r="C49" s="63" t="s">
        <v>78</v>
      </c>
      <c r="D49" s="49">
        <v>2</v>
      </c>
      <c r="E49" s="608">
        <f t="shared" si="0"/>
        <v>2</v>
      </c>
      <c r="F49" s="607"/>
    </row>
    <row r="50" spans="1:6" s="14" customFormat="1" ht="24.75" customHeight="1" outlineLevel="2" x14ac:dyDescent="0.25">
      <c r="A50" s="77"/>
      <c r="B50" s="79" t="s">
        <v>990</v>
      </c>
      <c r="C50" s="80" t="s">
        <v>78</v>
      </c>
      <c r="D50" s="55">
        <v>2</v>
      </c>
      <c r="E50" s="608">
        <f t="shared" si="0"/>
        <v>2</v>
      </c>
      <c r="F50" s="607"/>
    </row>
    <row r="51" spans="1:6" s="14" customFormat="1" ht="24.75" customHeight="1" outlineLevel="2" x14ac:dyDescent="0.25">
      <c r="A51" s="57"/>
      <c r="B51" s="76" t="s">
        <v>991</v>
      </c>
      <c r="C51" s="62" t="s">
        <v>10</v>
      </c>
      <c r="D51" s="49">
        <v>0.39200000000000002</v>
      </c>
      <c r="E51" s="608">
        <f t="shared" si="0"/>
        <v>0.39200000000000002</v>
      </c>
      <c r="F51" s="607"/>
    </row>
    <row r="52" spans="1:6" s="14" customFormat="1" ht="24.75" customHeight="1" outlineLevel="1" x14ac:dyDescent="0.25">
      <c r="A52" s="77">
        <v>3</v>
      </c>
      <c r="B52" s="78" t="s">
        <v>994</v>
      </c>
      <c r="C52" s="77" t="s">
        <v>970</v>
      </c>
      <c r="D52" s="55">
        <v>1</v>
      </c>
      <c r="E52" s="608">
        <f t="shared" si="0"/>
        <v>1</v>
      </c>
      <c r="F52" s="607"/>
    </row>
    <row r="53" spans="1:6" s="14" customFormat="1" ht="24.75" customHeight="1" outlineLevel="2" x14ac:dyDescent="0.25">
      <c r="A53" s="57"/>
      <c r="B53" s="64" t="s">
        <v>995</v>
      </c>
      <c r="C53" s="60" t="s">
        <v>970</v>
      </c>
      <c r="D53" s="49">
        <v>1</v>
      </c>
      <c r="E53" s="608">
        <f t="shared" si="0"/>
        <v>1</v>
      </c>
      <c r="F53" s="607"/>
    </row>
    <row r="54" spans="1:6" s="14" customFormat="1" ht="24.75" customHeight="1" outlineLevel="2" x14ac:dyDescent="0.25">
      <c r="A54" s="57"/>
      <c r="B54" s="61" t="s">
        <v>105</v>
      </c>
      <c r="C54" s="62" t="s">
        <v>77</v>
      </c>
      <c r="D54" s="49">
        <v>0.94457000000000002</v>
      </c>
      <c r="E54" s="608">
        <f t="shared" si="0"/>
        <v>0.94457000000000002</v>
      </c>
      <c r="F54" s="607"/>
    </row>
    <row r="55" spans="1:6" s="14" customFormat="1" ht="24.75" customHeight="1" outlineLevel="2" x14ac:dyDescent="0.25">
      <c r="A55" s="57"/>
      <c r="B55" s="61" t="s">
        <v>83</v>
      </c>
      <c r="C55" s="62" t="s">
        <v>77</v>
      </c>
      <c r="D55" s="49">
        <v>1.58433</v>
      </c>
      <c r="E55" s="608">
        <f t="shared" si="0"/>
        <v>1.58433</v>
      </c>
      <c r="F55" s="607"/>
    </row>
    <row r="56" spans="1:6" s="14" customFormat="1" ht="24.75" customHeight="1" outlineLevel="2" x14ac:dyDescent="0.25">
      <c r="A56" s="57"/>
      <c r="B56" s="61" t="s">
        <v>84</v>
      </c>
      <c r="C56" s="62" t="s">
        <v>77</v>
      </c>
      <c r="D56" s="49">
        <v>0.22</v>
      </c>
      <c r="E56" s="608">
        <f t="shared" si="0"/>
        <v>0.22</v>
      </c>
      <c r="F56" s="607"/>
    </row>
    <row r="57" spans="1:6" s="14" customFormat="1" ht="24.75" customHeight="1" outlineLevel="2" x14ac:dyDescent="0.25">
      <c r="A57" s="57"/>
      <c r="B57" s="61" t="s">
        <v>85</v>
      </c>
      <c r="C57" s="62" t="s">
        <v>77</v>
      </c>
      <c r="D57" s="49">
        <v>0.70641999999999994</v>
      </c>
      <c r="E57" s="608">
        <f t="shared" si="0"/>
        <v>0.70641999999999994</v>
      </c>
      <c r="F57" s="607"/>
    </row>
    <row r="58" spans="1:6" s="14" customFormat="1" ht="24.75" customHeight="1" outlineLevel="2" x14ac:dyDescent="0.25">
      <c r="A58" s="57"/>
      <c r="B58" s="61" t="s">
        <v>86</v>
      </c>
      <c r="C58" s="62" t="s">
        <v>77</v>
      </c>
      <c r="D58" s="49">
        <v>0.83786000000000005</v>
      </c>
      <c r="E58" s="608">
        <f t="shared" si="0"/>
        <v>0.83786000000000005</v>
      </c>
      <c r="F58" s="607"/>
    </row>
    <row r="59" spans="1:6" s="14" customFormat="1" ht="24.75" customHeight="1" outlineLevel="2" x14ac:dyDescent="0.25">
      <c r="A59" s="57"/>
      <c r="B59" s="61" t="s">
        <v>87</v>
      </c>
      <c r="C59" s="62" t="s">
        <v>77</v>
      </c>
      <c r="D59" s="49">
        <v>0.62215999999999994</v>
      </c>
      <c r="E59" s="608">
        <f t="shared" si="0"/>
        <v>0.62215999999999994</v>
      </c>
      <c r="F59" s="607"/>
    </row>
    <row r="60" spans="1:6" s="14" customFormat="1" ht="24.75" customHeight="1" outlineLevel="2" x14ac:dyDescent="0.25">
      <c r="A60" s="57"/>
      <c r="B60" s="61" t="s">
        <v>143</v>
      </c>
      <c r="C60" s="62" t="s">
        <v>77</v>
      </c>
      <c r="D60" s="49">
        <v>2.3749199999999999</v>
      </c>
      <c r="E60" s="608">
        <f t="shared" si="0"/>
        <v>2.3749199999999999</v>
      </c>
      <c r="F60" s="607"/>
    </row>
    <row r="61" spans="1:6" s="14" customFormat="1" ht="24.75" customHeight="1" outlineLevel="2" x14ac:dyDescent="0.25">
      <c r="A61" s="57"/>
      <c r="B61" s="61" t="s">
        <v>984</v>
      </c>
      <c r="C61" s="63" t="s">
        <v>10</v>
      </c>
      <c r="D61" s="49">
        <v>32</v>
      </c>
      <c r="E61" s="608">
        <f t="shared" si="0"/>
        <v>32</v>
      </c>
      <c r="F61" s="607"/>
    </row>
    <row r="62" spans="1:6" s="14" customFormat="1" ht="24.75" customHeight="1" outlineLevel="2" x14ac:dyDescent="0.25">
      <c r="A62" s="57"/>
      <c r="B62" s="61" t="s">
        <v>102</v>
      </c>
      <c r="C62" s="63" t="s">
        <v>68</v>
      </c>
      <c r="D62" s="49">
        <v>115.62</v>
      </c>
      <c r="E62" s="608">
        <f t="shared" si="0"/>
        <v>115.62</v>
      </c>
      <c r="F62" s="607"/>
    </row>
    <row r="63" spans="1:6" s="14" customFormat="1" ht="24.75" customHeight="1" outlineLevel="2" x14ac:dyDescent="0.25">
      <c r="A63" s="57"/>
      <c r="B63" s="64" t="s">
        <v>985</v>
      </c>
      <c r="C63" s="59" t="s">
        <v>134</v>
      </c>
      <c r="D63" s="49"/>
      <c r="E63" s="608">
        <f t="shared" si="0"/>
        <v>0</v>
      </c>
      <c r="F63" s="607"/>
    </row>
    <row r="64" spans="1:6" s="14" customFormat="1" ht="24.75" customHeight="1" outlineLevel="2" x14ac:dyDescent="0.25">
      <c r="A64" s="57"/>
      <c r="B64" s="76" t="s">
        <v>986</v>
      </c>
      <c r="C64" s="62" t="s">
        <v>77</v>
      </c>
      <c r="D64" s="49">
        <v>0.26929599999999998</v>
      </c>
      <c r="E64" s="608">
        <f t="shared" si="0"/>
        <v>0.26929599999999998</v>
      </c>
      <c r="F64" s="607"/>
    </row>
    <row r="65" spans="1:6" s="14" customFormat="1" ht="24.75" customHeight="1" outlineLevel="2" x14ac:dyDescent="0.25">
      <c r="A65" s="57"/>
      <c r="B65" s="76" t="s">
        <v>987</v>
      </c>
      <c r="C65" s="62" t="s">
        <v>124</v>
      </c>
      <c r="D65" s="49">
        <v>83.700999999999993</v>
      </c>
      <c r="E65" s="608">
        <f t="shared" si="0"/>
        <v>83.700999999999993</v>
      </c>
      <c r="F65" s="607"/>
    </row>
    <row r="66" spans="1:6" s="14" customFormat="1" ht="24.75" customHeight="1" outlineLevel="2" x14ac:dyDescent="0.25">
      <c r="A66" s="57"/>
      <c r="B66" s="76" t="s">
        <v>988</v>
      </c>
      <c r="C66" s="62" t="s">
        <v>124</v>
      </c>
      <c r="D66" s="49">
        <v>3.2</v>
      </c>
      <c r="E66" s="608">
        <f t="shared" si="0"/>
        <v>3.2</v>
      </c>
      <c r="F66" s="607"/>
    </row>
    <row r="67" spans="1:6" s="14" customFormat="1" ht="24.75" customHeight="1" outlineLevel="2" x14ac:dyDescent="0.25">
      <c r="A67" s="57"/>
      <c r="B67" s="61" t="s">
        <v>989</v>
      </c>
      <c r="C67" s="63" t="s">
        <v>78</v>
      </c>
      <c r="D67" s="49">
        <v>2</v>
      </c>
      <c r="E67" s="608">
        <f t="shared" si="0"/>
        <v>2</v>
      </c>
      <c r="F67" s="607"/>
    </row>
    <row r="68" spans="1:6" s="14" customFormat="1" ht="24.75" customHeight="1" outlineLevel="2" x14ac:dyDescent="0.25">
      <c r="A68" s="77"/>
      <c r="B68" s="79" t="s">
        <v>990</v>
      </c>
      <c r="C68" s="80" t="s">
        <v>78</v>
      </c>
      <c r="D68" s="55">
        <v>2</v>
      </c>
      <c r="E68" s="608">
        <f t="shared" si="0"/>
        <v>2</v>
      </c>
      <c r="F68" s="607"/>
    </row>
    <row r="69" spans="1:6" s="14" customFormat="1" ht="24.75" customHeight="1" outlineLevel="2" x14ac:dyDescent="0.25">
      <c r="A69" s="57"/>
      <c r="B69" s="76" t="s">
        <v>991</v>
      </c>
      <c r="C69" s="62" t="s">
        <v>10</v>
      </c>
      <c r="D69" s="49">
        <v>0.39200000000000002</v>
      </c>
      <c r="E69" s="608">
        <f t="shared" si="0"/>
        <v>0.39200000000000002</v>
      </c>
      <c r="F69" s="607"/>
    </row>
    <row r="70" spans="1:6" s="14" customFormat="1" ht="24.75" customHeight="1" outlineLevel="1" x14ac:dyDescent="0.25">
      <c r="A70" s="77">
        <v>4</v>
      </c>
      <c r="B70" s="78" t="s">
        <v>996</v>
      </c>
      <c r="C70" s="77" t="s">
        <v>970</v>
      </c>
      <c r="D70" s="55">
        <v>1</v>
      </c>
      <c r="E70" s="608">
        <f t="shared" si="0"/>
        <v>1</v>
      </c>
      <c r="F70" s="607"/>
    </row>
    <row r="71" spans="1:6" s="14" customFormat="1" ht="24.75" customHeight="1" outlineLevel="2" x14ac:dyDescent="0.25">
      <c r="A71" s="57"/>
      <c r="B71" s="64" t="s">
        <v>997</v>
      </c>
      <c r="C71" s="60" t="s">
        <v>970</v>
      </c>
      <c r="D71" s="49">
        <v>1</v>
      </c>
      <c r="E71" s="608">
        <f t="shared" si="0"/>
        <v>1</v>
      </c>
      <c r="F71" s="607"/>
    </row>
    <row r="72" spans="1:6" s="14" customFormat="1" ht="24.75" customHeight="1" outlineLevel="2" x14ac:dyDescent="0.25">
      <c r="A72" s="57"/>
      <c r="B72" s="61" t="s">
        <v>105</v>
      </c>
      <c r="C72" s="62" t="s">
        <v>77</v>
      </c>
      <c r="D72" s="49">
        <v>0.95648</v>
      </c>
      <c r="E72" s="608">
        <f t="shared" si="0"/>
        <v>0.95648</v>
      </c>
      <c r="F72" s="607"/>
    </row>
    <row r="73" spans="1:6" s="14" customFormat="1" ht="24.75" customHeight="1" outlineLevel="2" x14ac:dyDescent="0.25">
      <c r="A73" s="57"/>
      <c r="B73" s="61" t="s">
        <v>83</v>
      </c>
      <c r="C73" s="62" t="s">
        <v>77</v>
      </c>
      <c r="D73" s="49">
        <v>1.57874</v>
      </c>
      <c r="E73" s="608">
        <f t="shared" si="0"/>
        <v>1.57874</v>
      </c>
      <c r="F73" s="607"/>
    </row>
    <row r="74" spans="1:6" s="14" customFormat="1" ht="24.75" customHeight="1" outlineLevel="2" x14ac:dyDescent="0.25">
      <c r="A74" s="57"/>
      <c r="B74" s="61" t="s">
        <v>84</v>
      </c>
      <c r="C74" s="62" t="s">
        <v>77</v>
      </c>
      <c r="D74" s="49">
        <v>0.22</v>
      </c>
      <c r="E74" s="608">
        <f t="shared" si="0"/>
        <v>0.22</v>
      </c>
      <c r="F74" s="607"/>
    </row>
    <row r="75" spans="1:6" s="14" customFormat="1" ht="24.75" customHeight="1" outlineLevel="2" x14ac:dyDescent="0.25">
      <c r="A75" s="57"/>
      <c r="B75" s="61" t="s">
        <v>85</v>
      </c>
      <c r="C75" s="62" t="s">
        <v>77</v>
      </c>
      <c r="D75" s="49">
        <v>0.70641999999999994</v>
      </c>
      <c r="E75" s="608">
        <f t="shared" si="0"/>
        <v>0.70641999999999994</v>
      </c>
      <c r="F75" s="607"/>
    </row>
    <row r="76" spans="1:6" s="14" customFormat="1" ht="24.75" customHeight="1" outlineLevel="2" x14ac:dyDescent="0.25">
      <c r="A76" s="57"/>
      <c r="B76" s="61" t="s">
        <v>86</v>
      </c>
      <c r="C76" s="62" t="s">
        <v>77</v>
      </c>
      <c r="D76" s="49">
        <v>0.83786000000000005</v>
      </c>
      <c r="E76" s="608">
        <f t="shared" si="0"/>
        <v>0.83786000000000005</v>
      </c>
      <c r="F76" s="607"/>
    </row>
    <row r="77" spans="1:6" s="14" customFormat="1" ht="24.75" customHeight="1" outlineLevel="2" x14ac:dyDescent="0.25">
      <c r="A77" s="57"/>
      <c r="B77" s="61" t="s">
        <v>87</v>
      </c>
      <c r="C77" s="62" t="s">
        <v>77</v>
      </c>
      <c r="D77" s="49">
        <v>0.62215999999999994</v>
      </c>
      <c r="E77" s="608">
        <f t="shared" si="0"/>
        <v>0.62215999999999994</v>
      </c>
      <c r="F77" s="607"/>
    </row>
    <row r="78" spans="1:6" s="14" customFormat="1" ht="24.75" customHeight="1" outlineLevel="2" x14ac:dyDescent="0.25">
      <c r="A78" s="57"/>
      <c r="B78" s="61" t="s">
        <v>143</v>
      </c>
      <c r="C78" s="62" t="s">
        <v>77</v>
      </c>
      <c r="D78" s="49">
        <v>2.2176399999999998</v>
      </c>
      <c r="E78" s="608">
        <f t="shared" si="0"/>
        <v>2.2176399999999998</v>
      </c>
      <c r="F78" s="607"/>
    </row>
    <row r="79" spans="1:6" s="14" customFormat="1" ht="24.75" customHeight="1" outlineLevel="2" x14ac:dyDescent="0.25">
      <c r="A79" s="57"/>
      <c r="B79" s="61" t="s">
        <v>984</v>
      </c>
      <c r="C79" s="63" t="s">
        <v>10</v>
      </c>
      <c r="D79" s="49">
        <v>30.5</v>
      </c>
      <c r="E79" s="608">
        <f t="shared" si="0"/>
        <v>30.5</v>
      </c>
      <c r="F79" s="607"/>
    </row>
    <row r="80" spans="1:6" s="14" customFormat="1" ht="24.75" customHeight="1" outlineLevel="2" x14ac:dyDescent="0.25">
      <c r="A80" s="57"/>
      <c r="B80" s="61" t="s">
        <v>102</v>
      </c>
      <c r="C80" s="63" t="s">
        <v>68</v>
      </c>
      <c r="D80" s="49">
        <v>110.92</v>
      </c>
      <c r="E80" s="608">
        <f t="shared" si="0"/>
        <v>110.92</v>
      </c>
      <c r="F80" s="607"/>
    </row>
    <row r="81" spans="1:6" s="14" customFormat="1" ht="24.75" customHeight="1" outlineLevel="2" x14ac:dyDescent="0.25">
      <c r="A81" s="57"/>
      <c r="B81" s="64" t="s">
        <v>998</v>
      </c>
      <c r="C81" s="590" t="s">
        <v>79</v>
      </c>
      <c r="D81" s="49">
        <v>2</v>
      </c>
      <c r="E81" s="608">
        <f t="shared" ref="E81:E144" si="1">D81</f>
        <v>2</v>
      </c>
      <c r="F81" s="607"/>
    </row>
    <row r="82" spans="1:6" s="14" customFormat="1" ht="24.75" customHeight="1" outlineLevel="2" x14ac:dyDescent="0.25">
      <c r="A82" s="57"/>
      <c r="B82" s="61" t="s">
        <v>83</v>
      </c>
      <c r="C82" s="62" t="s">
        <v>77</v>
      </c>
      <c r="D82" s="49">
        <v>0.12229000000000001</v>
      </c>
      <c r="E82" s="608">
        <f t="shared" si="1"/>
        <v>0.12229000000000001</v>
      </c>
      <c r="F82" s="607"/>
    </row>
    <row r="83" spans="1:6" s="14" customFormat="1" ht="24.75" customHeight="1" outlineLevel="2" x14ac:dyDescent="0.25">
      <c r="A83" s="57"/>
      <c r="B83" s="61" t="s">
        <v>85</v>
      </c>
      <c r="C83" s="62" t="s">
        <v>77</v>
      </c>
      <c r="D83" s="49">
        <v>0.99078999999999995</v>
      </c>
      <c r="E83" s="608">
        <f t="shared" si="1"/>
        <v>0.99078999999999995</v>
      </c>
      <c r="F83" s="607"/>
    </row>
    <row r="84" spans="1:6" s="14" customFormat="1" ht="24.75" customHeight="1" outlineLevel="2" x14ac:dyDescent="0.25">
      <c r="A84" s="57"/>
      <c r="B84" s="61" t="s">
        <v>87</v>
      </c>
      <c r="C84" s="62" t="s">
        <v>77</v>
      </c>
      <c r="D84" s="49">
        <v>0.3286</v>
      </c>
      <c r="E84" s="608">
        <f t="shared" si="1"/>
        <v>0.3286</v>
      </c>
      <c r="F84" s="607"/>
    </row>
    <row r="85" spans="1:6" s="14" customFormat="1" ht="24.75" customHeight="1" outlineLevel="2" x14ac:dyDescent="0.25">
      <c r="A85" s="57"/>
      <c r="B85" s="61" t="s">
        <v>984</v>
      </c>
      <c r="C85" s="63" t="s">
        <v>10</v>
      </c>
      <c r="D85" s="49">
        <v>1.56</v>
      </c>
      <c r="E85" s="608">
        <f t="shared" si="1"/>
        <v>1.56</v>
      </c>
      <c r="F85" s="607"/>
    </row>
    <row r="86" spans="1:6" s="14" customFormat="1" ht="24.75" customHeight="1" outlineLevel="2" x14ac:dyDescent="0.25">
      <c r="A86" s="57"/>
      <c r="B86" s="61" t="s">
        <v>102</v>
      </c>
      <c r="C86" s="62" t="s">
        <v>68</v>
      </c>
      <c r="D86" s="49">
        <v>2.56</v>
      </c>
      <c r="E86" s="608">
        <f t="shared" si="1"/>
        <v>2.56</v>
      </c>
      <c r="F86" s="607"/>
    </row>
    <row r="87" spans="1:6" s="14" customFormat="1" ht="24.75" customHeight="1" outlineLevel="2" x14ac:dyDescent="0.25">
      <c r="A87" s="57"/>
      <c r="B87" s="64" t="s">
        <v>985</v>
      </c>
      <c r="C87" s="59" t="s">
        <v>134</v>
      </c>
      <c r="D87" s="49">
        <v>1</v>
      </c>
      <c r="E87" s="608">
        <f t="shared" si="1"/>
        <v>1</v>
      </c>
      <c r="F87" s="607"/>
    </row>
    <row r="88" spans="1:6" s="14" customFormat="1" ht="24.75" customHeight="1" outlineLevel="2" x14ac:dyDescent="0.25">
      <c r="A88" s="57"/>
      <c r="B88" s="76" t="s">
        <v>986</v>
      </c>
      <c r="C88" s="62" t="s">
        <v>77</v>
      </c>
      <c r="D88" s="49">
        <v>0.35525000000000001</v>
      </c>
      <c r="E88" s="608">
        <f t="shared" si="1"/>
        <v>0.35525000000000001</v>
      </c>
      <c r="F88" s="607"/>
    </row>
    <row r="89" spans="1:6" s="14" customFormat="1" ht="24.75" customHeight="1" outlineLevel="2" x14ac:dyDescent="0.25">
      <c r="A89" s="57"/>
      <c r="B89" s="76" t="s">
        <v>987</v>
      </c>
      <c r="C89" s="62" t="s">
        <v>124</v>
      </c>
      <c r="D89" s="49">
        <v>88.29</v>
      </c>
      <c r="E89" s="608">
        <f t="shared" si="1"/>
        <v>88.29</v>
      </c>
      <c r="F89" s="607"/>
    </row>
    <row r="90" spans="1:6" s="14" customFormat="1" ht="24.75" customHeight="1" outlineLevel="2" x14ac:dyDescent="0.25">
      <c r="A90" s="57"/>
      <c r="B90" s="76" t="s">
        <v>988</v>
      </c>
      <c r="C90" s="62" t="s">
        <v>124</v>
      </c>
      <c r="D90" s="49">
        <v>1.6</v>
      </c>
      <c r="E90" s="608">
        <f t="shared" si="1"/>
        <v>1.6</v>
      </c>
      <c r="F90" s="607"/>
    </row>
    <row r="91" spans="1:6" s="14" customFormat="1" ht="24.75" customHeight="1" outlineLevel="2" x14ac:dyDescent="0.25">
      <c r="A91" s="57"/>
      <c r="B91" s="61" t="s">
        <v>989</v>
      </c>
      <c r="C91" s="63" t="s">
        <v>78</v>
      </c>
      <c r="D91" s="49">
        <v>2</v>
      </c>
      <c r="E91" s="608">
        <f t="shared" si="1"/>
        <v>2</v>
      </c>
      <c r="F91" s="607"/>
    </row>
    <row r="92" spans="1:6" s="14" customFormat="1" ht="24.75" customHeight="1" outlineLevel="2" x14ac:dyDescent="0.25">
      <c r="A92" s="77"/>
      <c r="B92" s="79" t="s">
        <v>990</v>
      </c>
      <c r="C92" s="80" t="s">
        <v>78</v>
      </c>
      <c r="D92" s="55">
        <v>2</v>
      </c>
      <c r="E92" s="608">
        <f t="shared" si="1"/>
        <v>2</v>
      </c>
      <c r="F92" s="607"/>
    </row>
    <row r="93" spans="1:6" s="14" customFormat="1" ht="24.75" customHeight="1" outlineLevel="2" x14ac:dyDescent="0.25">
      <c r="A93" s="57"/>
      <c r="B93" s="76" t="s">
        <v>991</v>
      </c>
      <c r="C93" s="62" t="s">
        <v>10</v>
      </c>
      <c r="D93" s="49">
        <v>0.41299999999999998</v>
      </c>
      <c r="E93" s="608">
        <f t="shared" si="1"/>
        <v>0.41299999999999998</v>
      </c>
      <c r="F93" s="607"/>
    </row>
    <row r="94" spans="1:6" s="14" customFormat="1" ht="24.75" customHeight="1" outlineLevel="1" x14ac:dyDescent="0.25">
      <c r="A94" s="77">
        <v>5</v>
      </c>
      <c r="B94" s="78" t="s">
        <v>999</v>
      </c>
      <c r="C94" s="77" t="s">
        <v>970</v>
      </c>
      <c r="D94" s="55">
        <v>1</v>
      </c>
      <c r="E94" s="608">
        <f t="shared" si="1"/>
        <v>1</v>
      </c>
      <c r="F94" s="607"/>
    </row>
    <row r="95" spans="1:6" s="14" customFormat="1" ht="24.75" customHeight="1" outlineLevel="2" x14ac:dyDescent="0.25">
      <c r="A95" s="57"/>
      <c r="B95" s="64" t="s">
        <v>1000</v>
      </c>
      <c r="C95" s="60" t="s">
        <v>970</v>
      </c>
      <c r="D95" s="49">
        <v>1</v>
      </c>
      <c r="E95" s="608">
        <f t="shared" si="1"/>
        <v>1</v>
      </c>
      <c r="F95" s="607"/>
    </row>
    <row r="96" spans="1:6" s="14" customFormat="1" ht="24.75" customHeight="1" outlineLevel="2" x14ac:dyDescent="0.25">
      <c r="A96" s="57"/>
      <c r="B96" s="61" t="s">
        <v>105</v>
      </c>
      <c r="C96" s="62" t="s">
        <v>77</v>
      </c>
      <c r="D96" s="49">
        <v>0.95648</v>
      </c>
      <c r="E96" s="608">
        <f t="shared" si="1"/>
        <v>0.95648</v>
      </c>
      <c r="F96" s="607"/>
    </row>
    <row r="97" spans="1:6" s="14" customFormat="1" ht="24.75" customHeight="1" outlineLevel="2" x14ac:dyDescent="0.25">
      <c r="A97" s="57"/>
      <c r="B97" s="61" t="s">
        <v>83</v>
      </c>
      <c r="C97" s="62" t="s">
        <v>77</v>
      </c>
      <c r="D97" s="49">
        <v>1.57874</v>
      </c>
      <c r="E97" s="608">
        <f t="shared" si="1"/>
        <v>1.57874</v>
      </c>
      <c r="F97" s="607"/>
    </row>
    <row r="98" spans="1:6" s="14" customFormat="1" ht="24.75" customHeight="1" outlineLevel="2" x14ac:dyDescent="0.25">
      <c r="A98" s="57"/>
      <c r="B98" s="61" t="s">
        <v>84</v>
      </c>
      <c r="C98" s="62" t="s">
        <v>77</v>
      </c>
      <c r="D98" s="49">
        <v>0.22</v>
      </c>
      <c r="E98" s="608">
        <f t="shared" si="1"/>
        <v>0.22</v>
      </c>
      <c r="F98" s="607"/>
    </row>
    <row r="99" spans="1:6" s="14" customFormat="1" ht="24.75" customHeight="1" outlineLevel="2" x14ac:dyDescent="0.25">
      <c r="A99" s="57"/>
      <c r="B99" s="61" t="s">
        <v>85</v>
      </c>
      <c r="C99" s="62" t="s">
        <v>77</v>
      </c>
      <c r="D99" s="49">
        <v>0.70641999999999994</v>
      </c>
      <c r="E99" s="608">
        <f t="shared" si="1"/>
        <v>0.70641999999999994</v>
      </c>
      <c r="F99" s="607"/>
    </row>
    <row r="100" spans="1:6" s="14" customFormat="1" ht="24.75" customHeight="1" outlineLevel="2" x14ac:dyDescent="0.25">
      <c r="A100" s="57"/>
      <c r="B100" s="61" t="s">
        <v>86</v>
      </c>
      <c r="C100" s="62" t="s">
        <v>77</v>
      </c>
      <c r="D100" s="49">
        <v>0.83786000000000005</v>
      </c>
      <c r="E100" s="608">
        <f t="shared" si="1"/>
        <v>0.83786000000000005</v>
      </c>
      <c r="F100" s="607"/>
    </row>
    <row r="101" spans="1:6" s="14" customFormat="1" ht="24.75" customHeight="1" outlineLevel="2" x14ac:dyDescent="0.25">
      <c r="A101" s="57"/>
      <c r="B101" s="61" t="s">
        <v>87</v>
      </c>
      <c r="C101" s="62" t="s">
        <v>77</v>
      </c>
      <c r="D101" s="49">
        <v>0.62215999999999994</v>
      </c>
      <c r="E101" s="608">
        <f t="shared" si="1"/>
        <v>0.62215999999999994</v>
      </c>
      <c r="F101" s="607"/>
    </row>
    <row r="102" spans="1:6" s="14" customFormat="1" ht="24.75" customHeight="1" outlineLevel="2" x14ac:dyDescent="0.25">
      <c r="A102" s="57"/>
      <c r="B102" s="61" t="s">
        <v>143</v>
      </c>
      <c r="C102" s="62" t="s">
        <v>77</v>
      </c>
      <c r="D102" s="49">
        <v>2.2176399999999998</v>
      </c>
      <c r="E102" s="608">
        <f t="shared" si="1"/>
        <v>2.2176399999999998</v>
      </c>
      <c r="F102" s="607"/>
    </row>
    <row r="103" spans="1:6" s="14" customFormat="1" ht="24.75" customHeight="1" outlineLevel="2" x14ac:dyDescent="0.25">
      <c r="A103" s="57"/>
      <c r="B103" s="61" t="s">
        <v>984</v>
      </c>
      <c r="C103" s="63" t="s">
        <v>10</v>
      </c>
      <c r="D103" s="49">
        <v>30.5</v>
      </c>
      <c r="E103" s="608">
        <f t="shared" si="1"/>
        <v>30.5</v>
      </c>
      <c r="F103" s="607"/>
    </row>
    <row r="104" spans="1:6" s="14" customFormat="1" ht="24.75" customHeight="1" outlineLevel="2" x14ac:dyDescent="0.25">
      <c r="A104" s="57"/>
      <c r="B104" s="61" t="s">
        <v>102</v>
      </c>
      <c r="C104" s="63" t="s">
        <v>68</v>
      </c>
      <c r="D104" s="49">
        <v>110.92</v>
      </c>
      <c r="E104" s="608">
        <f t="shared" si="1"/>
        <v>110.92</v>
      </c>
      <c r="F104" s="607"/>
    </row>
    <row r="105" spans="1:6" s="14" customFormat="1" ht="24.75" customHeight="1" outlineLevel="2" x14ac:dyDescent="0.25">
      <c r="A105" s="57"/>
      <c r="B105" s="64" t="s">
        <v>985</v>
      </c>
      <c r="C105" s="59" t="s">
        <v>134</v>
      </c>
      <c r="D105" s="49">
        <v>1</v>
      </c>
      <c r="E105" s="608">
        <f t="shared" si="1"/>
        <v>1</v>
      </c>
      <c r="F105" s="607"/>
    </row>
    <row r="106" spans="1:6" s="14" customFormat="1" ht="24.75" customHeight="1" outlineLevel="2" x14ac:dyDescent="0.25">
      <c r="A106" s="57"/>
      <c r="B106" s="76" t="s">
        <v>986</v>
      </c>
      <c r="C106" s="62" t="s">
        <v>77</v>
      </c>
      <c r="D106" s="49">
        <v>0.35525000000000001</v>
      </c>
      <c r="E106" s="608">
        <f t="shared" si="1"/>
        <v>0.35525000000000001</v>
      </c>
      <c r="F106" s="607"/>
    </row>
    <row r="107" spans="1:6" s="14" customFormat="1" ht="24.75" customHeight="1" outlineLevel="2" x14ac:dyDescent="0.25">
      <c r="A107" s="57"/>
      <c r="B107" s="76" t="s">
        <v>987</v>
      </c>
      <c r="C107" s="62" t="s">
        <v>124</v>
      </c>
      <c r="D107" s="49">
        <v>77.712999999999994</v>
      </c>
      <c r="E107" s="608">
        <f t="shared" si="1"/>
        <v>77.712999999999994</v>
      </c>
      <c r="F107" s="607"/>
    </row>
    <row r="108" spans="1:6" s="14" customFormat="1" ht="24.75" customHeight="1" outlineLevel="2" x14ac:dyDescent="0.25">
      <c r="A108" s="57"/>
      <c r="B108" s="76" t="s">
        <v>988</v>
      </c>
      <c r="C108" s="62" t="s">
        <v>124</v>
      </c>
      <c r="D108" s="49">
        <v>2.4</v>
      </c>
      <c r="E108" s="608">
        <f t="shared" si="1"/>
        <v>2.4</v>
      </c>
      <c r="F108" s="607"/>
    </row>
    <row r="109" spans="1:6" s="14" customFormat="1" ht="24.75" customHeight="1" outlineLevel="2" x14ac:dyDescent="0.25">
      <c r="A109" s="57"/>
      <c r="B109" s="61" t="s">
        <v>989</v>
      </c>
      <c r="C109" s="63" t="s">
        <v>78</v>
      </c>
      <c r="D109" s="49">
        <v>2</v>
      </c>
      <c r="E109" s="608">
        <f t="shared" si="1"/>
        <v>2</v>
      </c>
      <c r="F109" s="607"/>
    </row>
    <row r="110" spans="1:6" s="14" customFormat="1" ht="24.75" customHeight="1" outlineLevel="2" x14ac:dyDescent="0.25">
      <c r="A110" s="77"/>
      <c r="B110" s="79" t="s">
        <v>990</v>
      </c>
      <c r="C110" s="80" t="s">
        <v>78</v>
      </c>
      <c r="D110" s="55">
        <v>2</v>
      </c>
      <c r="E110" s="608">
        <f t="shared" si="1"/>
        <v>2</v>
      </c>
      <c r="F110" s="607"/>
    </row>
    <row r="111" spans="1:6" s="14" customFormat="1" ht="24.75" customHeight="1" outlineLevel="2" x14ac:dyDescent="0.25">
      <c r="A111" s="57"/>
      <c r="B111" s="76" t="s">
        <v>991</v>
      </c>
      <c r="C111" s="62" t="s">
        <v>10</v>
      </c>
      <c r="D111" s="49">
        <v>0.36399999999999999</v>
      </c>
      <c r="E111" s="608">
        <f t="shared" si="1"/>
        <v>0.36399999999999999</v>
      </c>
      <c r="F111" s="607"/>
    </row>
    <row r="112" spans="1:6" s="14" customFormat="1" ht="24.75" customHeight="1" outlineLevel="1" x14ac:dyDescent="0.25">
      <c r="A112" s="77">
        <v>6</v>
      </c>
      <c r="B112" s="78" t="s">
        <v>1001</v>
      </c>
      <c r="C112" s="77" t="s">
        <v>970</v>
      </c>
      <c r="D112" s="55">
        <v>1</v>
      </c>
      <c r="E112" s="608">
        <f t="shared" si="1"/>
        <v>1</v>
      </c>
      <c r="F112" s="607"/>
    </row>
    <row r="113" spans="1:6" s="14" customFormat="1" ht="24.75" customHeight="1" outlineLevel="2" x14ac:dyDescent="0.25">
      <c r="A113" s="57"/>
      <c r="B113" s="64" t="s">
        <v>1002</v>
      </c>
      <c r="C113" s="60" t="s">
        <v>970</v>
      </c>
      <c r="D113" s="49">
        <v>1</v>
      </c>
      <c r="E113" s="608">
        <f t="shared" si="1"/>
        <v>1</v>
      </c>
      <c r="F113" s="607"/>
    </row>
    <row r="114" spans="1:6" s="14" customFormat="1" ht="24.75" customHeight="1" outlineLevel="2" x14ac:dyDescent="0.25">
      <c r="A114" s="57"/>
      <c r="B114" s="61" t="s">
        <v>105</v>
      </c>
      <c r="C114" s="62" t="s">
        <v>77</v>
      </c>
      <c r="D114" s="49">
        <v>0.93774999999999997</v>
      </c>
      <c r="E114" s="608">
        <f t="shared" si="1"/>
        <v>0.93774999999999997</v>
      </c>
      <c r="F114" s="607"/>
    </row>
    <row r="115" spans="1:6" s="14" customFormat="1" ht="24.75" customHeight="1" outlineLevel="2" x14ac:dyDescent="0.25">
      <c r="A115" s="57"/>
      <c r="B115" s="61" t="s">
        <v>83</v>
      </c>
      <c r="C115" s="62" t="s">
        <v>77</v>
      </c>
      <c r="D115" s="49">
        <v>1.57176</v>
      </c>
      <c r="E115" s="608">
        <f t="shared" si="1"/>
        <v>1.57176</v>
      </c>
      <c r="F115" s="607"/>
    </row>
    <row r="116" spans="1:6" s="14" customFormat="1" ht="24.75" customHeight="1" outlineLevel="2" x14ac:dyDescent="0.25">
      <c r="A116" s="57"/>
      <c r="B116" s="61" t="s">
        <v>84</v>
      </c>
      <c r="C116" s="62" t="s">
        <v>77</v>
      </c>
      <c r="D116" s="49">
        <v>0.22</v>
      </c>
      <c r="E116" s="608">
        <f t="shared" si="1"/>
        <v>0.22</v>
      </c>
      <c r="F116" s="607"/>
    </row>
    <row r="117" spans="1:6" s="14" customFormat="1" ht="24.75" customHeight="1" outlineLevel="2" x14ac:dyDescent="0.25">
      <c r="A117" s="57"/>
      <c r="B117" s="61" t="s">
        <v>85</v>
      </c>
      <c r="C117" s="62" t="s">
        <v>77</v>
      </c>
      <c r="D117" s="49">
        <v>0.70641999999999994</v>
      </c>
      <c r="E117" s="608">
        <f t="shared" si="1"/>
        <v>0.70641999999999994</v>
      </c>
      <c r="F117" s="607"/>
    </row>
    <row r="118" spans="1:6" s="14" customFormat="1" ht="24.75" customHeight="1" outlineLevel="2" x14ac:dyDescent="0.25">
      <c r="A118" s="57"/>
      <c r="B118" s="61" t="s">
        <v>86</v>
      </c>
      <c r="C118" s="62" t="s">
        <v>77</v>
      </c>
      <c r="D118" s="49">
        <v>0.83786000000000005</v>
      </c>
      <c r="E118" s="608">
        <f t="shared" si="1"/>
        <v>0.83786000000000005</v>
      </c>
      <c r="F118" s="607"/>
    </row>
    <row r="119" spans="1:6" s="14" customFormat="1" ht="24.75" customHeight="1" outlineLevel="2" x14ac:dyDescent="0.25">
      <c r="A119" s="57"/>
      <c r="B119" s="61" t="s">
        <v>87</v>
      </c>
      <c r="C119" s="62" t="s">
        <v>77</v>
      </c>
      <c r="D119" s="49">
        <v>0.62215999999999994</v>
      </c>
      <c r="E119" s="608">
        <f t="shared" si="1"/>
        <v>0.62215999999999994</v>
      </c>
      <c r="F119" s="607"/>
    </row>
    <row r="120" spans="1:6" s="14" customFormat="1" ht="24.75" customHeight="1" outlineLevel="2" x14ac:dyDescent="0.25">
      <c r="A120" s="57"/>
      <c r="B120" s="61" t="s">
        <v>143</v>
      </c>
      <c r="C120" s="62" t="s">
        <v>77</v>
      </c>
      <c r="D120" s="49">
        <v>2.0773899999999998</v>
      </c>
      <c r="E120" s="608">
        <f t="shared" si="1"/>
        <v>2.0773899999999998</v>
      </c>
      <c r="F120" s="607"/>
    </row>
    <row r="121" spans="1:6" s="14" customFormat="1" ht="24.75" customHeight="1" outlineLevel="2" x14ac:dyDescent="0.25">
      <c r="A121" s="57"/>
      <c r="B121" s="61" t="s">
        <v>984</v>
      </c>
      <c r="C121" s="63" t="s">
        <v>10</v>
      </c>
      <c r="D121" s="49">
        <v>29.08</v>
      </c>
      <c r="E121" s="608">
        <f t="shared" si="1"/>
        <v>29.08</v>
      </c>
      <c r="F121" s="607"/>
    </row>
    <row r="122" spans="1:6" s="14" customFormat="1" ht="24.75" customHeight="1" outlineLevel="2" x14ac:dyDescent="0.25">
      <c r="A122" s="57"/>
      <c r="B122" s="61" t="s">
        <v>102</v>
      </c>
      <c r="C122" s="63" t="s">
        <v>68</v>
      </c>
      <c r="D122" s="49">
        <v>107.02</v>
      </c>
      <c r="E122" s="608">
        <f t="shared" si="1"/>
        <v>107.02</v>
      </c>
      <c r="F122" s="607"/>
    </row>
    <row r="123" spans="1:6" s="14" customFormat="1" ht="24.75" customHeight="1" outlineLevel="2" x14ac:dyDescent="0.25">
      <c r="A123" s="57"/>
      <c r="B123" s="64" t="s">
        <v>998</v>
      </c>
      <c r="C123" s="590" t="s">
        <v>79</v>
      </c>
      <c r="D123" s="49">
        <v>2</v>
      </c>
      <c r="E123" s="608">
        <f t="shared" si="1"/>
        <v>2</v>
      </c>
      <c r="F123" s="607"/>
    </row>
    <row r="124" spans="1:6" s="14" customFormat="1" ht="24.75" customHeight="1" outlineLevel="2" x14ac:dyDescent="0.25">
      <c r="A124" s="57"/>
      <c r="B124" s="61" t="s">
        <v>83</v>
      </c>
      <c r="C124" s="62" t="s">
        <v>77</v>
      </c>
      <c r="D124" s="49">
        <v>0.1166</v>
      </c>
      <c r="E124" s="608">
        <f t="shared" si="1"/>
        <v>0.1166</v>
      </c>
      <c r="F124" s="607"/>
    </row>
    <row r="125" spans="1:6" s="14" customFormat="1" ht="24.75" customHeight="1" outlineLevel="2" x14ac:dyDescent="0.25">
      <c r="A125" s="57"/>
      <c r="B125" s="61" t="s">
        <v>85</v>
      </c>
      <c r="C125" s="62" t="s">
        <v>77</v>
      </c>
      <c r="D125" s="49">
        <v>0.95077999999999996</v>
      </c>
      <c r="E125" s="608">
        <f t="shared" si="1"/>
        <v>0.95077999999999996</v>
      </c>
      <c r="F125" s="607"/>
    </row>
    <row r="126" spans="1:6" s="14" customFormat="1" ht="24.75" customHeight="1" outlineLevel="2" x14ac:dyDescent="0.25">
      <c r="A126" s="57"/>
      <c r="B126" s="61" t="s">
        <v>87</v>
      </c>
      <c r="C126" s="62" t="s">
        <v>77</v>
      </c>
      <c r="D126" s="49">
        <v>0.32005</v>
      </c>
      <c r="E126" s="608">
        <f t="shared" si="1"/>
        <v>0.32005</v>
      </c>
      <c r="F126" s="607"/>
    </row>
    <row r="127" spans="1:6" s="14" customFormat="1" ht="24.75" customHeight="1" outlineLevel="2" x14ac:dyDescent="0.25">
      <c r="A127" s="57"/>
      <c r="B127" s="61" t="s">
        <v>984</v>
      </c>
      <c r="C127" s="63" t="s">
        <v>10</v>
      </c>
      <c r="D127" s="49">
        <v>1.4</v>
      </c>
      <c r="E127" s="608">
        <f t="shared" si="1"/>
        <v>1.4</v>
      </c>
      <c r="F127" s="607"/>
    </row>
    <row r="128" spans="1:6" s="14" customFormat="1" ht="24.75" customHeight="1" outlineLevel="2" x14ac:dyDescent="0.25">
      <c r="A128" s="57"/>
      <c r="B128" s="61" t="s">
        <v>102</v>
      </c>
      <c r="C128" s="62" t="s">
        <v>68</v>
      </c>
      <c r="D128" s="49">
        <v>2.46</v>
      </c>
      <c r="E128" s="608">
        <f t="shared" si="1"/>
        <v>2.46</v>
      </c>
      <c r="F128" s="607"/>
    </row>
    <row r="129" spans="1:6" s="14" customFormat="1" ht="24.75" customHeight="1" outlineLevel="2" x14ac:dyDescent="0.25">
      <c r="A129" s="57"/>
      <c r="B129" s="64" t="s">
        <v>985</v>
      </c>
      <c r="C129" s="59" t="s">
        <v>134</v>
      </c>
      <c r="D129" s="49">
        <v>1</v>
      </c>
      <c r="E129" s="608">
        <f t="shared" si="1"/>
        <v>1</v>
      </c>
      <c r="F129" s="607"/>
    </row>
    <row r="130" spans="1:6" s="14" customFormat="1" ht="24.75" customHeight="1" outlineLevel="2" x14ac:dyDescent="0.25">
      <c r="A130" s="57"/>
      <c r="B130" s="76" t="s">
        <v>986</v>
      </c>
      <c r="C130" s="62" t="s">
        <v>77</v>
      </c>
      <c r="D130" s="49">
        <v>0.43445</v>
      </c>
      <c r="E130" s="608">
        <f t="shared" si="1"/>
        <v>0.43445</v>
      </c>
      <c r="F130" s="607"/>
    </row>
    <row r="131" spans="1:6" s="14" customFormat="1" ht="24.75" customHeight="1" outlineLevel="2" x14ac:dyDescent="0.25">
      <c r="A131" s="57"/>
      <c r="B131" s="76" t="s">
        <v>987</v>
      </c>
      <c r="C131" s="62" t="s">
        <v>124</v>
      </c>
      <c r="D131" s="49">
        <v>94.09</v>
      </c>
      <c r="E131" s="608">
        <f t="shared" si="1"/>
        <v>94.09</v>
      </c>
      <c r="F131" s="607"/>
    </row>
    <row r="132" spans="1:6" s="14" customFormat="1" ht="24.75" customHeight="1" outlineLevel="2" x14ac:dyDescent="0.25">
      <c r="A132" s="57"/>
      <c r="B132" s="76" t="s">
        <v>988</v>
      </c>
      <c r="C132" s="62" t="s">
        <v>124</v>
      </c>
      <c r="D132" s="49">
        <v>1.6</v>
      </c>
      <c r="E132" s="608">
        <f t="shared" si="1"/>
        <v>1.6</v>
      </c>
      <c r="F132" s="607"/>
    </row>
    <row r="133" spans="1:6" s="14" customFormat="1" ht="24.75" customHeight="1" outlineLevel="2" x14ac:dyDescent="0.25">
      <c r="A133" s="57"/>
      <c r="B133" s="61" t="s">
        <v>989</v>
      </c>
      <c r="C133" s="63" t="s">
        <v>78</v>
      </c>
      <c r="D133" s="49">
        <v>2</v>
      </c>
      <c r="E133" s="608">
        <f t="shared" si="1"/>
        <v>2</v>
      </c>
      <c r="F133" s="607"/>
    </row>
    <row r="134" spans="1:6" s="14" customFormat="1" ht="24.75" customHeight="1" outlineLevel="2" x14ac:dyDescent="0.25">
      <c r="A134" s="77"/>
      <c r="B134" s="79" t="s">
        <v>990</v>
      </c>
      <c r="C134" s="80" t="s">
        <v>78</v>
      </c>
      <c r="D134" s="55">
        <v>2</v>
      </c>
      <c r="E134" s="608">
        <f t="shared" si="1"/>
        <v>2</v>
      </c>
      <c r="F134" s="607"/>
    </row>
    <row r="135" spans="1:6" s="14" customFormat="1" ht="24.75" customHeight="1" outlineLevel="2" x14ac:dyDescent="0.25">
      <c r="A135" s="57"/>
      <c r="B135" s="76" t="s">
        <v>991</v>
      </c>
      <c r="C135" s="62" t="s">
        <v>10</v>
      </c>
      <c r="D135" s="49">
        <v>0.44</v>
      </c>
      <c r="E135" s="608">
        <f t="shared" si="1"/>
        <v>0.44</v>
      </c>
      <c r="F135" s="607"/>
    </row>
    <row r="136" spans="1:6" s="14" customFormat="1" ht="24.75" customHeight="1" outlineLevel="1" x14ac:dyDescent="0.25">
      <c r="A136" s="77">
        <v>7</v>
      </c>
      <c r="B136" s="78" t="s">
        <v>1003</v>
      </c>
      <c r="C136" s="77" t="s">
        <v>970</v>
      </c>
      <c r="D136" s="55">
        <v>1</v>
      </c>
      <c r="E136" s="608">
        <f t="shared" si="1"/>
        <v>1</v>
      </c>
      <c r="F136" s="607"/>
    </row>
    <row r="137" spans="1:6" s="14" customFormat="1" ht="24.75" customHeight="1" outlineLevel="2" x14ac:dyDescent="0.25">
      <c r="A137" s="57"/>
      <c r="B137" s="64" t="s">
        <v>1004</v>
      </c>
      <c r="C137" s="60" t="s">
        <v>970</v>
      </c>
      <c r="D137" s="49">
        <v>1</v>
      </c>
      <c r="E137" s="608">
        <f t="shared" si="1"/>
        <v>1</v>
      </c>
      <c r="F137" s="607"/>
    </row>
    <row r="138" spans="1:6" s="14" customFormat="1" ht="24.75" customHeight="1" outlineLevel="2" x14ac:dyDescent="0.25">
      <c r="A138" s="57"/>
      <c r="B138" s="61" t="s">
        <v>105</v>
      </c>
      <c r="C138" s="62" t="s">
        <v>77</v>
      </c>
      <c r="D138" s="49">
        <v>0.93774999999999997</v>
      </c>
      <c r="E138" s="608">
        <f t="shared" si="1"/>
        <v>0.93774999999999997</v>
      </c>
      <c r="F138" s="607"/>
    </row>
    <row r="139" spans="1:6" s="14" customFormat="1" ht="24.75" customHeight="1" outlineLevel="2" x14ac:dyDescent="0.25">
      <c r="A139" s="57"/>
      <c r="B139" s="61" t="s">
        <v>83</v>
      </c>
      <c r="C139" s="62" t="s">
        <v>77</v>
      </c>
      <c r="D139" s="49">
        <v>1.57176</v>
      </c>
      <c r="E139" s="608">
        <f t="shared" si="1"/>
        <v>1.57176</v>
      </c>
      <c r="F139" s="607"/>
    </row>
    <row r="140" spans="1:6" s="14" customFormat="1" ht="24.75" customHeight="1" outlineLevel="2" x14ac:dyDescent="0.25">
      <c r="A140" s="57"/>
      <c r="B140" s="61" t="s">
        <v>84</v>
      </c>
      <c r="C140" s="62" t="s">
        <v>77</v>
      </c>
      <c r="D140" s="49">
        <v>0.22</v>
      </c>
      <c r="E140" s="608">
        <f t="shared" si="1"/>
        <v>0.22</v>
      </c>
      <c r="F140" s="607"/>
    </row>
    <row r="141" spans="1:6" s="14" customFormat="1" ht="24.75" customHeight="1" outlineLevel="2" x14ac:dyDescent="0.25">
      <c r="A141" s="57"/>
      <c r="B141" s="61" t="s">
        <v>85</v>
      </c>
      <c r="C141" s="62" t="s">
        <v>77</v>
      </c>
      <c r="D141" s="49">
        <v>0.70641999999999994</v>
      </c>
      <c r="E141" s="608">
        <f t="shared" si="1"/>
        <v>0.70641999999999994</v>
      </c>
      <c r="F141" s="607"/>
    </row>
    <row r="142" spans="1:6" s="14" customFormat="1" ht="24.75" customHeight="1" outlineLevel="2" x14ac:dyDescent="0.25">
      <c r="A142" s="57"/>
      <c r="B142" s="61" t="s">
        <v>86</v>
      </c>
      <c r="C142" s="62" t="s">
        <v>77</v>
      </c>
      <c r="D142" s="49">
        <v>0.83786000000000005</v>
      </c>
      <c r="E142" s="608">
        <f t="shared" si="1"/>
        <v>0.83786000000000005</v>
      </c>
      <c r="F142" s="607"/>
    </row>
    <row r="143" spans="1:6" s="14" customFormat="1" ht="24.75" customHeight="1" outlineLevel="2" x14ac:dyDescent="0.25">
      <c r="A143" s="57"/>
      <c r="B143" s="61" t="s">
        <v>87</v>
      </c>
      <c r="C143" s="62" t="s">
        <v>77</v>
      </c>
      <c r="D143" s="49">
        <v>0.62215999999999994</v>
      </c>
      <c r="E143" s="608">
        <f t="shared" si="1"/>
        <v>0.62215999999999994</v>
      </c>
      <c r="F143" s="607"/>
    </row>
    <row r="144" spans="1:6" s="14" customFormat="1" ht="24.75" customHeight="1" outlineLevel="2" x14ac:dyDescent="0.25">
      <c r="A144" s="57"/>
      <c r="B144" s="61" t="s">
        <v>143</v>
      </c>
      <c r="C144" s="62" t="s">
        <v>77</v>
      </c>
      <c r="D144" s="49">
        <v>2.0773899999999998</v>
      </c>
      <c r="E144" s="608">
        <f t="shared" si="1"/>
        <v>2.0773899999999998</v>
      </c>
      <c r="F144" s="607"/>
    </row>
    <row r="145" spans="1:6" s="14" customFormat="1" ht="24.75" customHeight="1" outlineLevel="2" x14ac:dyDescent="0.25">
      <c r="A145" s="57"/>
      <c r="B145" s="61" t="s">
        <v>984</v>
      </c>
      <c r="C145" s="63" t="s">
        <v>10</v>
      </c>
      <c r="D145" s="49">
        <v>29.08</v>
      </c>
      <c r="E145" s="608">
        <f t="shared" ref="E145:E208" si="2">D145</f>
        <v>29.08</v>
      </c>
      <c r="F145" s="607"/>
    </row>
    <row r="146" spans="1:6" s="14" customFormat="1" ht="24.75" customHeight="1" outlineLevel="2" x14ac:dyDescent="0.25">
      <c r="A146" s="57"/>
      <c r="B146" s="61" t="s">
        <v>102</v>
      </c>
      <c r="C146" s="63" t="s">
        <v>68</v>
      </c>
      <c r="D146" s="49">
        <v>107.02</v>
      </c>
      <c r="E146" s="608">
        <f t="shared" si="2"/>
        <v>107.02</v>
      </c>
      <c r="F146" s="607"/>
    </row>
    <row r="147" spans="1:6" s="14" customFormat="1" ht="24.75" customHeight="1" outlineLevel="2" x14ac:dyDescent="0.25">
      <c r="A147" s="57"/>
      <c r="B147" s="64" t="s">
        <v>998</v>
      </c>
      <c r="C147" s="590" t="s">
        <v>79</v>
      </c>
      <c r="D147" s="49">
        <v>2</v>
      </c>
      <c r="E147" s="608">
        <f t="shared" si="2"/>
        <v>2</v>
      </c>
      <c r="F147" s="607"/>
    </row>
    <row r="148" spans="1:6" s="14" customFormat="1" ht="24.75" customHeight="1" outlineLevel="2" x14ac:dyDescent="0.25">
      <c r="A148" s="57"/>
      <c r="B148" s="61" t="s">
        <v>83</v>
      </c>
      <c r="C148" s="62" t="s">
        <v>77</v>
      </c>
      <c r="D148" s="49">
        <v>0.10365000000000001</v>
      </c>
      <c r="E148" s="608">
        <f t="shared" si="2"/>
        <v>0.10365000000000001</v>
      </c>
      <c r="F148" s="607"/>
    </row>
    <row r="149" spans="1:6" s="14" customFormat="1" ht="24.75" customHeight="1" outlineLevel="2" x14ac:dyDescent="0.25">
      <c r="A149" s="57"/>
      <c r="B149" s="61" t="s">
        <v>85</v>
      </c>
      <c r="C149" s="62" t="s">
        <v>77</v>
      </c>
      <c r="D149" s="49">
        <v>0.89870000000000005</v>
      </c>
      <c r="E149" s="608">
        <f t="shared" si="2"/>
        <v>0.89870000000000005</v>
      </c>
      <c r="F149" s="607"/>
    </row>
    <row r="150" spans="1:6" s="14" customFormat="1" ht="24.75" customHeight="1" outlineLevel="2" x14ac:dyDescent="0.25">
      <c r="A150" s="57"/>
      <c r="B150" s="61" t="s">
        <v>87</v>
      </c>
      <c r="C150" s="62" t="s">
        <v>77</v>
      </c>
      <c r="D150" s="49">
        <v>0.29394999999999999</v>
      </c>
      <c r="E150" s="608">
        <f t="shared" si="2"/>
        <v>0.29394999999999999</v>
      </c>
      <c r="F150" s="607"/>
    </row>
    <row r="151" spans="1:6" s="14" customFormat="1" ht="24.75" customHeight="1" outlineLevel="2" x14ac:dyDescent="0.25">
      <c r="A151" s="57"/>
      <c r="B151" s="61" t="s">
        <v>984</v>
      </c>
      <c r="C151" s="63" t="s">
        <v>10</v>
      </c>
      <c r="D151" s="49">
        <v>1.38</v>
      </c>
      <c r="E151" s="608">
        <f t="shared" si="2"/>
        <v>1.38</v>
      </c>
      <c r="F151" s="607"/>
    </row>
    <row r="152" spans="1:6" s="14" customFormat="1" ht="24.75" customHeight="1" outlineLevel="2" x14ac:dyDescent="0.25">
      <c r="A152" s="57"/>
      <c r="B152" s="61" t="s">
        <v>102</v>
      </c>
      <c r="C152" s="62" t="s">
        <v>68</v>
      </c>
      <c r="D152" s="49">
        <v>6.08</v>
      </c>
      <c r="E152" s="608">
        <f t="shared" si="2"/>
        <v>6.08</v>
      </c>
      <c r="F152" s="607"/>
    </row>
    <row r="153" spans="1:6" s="14" customFormat="1" ht="24.75" customHeight="1" outlineLevel="2" x14ac:dyDescent="0.25">
      <c r="A153" s="57"/>
      <c r="B153" s="64" t="s">
        <v>985</v>
      </c>
      <c r="C153" s="59" t="s">
        <v>134</v>
      </c>
      <c r="D153" s="49">
        <v>1</v>
      </c>
      <c r="E153" s="608">
        <f t="shared" si="2"/>
        <v>1</v>
      </c>
      <c r="F153" s="607"/>
    </row>
    <row r="154" spans="1:6" s="14" customFormat="1" ht="24.75" customHeight="1" outlineLevel="2" x14ac:dyDescent="0.25">
      <c r="A154" s="57"/>
      <c r="B154" s="76" t="s">
        <v>986</v>
      </c>
      <c r="C154" s="62" t="s">
        <v>77</v>
      </c>
      <c r="D154" s="49">
        <v>0.43445</v>
      </c>
      <c r="E154" s="608">
        <f t="shared" si="2"/>
        <v>0.43445</v>
      </c>
      <c r="F154" s="607"/>
    </row>
    <row r="155" spans="1:6" s="14" customFormat="1" ht="24.75" customHeight="1" outlineLevel="2" x14ac:dyDescent="0.25">
      <c r="A155" s="57"/>
      <c r="B155" s="76" t="s">
        <v>987</v>
      </c>
      <c r="C155" s="62" t="s">
        <v>124</v>
      </c>
      <c r="D155" s="49">
        <v>82.07</v>
      </c>
      <c r="E155" s="608">
        <f t="shared" si="2"/>
        <v>82.07</v>
      </c>
      <c r="F155" s="607"/>
    </row>
    <row r="156" spans="1:6" s="14" customFormat="1" ht="24.75" customHeight="1" outlineLevel="2" x14ac:dyDescent="0.25">
      <c r="A156" s="57"/>
      <c r="B156" s="76" t="s">
        <v>988</v>
      </c>
      <c r="C156" s="62" t="s">
        <v>124</v>
      </c>
      <c r="D156" s="49">
        <v>1.6</v>
      </c>
      <c r="E156" s="608">
        <f t="shared" si="2"/>
        <v>1.6</v>
      </c>
      <c r="F156" s="607"/>
    </row>
    <row r="157" spans="1:6" s="14" customFormat="1" ht="24.75" customHeight="1" outlineLevel="2" x14ac:dyDescent="0.25">
      <c r="A157" s="57"/>
      <c r="B157" s="61" t="s">
        <v>989</v>
      </c>
      <c r="C157" s="63" t="s">
        <v>78</v>
      </c>
      <c r="D157" s="49">
        <v>2</v>
      </c>
      <c r="E157" s="608">
        <f t="shared" si="2"/>
        <v>2</v>
      </c>
      <c r="F157" s="607"/>
    </row>
    <row r="158" spans="1:6" s="14" customFormat="1" ht="24.75" customHeight="1" outlineLevel="2" x14ac:dyDescent="0.25">
      <c r="A158" s="77"/>
      <c r="B158" s="79" t="s">
        <v>990</v>
      </c>
      <c r="C158" s="80" t="s">
        <v>78</v>
      </c>
      <c r="D158" s="55">
        <v>2</v>
      </c>
      <c r="E158" s="608">
        <f t="shared" si="2"/>
        <v>2</v>
      </c>
      <c r="F158" s="607"/>
    </row>
    <row r="159" spans="1:6" s="14" customFormat="1" ht="24.75" customHeight="1" outlineLevel="2" x14ac:dyDescent="0.25">
      <c r="A159" s="57"/>
      <c r="B159" s="76" t="s">
        <v>991</v>
      </c>
      <c r="C159" s="62" t="s">
        <v>10</v>
      </c>
      <c r="D159" s="49">
        <v>0.38400000000000001</v>
      </c>
      <c r="E159" s="608">
        <f t="shared" si="2"/>
        <v>0.38400000000000001</v>
      </c>
      <c r="F159" s="607"/>
    </row>
    <row r="160" spans="1:6" s="14" customFormat="1" ht="24.75" customHeight="1" outlineLevel="1" x14ac:dyDescent="0.25">
      <c r="A160" s="77">
        <v>8</v>
      </c>
      <c r="B160" s="78" t="s">
        <v>1005</v>
      </c>
      <c r="C160" s="77" t="s">
        <v>970</v>
      </c>
      <c r="D160" s="55">
        <v>1</v>
      </c>
      <c r="E160" s="608">
        <f t="shared" si="2"/>
        <v>1</v>
      </c>
      <c r="F160" s="607"/>
    </row>
    <row r="161" spans="1:6" s="14" customFormat="1" ht="24.75" customHeight="1" outlineLevel="2" x14ac:dyDescent="0.25">
      <c r="A161" s="57"/>
      <c r="B161" s="64" t="s">
        <v>1006</v>
      </c>
      <c r="C161" s="60" t="s">
        <v>970</v>
      </c>
      <c r="D161" s="49">
        <v>1</v>
      </c>
      <c r="E161" s="608">
        <f t="shared" si="2"/>
        <v>1</v>
      </c>
      <c r="F161" s="607"/>
    </row>
    <row r="162" spans="1:6" s="14" customFormat="1" ht="24.75" customHeight="1" outlineLevel="2" x14ac:dyDescent="0.25">
      <c r="A162" s="57"/>
      <c r="B162" s="61" t="s">
        <v>105</v>
      </c>
      <c r="C162" s="62" t="s">
        <v>77</v>
      </c>
      <c r="D162" s="49">
        <v>0.88029999999999997</v>
      </c>
      <c r="E162" s="608">
        <f t="shared" si="2"/>
        <v>0.88029999999999997</v>
      </c>
      <c r="F162" s="607"/>
    </row>
    <row r="163" spans="1:6" s="14" customFormat="1" ht="24.75" customHeight="1" outlineLevel="2" x14ac:dyDescent="0.25">
      <c r="A163" s="57"/>
      <c r="B163" s="61" t="s">
        <v>83</v>
      </c>
      <c r="C163" s="62" t="s">
        <v>77</v>
      </c>
      <c r="D163" s="49">
        <v>1.56552</v>
      </c>
      <c r="E163" s="608">
        <f t="shared" si="2"/>
        <v>1.56552</v>
      </c>
      <c r="F163" s="607"/>
    </row>
    <row r="164" spans="1:6" s="14" customFormat="1" ht="24.75" customHeight="1" outlineLevel="2" x14ac:dyDescent="0.25">
      <c r="A164" s="57"/>
      <c r="B164" s="61" t="s">
        <v>84</v>
      </c>
      <c r="C164" s="62" t="s">
        <v>77</v>
      </c>
      <c r="D164" s="49">
        <v>0.22</v>
      </c>
      <c r="E164" s="608">
        <f t="shared" si="2"/>
        <v>0.22</v>
      </c>
      <c r="F164" s="607"/>
    </row>
    <row r="165" spans="1:6" s="14" customFormat="1" ht="24.75" customHeight="1" outlineLevel="2" x14ac:dyDescent="0.25">
      <c r="A165" s="57"/>
      <c r="B165" s="61" t="s">
        <v>85</v>
      </c>
      <c r="C165" s="62" t="s">
        <v>77</v>
      </c>
      <c r="D165" s="49">
        <v>0.70641999999999994</v>
      </c>
      <c r="E165" s="608">
        <f t="shared" si="2"/>
        <v>0.70641999999999994</v>
      </c>
      <c r="F165" s="607"/>
    </row>
    <row r="166" spans="1:6" s="14" customFormat="1" ht="24.75" customHeight="1" outlineLevel="2" x14ac:dyDescent="0.25">
      <c r="A166" s="57"/>
      <c r="B166" s="61" t="s">
        <v>86</v>
      </c>
      <c r="C166" s="62" t="s">
        <v>77</v>
      </c>
      <c r="D166" s="49">
        <v>0.83786000000000005</v>
      </c>
      <c r="E166" s="608">
        <f t="shared" si="2"/>
        <v>0.83786000000000005</v>
      </c>
      <c r="F166" s="607"/>
    </row>
    <row r="167" spans="1:6" s="14" customFormat="1" ht="24.75" customHeight="1" outlineLevel="2" x14ac:dyDescent="0.25">
      <c r="A167" s="57"/>
      <c r="B167" s="61" t="s">
        <v>87</v>
      </c>
      <c r="C167" s="62" t="s">
        <v>77</v>
      </c>
      <c r="D167" s="49">
        <v>0.62215999999999994</v>
      </c>
      <c r="E167" s="608">
        <f t="shared" si="2"/>
        <v>0.62215999999999994</v>
      </c>
      <c r="F167" s="607"/>
    </row>
    <row r="168" spans="1:6" s="14" customFormat="1" ht="24.75" customHeight="1" outlineLevel="2" x14ac:dyDescent="0.25">
      <c r="A168" s="57"/>
      <c r="B168" s="61" t="s">
        <v>143</v>
      </c>
      <c r="C168" s="62" t="s">
        <v>77</v>
      </c>
      <c r="D168" s="49">
        <v>1.94031</v>
      </c>
      <c r="E168" s="608">
        <f t="shared" si="2"/>
        <v>1.94031</v>
      </c>
      <c r="F168" s="607"/>
    </row>
    <row r="169" spans="1:6" s="14" customFormat="1" ht="24.75" customHeight="1" outlineLevel="2" x14ac:dyDescent="0.25">
      <c r="A169" s="57"/>
      <c r="B169" s="61" t="s">
        <v>984</v>
      </c>
      <c r="C169" s="63" t="s">
        <v>10</v>
      </c>
      <c r="D169" s="49">
        <v>27.77</v>
      </c>
      <c r="E169" s="608">
        <f t="shared" si="2"/>
        <v>27.77</v>
      </c>
      <c r="F169" s="607"/>
    </row>
    <row r="170" spans="1:6" s="14" customFormat="1" ht="24.75" customHeight="1" outlineLevel="2" x14ac:dyDescent="0.25">
      <c r="A170" s="57"/>
      <c r="B170" s="61" t="s">
        <v>102</v>
      </c>
      <c r="C170" s="63" t="s">
        <v>68</v>
      </c>
      <c r="D170" s="49">
        <v>103.19</v>
      </c>
      <c r="E170" s="608">
        <f t="shared" si="2"/>
        <v>103.19</v>
      </c>
      <c r="F170" s="607"/>
    </row>
    <row r="171" spans="1:6" s="14" customFormat="1" ht="24.75" customHeight="1" outlineLevel="2" x14ac:dyDescent="0.25">
      <c r="A171" s="57"/>
      <c r="B171" s="64" t="s">
        <v>998</v>
      </c>
      <c r="C171" s="590" t="s">
        <v>79</v>
      </c>
      <c r="D171" s="49">
        <v>2</v>
      </c>
      <c r="E171" s="608">
        <f t="shared" si="2"/>
        <v>2</v>
      </c>
      <c r="F171" s="607"/>
    </row>
    <row r="172" spans="1:6" s="14" customFormat="1" ht="24.75" customHeight="1" outlineLevel="2" x14ac:dyDescent="0.25">
      <c r="A172" s="57"/>
      <c r="B172" s="61" t="s">
        <v>83</v>
      </c>
      <c r="C172" s="62" t="s">
        <v>77</v>
      </c>
      <c r="D172" s="49">
        <v>0.1166</v>
      </c>
      <c r="E172" s="608">
        <f t="shared" si="2"/>
        <v>0.1166</v>
      </c>
      <c r="F172" s="607"/>
    </row>
    <row r="173" spans="1:6" s="14" customFormat="1" ht="24.75" customHeight="1" outlineLevel="2" x14ac:dyDescent="0.25">
      <c r="A173" s="57"/>
      <c r="B173" s="61" t="s">
        <v>85</v>
      </c>
      <c r="C173" s="62" t="s">
        <v>77</v>
      </c>
      <c r="D173" s="49">
        <v>0.93967000000000001</v>
      </c>
      <c r="E173" s="608">
        <f t="shared" si="2"/>
        <v>0.93967000000000001</v>
      </c>
      <c r="F173" s="607"/>
    </row>
    <row r="174" spans="1:6" s="14" customFormat="1" ht="24.75" customHeight="1" outlineLevel="2" x14ac:dyDescent="0.25">
      <c r="A174" s="57"/>
      <c r="B174" s="61" t="s">
        <v>87</v>
      </c>
      <c r="C174" s="62" t="s">
        <v>77</v>
      </c>
      <c r="D174" s="49">
        <v>0.31180000000000002</v>
      </c>
      <c r="E174" s="608">
        <f t="shared" si="2"/>
        <v>0.31180000000000002</v>
      </c>
      <c r="F174" s="607"/>
    </row>
    <row r="175" spans="1:6" s="14" customFormat="1" ht="24.75" customHeight="1" outlineLevel="2" x14ac:dyDescent="0.25">
      <c r="A175" s="57"/>
      <c r="B175" s="61" t="s">
        <v>984</v>
      </c>
      <c r="C175" s="63" t="s">
        <v>10</v>
      </c>
      <c r="D175" s="49">
        <v>1.4</v>
      </c>
      <c r="E175" s="608">
        <f t="shared" si="2"/>
        <v>1.4</v>
      </c>
      <c r="F175" s="607"/>
    </row>
    <row r="176" spans="1:6" s="14" customFormat="1" ht="24.75" customHeight="1" outlineLevel="2" x14ac:dyDescent="0.25">
      <c r="A176" s="57"/>
      <c r="B176" s="61" t="s">
        <v>102</v>
      </c>
      <c r="C176" s="62" t="s">
        <v>68</v>
      </c>
      <c r="D176" s="49">
        <v>2.46</v>
      </c>
      <c r="E176" s="608">
        <f t="shared" si="2"/>
        <v>2.46</v>
      </c>
      <c r="F176" s="607"/>
    </row>
    <row r="177" spans="1:6" s="14" customFormat="1" ht="24.75" customHeight="1" outlineLevel="2" x14ac:dyDescent="0.25">
      <c r="A177" s="57"/>
      <c r="B177" s="64" t="s">
        <v>985</v>
      </c>
      <c r="C177" s="59" t="s">
        <v>134</v>
      </c>
      <c r="D177" s="49">
        <v>1</v>
      </c>
      <c r="E177" s="608">
        <f t="shared" si="2"/>
        <v>1</v>
      </c>
      <c r="F177" s="607"/>
    </row>
    <row r="178" spans="1:6" s="14" customFormat="1" ht="24.75" customHeight="1" outlineLevel="2" x14ac:dyDescent="0.25">
      <c r="A178" s="57"/>
      <c r="B178" s="76" t="s">
        <v>986</v>
      </c>
      <c r="C178" s="62" t="s">
        <v>77</v>
      </c>
      <c r="D178" s="49">
        <v>0.51400999999999997</v>
      </c>
      <c r="E178" s="608">
        <f t="shared" si="2"/>
        <v>0.51400999999999997</v>
      </c>
      <c r="F178" s="607"/>
    </row>
    <row r="179" spans="1:6" s="14" customFormat="1" ht="24.75" customHeight="1" outlineLevel="2" x14ac:dyDescent="0.25">
      <c r="A179" s="57"/>
      <c r="B179" s="76" t="s">
        <v>987</v>
      </c>
      <c r="C179" s="62" t="s">
        <v>124</v>
      </c>
      <c r="D179" s="49">
        <v>100.04</v>
      </c>
      <c r="E179" s="608">
        <f t="shared" si="2"/>
        <v>100.04</v>
      </c>
      <c r="F179" s="607"/>
    </row>
    <row r="180" spans="1:6" s="14" customFormat="1" ht="24.75" customHeight="1" outlineLevel="2" x14ac:dyDescent="0.25">
      <c r="A180" s="57"/>
      <c r="B180" s="76" t="s">
        <v>988</v>
      </c>
      <c r="C180" s="62" t="s">
        <v>124</v>
      </c>
      <c r="D180" s="49">
        <v>2.4</v>
      </c>
      <c r="E180" s="608">
        <f t="shared" si="2"/>
        <v>2.4</v>
      </c>
      <c r="F180" s="607"/>
    </row>
    <row r="181" spans="1:6" s="14" customFormat="1" ht="24.75" customHeight="1" outlineLevel="2" x14ac:dyDescent="0.25">
      <c r="A181" s="57"/>
      <c r="B181" s="61" t="s">
        <v>989</v>
      </c>
      <c r="C181" s="63" t="s">
        <v>78</v>
      </c>
      <c r="D181" s="49">
        <v>2</v>
      </c>
      <c r="E181" s="608">
        <f t="shared" si="2"/>
        <v>2</v>
      </c>
      <c r="F181" s="607"/>
    </row>
    <row r="182" spans="1:6" s="14" customFormat="1" ht="24.75" customHeight="1" outlineLevel="2" x14ac:dyDescent="0.25">
      <c r="A182" s="77"/>
      <c r="B182" s="79" t="s">
        <v>990</v>
      </c>
      <c r="C182" s="80" t="s">
        <v>78</v>
      </c>
      <c r="D182" s="55">
        <v>2</v>
      </c>
      <c r="E182" s="608">
        <f t="shared" si="2"/>
        <v>2</v>
      </c>
      <c r="F182" s="607"/>
    </row>
    <row r="183" spans="1:6" s="14" customFormat="1" ht="24.75" customHeight="1" outlineLevel="2" x14ac:dyDescent="0.25">
      <c r="A183" s="57"/>
      <c r="B183" s="76" t="s">
        <v>991</v>
      </c>
      <c r="C183" s="62" t="s">
        <v>10</v>
      </c>
      <c r="D183" s="49">
        <v>0.46800000000000003</v>
      </c>
      <c r="E183" s="608">
        <f t="shared" si="2"/>
        <v>0.46800000000000003</v>
      </c>
      <c r="F183" s="607"/>
    </row>
    <row r="184" spans="1:6" s="14" customFormat="1" ht="24.75" customHeight="1" outlineLevel="1" x14ac:dyDescent="0.25">
      <c r="A184" s="77">
        <v>9</v>
      </c>
      <c r="B184" s="78" t="s">
        <v>1007</v>
      </c>
      <c r="C184" s="77" t="s">
        <v>970</v>
      </c>
      <c r="D184" s="55">
        <v>1</v>
      </c>
      <c r="E184" s="608">
        <f t="shared" si="2"/>
        <v>1</v>
      </c>
      <c r="F184" s="607"/>
    </row>
    <row r="185" spans="1:6" s="14" customFormat="1" ht="24.75" customHeight="1" outlineLevel="2" x14ac:dyDescent="0.25">
      <c r="A185" s="57"/>
      <c r="B185" s="64" t="s">
        <v>1008</v>
      </c>
      <c r="C185" s="60" t="s">
        <v>970</v>
      </c>
      <c r="D185" s="49">
        <v>1</v>
      </c>
      <c r="E185" s="608">
        <f t="shared" si="2"/>
        <v>1</v>
      </c>
      <c r="F185" s="607"/>
    </row>
    <row r="186" spans="1:6" s="14" customFormat="1" ht="24.75" customHeight="1" outlineLevel="2" x14ac:dyDescent="0.25">
      <c r="A186" s="57"/>
      <c r="B186" s="61" t="s">
        <v>105</v>
      </c>
      <c r="C186" s="62" t="s">
        <v>77</v>
      </c>
      <c r="D186" s="49">
        <v>0.88029999999999997</v>
      </c>
      <c r="E186" s="608">
        <f t="shared" si="2"/>
        <v>0.88029999999999997</v>
      </c>
      <c r="F186" s="607"/>
    </row>
    <row r="187" spans="1:6" s="14" customFormat="1" ht="24.75" customHeight="1" outlineLevel="2" x14ac:dyDescent="0.25">
      <c r="A187" s="57"/>
      <c r="B187" s="61" t="s">
        <v>83</v>
      </c>
      <c r="C187" s="62" t="s">
        <v>77</v>
      </c>
      <c r="D187" s="49">
        <v>1.56552</v>
      </c>
      <c r="E187" s="608">
        <f t="shared" si="2"/>
        <v>1.56552</v>
      </c>
      <c r="F187" s="607"/>
    </row>
    <row r="188" spans="1:6" s="14" customFormat="1" ht="24.75" customHeight="1" outlineLevel="2" x14ac:dyDescent="0.25">
      <c r="A188" s="57"/>
      <c r="B188" s="61" t="s">
        <v>84</v>
      </c>
      <c r="C188" s="62" t="s">
        <v>77</v>
      </c>
      <c r="D188" s="49">
        <v>0.22</v>
      </c>
      <c r="E188" s="608">
        <f t="shared" si="2"/>
        <v>0.22</v>
      </c>
      <c r="F188" s="607"/>
    </row>
    <row r="189" spans="1:6" s="14" customFormat="1" ht="24.75" customHeight="1" outlineLevel="2" x14ac:dyDescent="0.25">
      <c r="A189" s="57"/>
      <c r="B189" s="61" t="s">
        <v>85</v>
      </c>
      <c r="C189" s="62" t="s">
        <v>77</v>
      </c>
      <c r="D189" s="49">
        <v>0.70641999999999994</v>
      </c>
      <c r="E189" s="608">
        <f t="shared" si="2"/>
        <v>0.70641999999999994</v>
      </c>
      <c r="F189" s="607"/>
    </row>
    <row r="190" spans="1:6" s="14" customFormat="1" ht="24.75" customHeight="1" outlineLevel="2" x14ac:dyDescent="0.25">
      <c r="A190" s="57"/>
      <c r="B190" s="61" t="s">
        <v>86</v>
      </c>
      <c r="C190" s="62" t="s">
        <v>77</v>
      </c>
      <c r="D190" s="49">
        <v>0.83786000000000005</v>
      </c>
      <c r="E190" s="608">
        <f t="shared" si="2"/>
        <v>0.83786000000000005</v>
      </c>
      <c r="F190" s="607"/>
    </row>
    <row r="191" spans="1:6" s="14" customFormat="1" ht="24.75" customHeight="1" outlineLevel="2" x14ac:dyDescent="0.25">
      <c r="A191" s="57"/>
      <c r="B191" s="61" t="s">
        <v>87</v>
      </c>
      <c r="C191" s="62" t="s">
        <v>77</v>
      </c>
      <c r="D191" s="49">
        <v>0.62215999999999994</v>
      </c>
      <c r="E191" s="608">
        <f t="shared" si="2"/>
        <v>0.62215999999999994</v>
      </c>
      <c r="F191" s="607"/>
    </row>
    <row r="192" spans="1:6" s="14" customFormat="1" ht="24.75" customHeight="1" outlineLevel="2" x14ac:dyDescent="0.25">
      <c r="A192" s="57"/>
      <c r="B192" s="61" t="s">
        <v>143</v>
      </c>
      <c r="C192" s="62" t="s">
        <v>77</v>
      </c>
      <c r="D192" s="49">
        <v>1.94031</v>
      </c>
      <c r="E192" s="608">
        <f t="shared" si="2"/>
        <v>1.94031</v>
      </c>
      <c r="F192" s="607"/>
    </row>
    <row r="193" spans="1:6" s="14" customFormat="1" ht="24.75" customHeight="1" outlineLevel="2" x14ac:dyDescent="0.25">
      <c r="A193" s="57"/>
      <c r="B193" s="61" t="s">
        <v>984</v>
      </c>
      <c r="C193" s="63" t="s">
        <v>10</v>
      </c>
      <c r="D193" s="49">
        <v>27.77</v>
      </c>
      <c r="E193" s="608">
        <f t="shared" si="2"/>
        <v>27.77</v>
      </c>
      <c r="F193" s="607"/>
    </row>
    <row r="194" spans="1:6" s="14" customFormat="1" ht="24.75" customHeight="1" outlineLevel="2" x14ac:dyDescent="0.25">
      <c r="A194" s="57"/>
      <c r="B194" s="61" t="s">
        <v>102</v>
      </c>
      <c r="C194" s="63" t="s">
        <v>68</v>
      </c>
      <c r="D194" s="49">
        <v>103.19</v>
      </c>
      <c r="E194" s="608">
        <f t="shared" si="2"/>
        <v>103.19</v>
      </c>
      <c r="F194" s="607"/>
    </row>
    <row r="195" spans="1:6" s="14" customFormat="1" ht="24.75" customHeight="1" outlineLevel="2" x14ac:dyDescent="0.25">
      <c r="A195" s="57"/>
      <c r="B195" s="64" t="s">
        <v>998</v>
      </c>
      <c r="C195" s="590" t="s">
        <v>79</v>
      </c>
      <c r="D195" s="49">
        <v>2</v>
      </c>
      <c r="E195" s="608">
        <f t="shared" si="2"/>
        <v>2</v>
      </c>
      <c r="F195" s="607"/>
    </row>
    <row r="196" spans="1:6" s="14" customFormat="1" ht="24.75" customHeight="1" outlineLevel="2" x14ac:dyDescent="0.25">
      <c r="A196" s="57"/>
      <c r="B196" s="61" t="s">
        <v>83</v>
      </c>
      <c r="C196" s="62" t="s">
        <v>77</v>
      </c>
      <c r="D196" s="49">
        <v>8.5949999999999999E-2</v>
      </c>
      <c r="E196" s="608">
        <f t="shared" si="2"/>
        <v>8.5949999999999999E-2</v>
      </c>
      <c r="F196" s="607"/>
    </row>
    <row r="197" spans="1:6" s="14" customFormat="1" ht="24.75" customHeight="1" outlineLevel="2" x14ac:dyDescent="0.25">
      <c r="A197" s="57"/>
      <c r="B197" s="61" t="s">
        <v>85</v>
      </c>
      <c r="C197" s="62" t="s">
        <v>77</v>
      </c>
      <c r="D197" s="49">
        <v>0.64590000000000003</v>
      </c>
      <c r="E197" s="608">
        <f t="shared" si="2"/>
        <v>0.64590000000000003</v>
      </c>
      <c r="F197" s="607"/>
    </row>
    <row r="198" spans="1:6" s="14" customFormat="1" ht="24.75" customHeight="1" outlineLevel="2" x14ac:dyDescent="0.25">
      <c r="A198" s="57"/>
      <c r="B198" s="61" t="s">
        <v>87</v>
      </c>
      <c r="C198" s="62" t="s">
        <v>77</v>
      </c>
      <c r="D198" s="49">
        <v>0.18787999999999999</v>
      </c>
      <c r="E198" s="608">
        <f t="shared" si="2"/>
        <v>0.18787999999999999</v>
      </c>
      <c r="F198" s="607"/>
    </row>
    <row r="199" spans="1:6" s="14" customFormat="1" ht="24.75" customHeight="1" outlineLevel="2" x14ac:dyDescent="0.25">
      <c r="A199" s="57"/>
      <c r="B199" s="61" t="s">
        <v>984</v>
      </c>
      <c r="C199" s="63" t="s">
        <v>10</v>
      </c>
      <c r="D199" s="49">
        <v>1.01</v>
      </c>
      <c r="E199" s="608">
        <f t="shared" si="2"/>
        <v>1.01</v>
      </c>
      <c r="F199" s="607"/>
    </row>
    <row r="200" spans="1:6" s="14" customFormat="1" ht="24.75" customHeight="1" outlineLevel="2" x14ac:dyDescent="0.25">
      <c r="A200" s="57"/>
      <c r="B200" s="61" t="s">
        <v>102</v>
      </c>
      <c r="C200" s="62" t="s">
        <v>68</v>
      </c>
      <c r="D200" s="49">
        <v>4.47</v>
      </c>
      <c r="E200" s="608">
        <f t="shared" si="2"/>
        <v>4.47</v>
      </c>
      <c r="F200" s="607"/>
    </row>
    <row r="201" spans="1:6" s="14" customFormat="1" ht="24.75" customHeight="1" outlineLevel="2" x14ac:dyDescent="0.25">
      <c r="A201" s="57"/>
      <c r="B201" s="64" t="s">
        <v>985</v>
      </c>
      <c r="C201" s="59" t="s">
        <v>134</v>
      </c>
      <c r="D201" s="49">
        <v>1</v>
      </c>
      <c r="E201" s="608">
        <f t="shared" si="2"/>
        <v>1</v>
      </c>
      <c r="F201" s="607"/>
    </row>
    <row r="202" spans="1:6" s="14" customFormat="1" ht="24.75" customHeight="1" outlineLevel="2" x14ac:dyDescent="0.25">
      <c r="A202" s="57"/>
      <c r="B202" s="76" t="s">
        <v>986</v>
      </c>
      <c r="C202" s="62" t="s">
        <v>77</v>
      </c>
      <c r="D202" s="49">
        <v>0.5141</v>
      </c>
      <c r="E202" s="608">
        <f t="shared" si="2"/>
        <v>0.5141</v>
      </c>
      <c r="F202" s="607"/>
    </row>
    <row r="203" spans="1:6" s="14" customFormat="1" ht="24.75" customHeight="1" outlineLevel="2" x14ac:dyDescent="0.25">
      <c r="A203" s="57"/>
      <c r="B203" s="76" t="s">
        <v>987</v>
      </c>
      <c r="C203" s="62" t="s">
        <v>124</v>
      </c>
      <c r="D203" s="49">
        <v>82.94</v>
      </c>
      <c r="E203" s="608">
        <f t="shared" si="2"/>
        <v>82.94</v>
      </c>
      <c r="F203" s="607"/>
    </row>
    <row r="204" spans="1:6" s="14" customFormat="1" ht="24.75" customHeight="1" outlineLevel="2" x14ac:dyDescent="0.25">
      <c r="A204" s="57"/>
      <c r="B204" s="76" t="s">
        <v>988</v>
      </c>
      <c r="C204" s="62" t="s">
        <v>124</v>
      </c>
      <c r="D204" s="49">
        <v>6.4</v>
      </c>
      <c r="E204" s="608">
        <f t="shared" si="2"/>
        <v>6.4</v>
      </c>
      <c r="F204" s="607"/>
    </row>
    <row r="205" spans="1:6" s="14" customFormat="1" ht="24.75" customHeight="1" outlineLevel="2" x14ac:dyDescent="0.25">
      <c r="A205" s="57"/>
      <c r="B205" s="61" t="s">
        <v>989</v>
      </c>
      <c r="C205" s="63" t="s">
        <v>78</v>
      </c>
      <c r="D205" s="49">
        <v>2</v>
      </c>
      <c r="E205" s="608">
        <f t="shared" si="2"/>
        <v>2</v>
      </c>
      <c r="F205" s="607"/>
    </row>
    <row r="206" spans="1:6" s="14" customFormat="1" ht="24.75" customHeight="1" outlineLevel="2" x14ac:dyDescent="0.25">
      <c r="A206" s="77"/>
      <c r="B206" s="79" t="s">
        <v>990</v>
      </c>
      <c r="C206" s="80" t="s">
        <v>78</v>
      </c>
      <c r="D206" s="55">
        <v>2</v>
      </c>
      <c r="E206" s="608">
        <f t="shared" si="2"/>
        <v>2</v>
      </c>
      <c r="F206" s="607"/>
    </row>
    <row r="207" spans="1:6" s="14" customFormat="1" ht="24.75" customHeight="1" outlineLevel="2" x14ac:dyDescent="0.25">
      <c r="A207" s="57"/>
      <c r="B207" s="76" t="s">
        <v>991</v>
      </c>
      <c r="C207" s="62" t="s">
        <v>10</v>
      </c>
      <c r="D207" s="49">
        <v>0.38800000000000001</v>
      </c>
      <c r="E207" s="608">
        <f t="shared" si="2"/>
        <v>0.38800000000000001</v>
      </c>
      <c r="F207" s="607"/>
    </row>
    <row r="208" spans="1:6" s="14" customFormat="1" ht="24.75" customHeight="1" outlineLevel="1" x14ac:dyDescent="0.25">
      <c r="A208" s="77">
        <v>10</v>
      </c>
      <c r="B208" s="78" t="s">
        <v>1009</v>
      </c>
      <c r="C208" s="77" t="s">
        <v>970</v>
      </c>
      <c r="D208" s="55">
        <v>1</v>
      </c>
      <c r="E208" s="608">
        <f t="shared" si="2"/>
        <v>1</v>
      </c>
      <c r="F208" s="607"/>
    </row>
    <row r="209" spans="1:6" s="14" customFormat="1" ht="24.75" customHeight="1" outlineLevel="2" x14ac:dyDescent="0.25">
      <c r="A209" s="57"/>
      <c r="B209" s="64" t="s">
        <v>1010</v>
      </c>
      <c r="C209" s="60" t="s">
        <v>970</v>
      </c>
      <c r="D209" s="49">
        <v>1</v>
      </c>
      <c r="E209" s="608">
        <f t="shared" ref="E209:E272" si="3">D209</f>
        <v>1</v>
      </c>
      <c r="F209" s="607"/>
    </row>
    <row r="210" spans="1:6" s="14" customFormat="1" ht="24.75" customHeight="1" outlineLevel="2" x14ac:dyDescent="0.25">
      <c r="A210" s="57"/>
      <c r="B210" s="61" t="s">
        <v>105</v>
      </c>
      <c r="C210" s="62" t="s">
        <v>77</v>
      </c>
      <c r="D210" s="49">
        <v>0.84221000000000001</v>
      </c>
      <c r="E210" s="608">
        <f t="shared" si="3"/>
        <v>0.84221000000000001</v>
      </c>
      <c r="F210" s="607"/>
    </row>
    <row r="211" spans="1:6" s="14" customFormat="1" ht="24.75" customHeight="1" outlineLevel="2" x14ac:dyDescent="0.25">
      <c r="A211" s="57"/>
      <c r="B211" s="61" t="s">
        <v>83</v>
      </c>
      <c r="C211" s="62" t="s">
        <v>77</v>
      </c>
      <c r="D211" s="49">
        <v>1.55965</v>
      </c>
      <c r="E211" s="608">
        <f t="shared" si="3"/>
        <v>1.55965</v>
      </c>
      <c r="F211" s="607"/>
    </row>
    <row r="212" spans="1:6" s="14" customFormat="1" ht="24.75" customHeight="1" outlineLevel="2" x14ac:dyDescent="0.25">
      <c r="A212" s="57"/>
      <c r="B212" s="61" t="s">
        <v>84</v>
      </c>
      <c r="C212" s="62" t="s">
        <v>77</v>
      </c>
      <c r="D212" s="49">
        <v>0.22</v>
      </c>
      <c r="E212" s="608">
        <f t="shared" si="3"/>
        <v>0.22</v>
      </c>
      <c r="F212" s="607"/>
    </row>
    <row r="213" spans="1:6" s="14" customFormat="1" ht="24.75" customHeight="1" outlineLevel="2" x14ac:dyDescent="0.25">
      <c r="A213" s="57"/>
      <c r="B213" s="61" t="s">
        <v>85</v>
      </c>
      <c r="C213" s="62" t="s">
        <v>77</v>
      </c>
      <c r="D213" s="49">
        <v>0.70641999999999994</v>
      </c>
      <c r="E213" s="608">
        <f t="shared" si="3"/>
        <v>0.70641999999999994</v>
      </c>
      <c r="F213" s="607"/>
    </row>
    <row r="214" spans="1:6" s="14" customFormat="1" ht="24.75" customHeight="1" outlineLevel="2" x14ac:dyDescent="0.25">
      <c r="A214" s="57"/>
      <c r="B214" s="61" t="s">
        <v>86</v>
      </c>
      <c r="C214" s="62" t="s">
        <v>77</v>
      </c>
      <c r="D214" s="49">
        <v>0.83786000000000005</v>
      </c>
      <c r="E214" s="608">
        <f t="shared" si="3"/>
        <v>0.83786000000000005</v>
      </c>
      <c r="F214" s="607"/>
    </row>
    <row r="215" spans="1:6" s="14" customFormat="1" ht="24.75" customHeight="1" outlineLevel="2" x14ac:dyDescent="0.25">
      <c r="A215" s="57"/>
      <c r="B215" s="61" t="s">
        <v>87</v>
      </c>
      <c r="C215" s="62" t="s">
        <v>77</v>
      </c>
      <c r="D215" s="49">
        <v>2.0383399999999998</v>
      </c>
      <c r="E215" s="608">
        <f t="shared" si="3"/>
        <v>2.0383399999999998</v>
      </c>
      <c r="F215" s="607"/>
    </row>
    <row r="216" spans="1:6" s="14" customFormat="1" ht="24.75" customHeight="1" outlineLevel="2" x14ac:dyDescent="0.25">
      <c r="A216" s="57"/>
      <c r="B216" s="61" t="s">
        <v>984</v>
      </c>
      <c r="C216" s="63" t="s">
        <v>10</v>
      </c>
      <c r="D216" s="49">
        <v>26.57</v>
      </c>
      <c r="E216" s="608">
        <f t="shared" si="3"/>
        <v>26.57</v>
      </c>
      <c r="F216" s="607"/>
    </row>
    <row r="217" spans="1:6" s="14" customFormat="1" ht="24.75" customHeight="1" outlineLevel="2" x14ac:dyDescent="0.25">
      <c r="A217" s="57"/>
      <c r="B217" s="61" t="s">
        <v>102</v>
      </c>
      <c r="C217" s="63" t="s">
        <v>68</v>
      </c>
      <c r="D217" s="49">
        <v>100.93</v>
      </c>
      <c r="E217" s="608">
        <f t="shared" si="3"/>
        <v>100.93</v>
      </c>
      <c r="F217" s="607"/>
    </row>
    <row r="218" spans="1:6" s="14" customFormat="1" ht="24.75" customHeight="1" outlineLevel="2" x14ac:dyDescent="0.25">
      <c r="A218" s="57"/>
      <c r="B218" s="64" t="s">
        <v>998</v>
      </c>
      <c r="C218" s="590" t="s">
        <v>79</v>
      </c>
      <c r="D218" s="49">
        <v>2</v>
      </c>
      <c r="E218" s="608">
        <f t="shared" si="3"/>
        <v>2</v>
      </c>
      <c r="F218" s="607"/>
    </row>
    <row r="219" spans="1:6" s="14" customFormat="1" ht="24.75" customHeight="1" outlineLevel="2" x14ac:dyDescent="0.25">
      <c r="A219" s="57"/>
      <c r="B219" s="61" t="s">
        <v>83</v>
      </c>
      <c r="C219" s="62" t="s">
        <v>77</v>
      </c>
      <c r="D219" s="49">
        <v>4.8350000000000004E-2</v>
      </c>
      <c r="E219" s="608">
        <f t="shared" si="3"/>
        <v>4.8350000000000004E-2</v>
      </c>
      <c r="F219" s="607"/>
    </row>
    <row r="220" spans="1:6" s="14" customFormat="1" ht="24.75" customHeight="1" outlineLevel="2" x14ac:dyDescent="0.25">
      <c r="A220" s="57"/>
      <c r="B220" s="61" t="s">
        <v>85</v>
      </c>
      <c r="C220" s="62" t="s">
        <v>77</v>
      </c>
      <c r="D220" s="49">
        <v>0.32623000000000002</v>
      </c>
      <c r="E220" s="608">
        <f t="shared" si="3"/>
        <v>0.32623000000000002</v>
      </c>
      <c r="F220" s="607"/>
    </row>
    <row r="221" spans="1:6" s="14" customFormat="1" ht="24.75" customHeight="1" outlineLevel="2" x14ac:dyDescent="0.25">
      <c r="A221" s="57"/>
      <c r="B221" s="61" t="s">
        <v>87</v>
      </c>
      <c r="C221" s="62" t="s">
        <v>77</v>
      </c>
      <c r="D221" s="49">
        <v>0.11394</v>
      </c>
      <c r="E221" s="608">
        <f t="shared" si="3"/>
        <v>0.11394</v>
      </c>
      <c r="F221" s="607"/>
    </row>
    <row r="222" spans="1:6" s="14" customFormat="1" ht="24.75" customHeight="1" outlineLevel="2" x14ac:dyDescent="0.25">
      <c r="A222" s="57"/>
      <c r="B222" s="61" t="s">
        <v>984</v>
      </c>
      <c r="C222" s="63" t="s">
        <v>10</v>
      </c>
      <c r="D222" s="49">
        <v>0.45</v>
      </c>
      <c r="E222" s="608">
        <f t="shared" si="3"/>
        <v>0.45</v>
      </c>
      <c r="F222" s="607"/>
    </row>
    <row r="223" spans="1:6" s="14" customFormat="1" ht="24.75" customHeight="1" outlineLevel="2" x14ac:dyDescent="0.25">
      <c r="A223" s="57"/>
      <c r="B223" s="61" t="s">
        <v>102</v>
      </c>
      <c r="C223" s="62" t="s">
        <v>68</v>
      </c>
      <c r="D223" s="49">
        <v>1.06</v>
      </c>
      <c r="E223" s="608">
        <f t="shared" si="3"/>
        <v>1.06</v>
      </c>
      <c r="F223" s="607"/>
    </row>
    <row r="224" spans="1:6" s="14" customFormat="1" ht="24.75" customHeight="1" outlineLevel="2" x14ac:dyDescent="0.25">
      <c r="A224" s="57"/>
      <c r="B224" s="64" t="s">
        <v>985</v>
      </c>
      <c r="C224" s="59" t="s">
        <v>134</v>
      </c>
      <c r="D224" s="49">
        <v>1</v>
      </c>
      <c r="E224" s="608">
        <f t="shared" si="3"/>
        <v>1</v>
      </c>
      <c r="F224" s="607"/>
    </row>
    <row r="225" spans="1:6" s="14" customFormat="1" ht="24.75" customHeight="1" outlineLevel="2" x14ac:dyDescent="0.25">
      <c r="A225" s="57"/>
      <c r="B225" s="76" t="s">
        <v>986</v>
      </c>
      <c r="C225" s="62" t="s">
        <v>77</v>
      </c>
      <c r="D225" s="49">
        <v>1.18733</v>
      </c>
      <c r="E225" s="608">
        <f t="shared" si="3"/>
        <v>1.18733</v>
      </c>
      <c r="F225" s="607"/>
    </row>
    <row r="226" spans="1:6" s="14" customFormat="1" ht="24.75" customHeight="1" outlineLevel="2" x14ac:dyDescent="0.25">
      <c r="A226" s="57"/>
      <c r="B226" s="76" t="s">
        <v>987</v>
      </c>
      <c r="C226" s="62" t="s">
        <v>124</v>
      </c>
      <c r="D226" s="49">
        <v>100.71</v>
      </c>
      <c r="E226" s="608">
        <f t="shared" si="3"/>
        <v>100.71</v>
      </c>
      <c r="F226" s="607"/>
    </row>
    <row r="227" spans="1:6" s="14" customFormat="1" ht="24.75" customHeight="1" outlineLevel="2" x14ac:dyDescent="0.25">
      <c r="A227" s="57"/>
      <c r="B227" s="76" t="s">
        <v>988</v>
      </c>
      <c r="C227" s="62" t="s">
        <v>124</v>
      </c>
      <c r="D227" s="49">
        <v>5.6</v>
      </c>
      <c r="E227" s="608">
        <f t="shared" si="3"/>
        <v>5.6</v>
      </c>
      <c r="F227" s="607"/>
    </row>
    <row r="228" spans="1:6" s="14" customFormat="1" ht="24.75" customHeight="1" outlineLevel="2" x14ac:dyDescent="0.25">
      <c r="A228" s="57"/>
      <c r="B228" s="61" t="s">
        <v>989</v>
      </c>
      <c r="C228" s="63" t="s">
        <v>78</v>
      </c>
      <c r="D228" s="49">
        <v>4</v>
      </c>
      <c r="E228" s="608">
        <f t="shared" si="3"/>
        <v>4</v>
      </c>
      <c r="F228" s="607"/>
    </row>
    <row r="229" spans="1:6" s="14" customFormat="1" ht="24.75" customHeight="1" outlineLevel="2" x14ac:dyDescent="0.25">
      <c r="A229" s="77"/>
      <c r="B229" s="79" t="s">
        <v>990</v>
      </c>
      <c r="C229" s="80" t="s">
        <v>78</v>
      </c>
      <c r="D229" s="55">
        <v>4</v>
      </c>
      <c r="E229" s="608">
        <f t="shared" si="3"/>
        <v>4</v>
      </c>
      <c r="F229" s="607"/>
    </row>
    <row r="230" spans="1:6" s="14" customFormat="1" ht="24.75" customHeight="1" outlineLevel="2" x14ac:dyDescent="0.25">
      <c r="A230" s="57"/>
      <c r="B230" s="76" t="s">
        <v>991</v>
      </c>
      <c r="C230" s="62" t="s">
        <v>10</v>
      </c>
      <c r="D230" s="49">
        <v>0.47199999999999998</v>
      </c>
      <c r="E230" s="608">
        <f t="shared" si="3"/>
        <v>0.47199999999999998</v>
      </c>
      <c r="F230" s="607"/>
    </row>
    <row r="231" spans="1:6" s="14" customFormat="1" ht="24.75" customHeight="1" outlineLevel="1" x14ac:dyDescent="0.25">
      <c r="A231" s="77">
        <v>11</v>
      </c>
      <c r="B231" s="78" t="s">
        <v>1011</v>
      </c>
      <c r="C231" s="77" t="s">
        <v>970</v>
      </c>
      <c r="D231" s="55">
        <v>1</v>
      </c>
      <c r="E231" s="608">
        <f t="shared" si="3"/>
        <v>1</v>
      </c>
      <c r="F231" s="607"/>
    </row>
    <row r="232" spans="1:6" s="14" customFormat="1" ht="24.75" customHeight="1" outlineLevel="2" x14ac:dyDescent="0.25">
      <c r="A232" s="57"/>
      <c r="B232" s="64" t="s">
        <v>1012</v>
      </c>
      <c r="C232" s="60" t="s">
        <v>970</v>
      </c>
      <c r="D232" s="49">
        <v>1</v>
      </c>
      <c r="E232" s="608">
        <f t="shared" si="3"/>
        <v>1</v>
      </c>
      <c r="F232" s="607"/>
    </row>
    <row r="233" spans="1:6" s="14" customFormat="1" ht="24.75" customHeight="1" outlineLevel="2" x14ac:dyDescent="0.25">
      <c r="A233" s="57"/>
      <c r="B233" s="61" t="s">
        <v>105</v>
      </c>
      <c r="C233" s="62" t="s">
        <v>77</v>
      </c>
      <c r="D233" s="49">
        <v>0.84221000000000001</v>
      </c>
      <c r="E233" s="608">
        <f t="shared" si="3"/>
        <v>0.84221000000000001</v>
      </c>
      <c r="F233" s="607"/>
    </row>
    <row r="234" spans="1:6" s="14" customFormat="1" ht="24.75" customHeight="1" outlineLevel="2" x14ac:dyDescent="0.25">
      <c r="A234" s="57"/>
      <c r="B234" s="61" t="s">
        <v>83</v>
      </c>
      <c r="C234" s="62" t="s">
        <v>77</v>
      </c>
      <c r="D234" s="49">
        <v>1.55965</v>
      </c>
      <c r="E234" s="608">
        <f t="shared" si="3"/>
        <v>1.55965</v>
      </c>
      <c r="F234" s="607"/>
    </row>
    <row r="235" spans="1:6" s="14" customFormat="1" ht="24.75" customHeight="1" outlineLevel="2" x14ac:dyDescent="0.25">
      <c r="A235" s="57"/>
      <c r="B235" s="61" t="s">
        <v>84</v>
      </c>
      <c r="C235" s="62" t="s">
        <v>77</v>
      </c>
      <c r="D235" s="49">
        <v>0.22</v>
      </c>
      <c r="E235" s="608">
        <f t="shared" si="3"/>
        <v>0.22</v>
      </c>
      <c r="F235" s="607"/>
    </row>
    <row r="236" spans="1:6" s="14" customFormat="1" ht="24.75" customHeight="1" outlineLevel="2" x14ac:dyDescent="0.25">
      <c r="A236" s="57"/>
      <c r="B236" s="61" t="s">
        <v>85</v>
      </c>
      <c r="C236" s="62" t="s">
        <v>77</v>
      </c>
      <c r="D236" s="49">
        <v>0.70641999999999994</v>
      </c>
      <c r="E236" s="608">
        <f t="shared" si="3"/>
        <v>0.70641999999999994</v>
      </c>
      <c r="F236" s="607"/>
    </row>
    <row r="237" spans="1:6" s="14" customFormat="1" ht="24.75" customHeight="1" outlineLevel="2" x14ac:dyDescent="0.25">
      <c r="A237" s="57"/>
      <c r="B237" s="61" t="s">
        <v>86</v>
      </c>
      <c r="C237" s="62" t="s">
        <v>77</v>
      </c>
      <c r="D237" s="49">
        <v>0.83786000000000005</v>
      </c>
      <c r="E237" s="608">
        <f t="shared" si="3"/>
        <v>0.83786000000000005</v>
      </c>
      <c r="F237" s="607"/>
    </row>
    <row r="238" spans="1:6" s="14" customFormat="1" ht="24.75" customHeight="1" outlineLevel="2" x14ac:dyDescent="0.25">
      <c r="A238" s="57"/>
      <c r="B238" s="61" t="s">
        <v>87</v>
      </c>
      <c r="C238" s="62" t="s">
        <v>77</v>
      </c>
      <c r="D238" s="49">
        <v>2.0383399999999998</v>
      </c>
      <c r="E238" s="608">
        <f t="shared" si="3"/>
        <v>2.0383399999999998</v>
      </c>
      <c r="F238" s="607"/>
    </row>
    <row r="239" spans="1:6" s="14" customFormat="1" ht="24.75" customHeight="1" outlineLevel="2" x14ac:dyDescent="0.25">
      <c r="A239" s="57"/>
      <c r="B239" s="61" t="s">
        <v>984</v>
      </c>
      <c r="C239" s="63" t="s">
        <v>10</v>
      </c>
      <c r="D239" s="49">
        <v>26.57</v>
      </c>
      <c r="E239" s="608">
        <f t="shared" si="3"/>
        <v>26.57</v>
      </c>
      <c r="F239" s="607"/>
    </row>
    <row r="240" spans="1:6" s="14" customFormat="1" ht="24.75" customHeight="1" outlineLevel="2" x14ac:dyDescent="0.25">
      <c r="A240" s="57"/>
      <c r="B240" s="61" t="s">
        <v>102</v>
      </c>
      <c r="C240" s="63" t="s">
        <v>68</v>
      </c>
      <c r="D240" s="49">
        <v>100.93</v>
      </c>
      <c r="E240" s="608">
        <f t="shared" si="3"/>
        <v>100.93</v>
      </c>
      <c r="F240" s="607"/>
    </row>
    <row r="241" spans="1:6" s="14" customFormat="1" ht="24.75" customHeight="1" outlineLevel="2" x14ac:dyDescent="0.25">
      <c r="A241" s="57"/>
      <c r="B241" s="64" t="s">
        <v>998</v>
      </c>
      <c r="C241" s="590" t="s">
        <v>79</v>
      </c>
      <c r="D241" s="49">
        <v>2</v>
      </c>
      <c r="E241" s="608">
        <f t="shared" si="3"/>
        <v>2</v>
      </c>
      <c r="F241" s="607"/>
    </row>
    <row r="242" spans="1:6" s="14" customFormat="1" ht="24.75" customHeight="1" outlineLevel="2" x14ac:dyDescent="0.25">
      <c r="A242" s="57"/>
      <c r="B242" s="61" t="s">
        <v>83</v>
      </c>
      <c r="C242" s="62" t="s">
        <v>77</v>
      </c>
      <c r="D242" s="49">
        <v>8.5949999999999999E-2</v>
      </c>
      <c r="E242" s="608">
        <f t="shared" si="3"/>
        <v>8.5949999999999999E-2</v>
      </c>
      <c r="F242" s="607"/>
    </row>
    <row r="243" spans="1:6" s="14" customFormat="1" ht="24.75" customHeight="1" outlineLevel="2" x14ac:dyDescent="0.25">
      <c r="A243" s="57"/>
      <c r="B243" s="61" t="s">
        <v>85</v>
      </c>
      <c r="C243" s="62" t="s">
        <v>77</v>
      </c>
      <c r="D243" s="49">
        <v>0.62448000000000004</v>
      </c>
      <c r="E243" s="608">
        <f t="shared" si="3"/>
        <v>0.62448000000000004</v>
      </c>
      <c r="F243" s="607"/>
    </row>
    <row r="244" spans="1:6" s="14" customFormat="1" ht="24.75" customHeight="1" outlineLevel="2" x14ac:dyDescent="0.25">
      <c r="A244" s="57"/>
      <c r="B244" s="61" t="s">
        <v>87</v>
      </c>
      <c r="C244" s="62" t="s">
        <v>77</v>
      </c>
      <c r="D244" s="49">
        <v>0.18049000000000001</v>
      </c>
      <c r="E244" s="608">
        <f t="shared" si="3"/>
        <v>0.18049000000000001</v>
      </c>
      <c r="F244" s="607"/>
    </row>
    <row r="245" spans="1:6" s="14" customFormat="1" ht="24.75" customHeight="1" outlineLevel="2" x14ac:dyDescent="0.25">
      <c r="A245" s="57"/>
      <c r="B245" s="61" t="s">
        <v>984</v>
      </c>
      <c r="C245" s="63" t="s">
        <v>10</v>
      </c>
      <c r="D245" s="49">
        <v>0.95</v>
      </c>
      <c r="E245" s="608">
        <f t="shared" si="3"/>
        <v>0.95</v>
      </c>
      <c r="F245" s="607"/>
    </row>
    <row r="246" spans="1:6" s="14" customFormat="1" ht="24.75" customHeight="1" outlineLevel="2" x14ac:dyDescent="0.25">
      <c r="A246" s="57"/>
      <c r="B246" s="61" t="s">
        <v>102</v>
      </c>
      <c r="C246" s="62" t="s">
        <v>68</v>
      </c>
      <c r="D246" s="49">
        <v>4.1900000000000004</v>
      </c>
      <c r="E246" s="608">
        <f t="shared" si="3"/>
        <v>4.1900000000000004</v>
      </c>
      <c r="F246" s="607"/>
    </row>
    <row r="247" spans="1:6" s="14" customFormat="1" ht="24.75" customHeight="1" outlineLevel="2" x14ac:dyDescent="0.25">
      <c r="A247" s="57"/>
      <c r="B247" s="64" t="s">
        <v>985</v>
      </c>
      <c r="C247" s="59" t="s">
        <v>134</v>
      </c>
      <c r="D247" s="49">
        <v>1</v>
      </c>
      <c r="E247" s="608">
        <f t="shared" si="3"/>
        <v>1</v>
      </c>
      <c r="F247" s="607"/>
    </row>
    <row r="248" spans="1:6" s="14" customFormat="1" ht="24.75" customHeight="1" outlineLevel="2" x14ac:dyDescent="0.25">
      <c r="A248" s="57"/>
      <c r="B248" s="76" t="s">
        <v>986</v>
      </c>
      <c r="C248" s="62" t="s">
        <v>77</v>
      </c>
      <c r="D248" s="49">
        <v>1.18733</v>
      </c>
      <c r="E248" s="608">
        <f t="shared" si="3"/>
        <v>1.18733</v>
      </c>
      <c r="F248" s="607"/>
    </row>
    <row r="249" spans="1:6" s="14" customFormat="1" ht="24.75" customHeight="1" outlineLevel="2" x14ac:dyDescent="0.25">
      <c r="A249" s="57"/>
      <c r="B249" s="76" t="s">
        <v>987</v>
      </c>
      <c r="C249" s="62" t="s">
        <v>124</v>
      </c>
      <c r="D249" s="49">
        <v>82.76</v>
      </c>
      <c r="E249" s="608">
        <f t="shared" si="3"/>
        <v>82.76</v>
      </c>
      <c r="F249" s="607"/>
    </row>
    <row r="250" spans="1:6" s="14" customFormat="1" ht="24.75" customHeight="1" outlineLevel="2" x14ac:dyDescent="0.25">
      <c r="A250" s="57"/>
      <c r="B250" s="76" t="s">
        <v>988</v>
      </c>
      <c r="C250" s="62" t="s">
        <v>124</v>
      </c>
      <c r="D250" s="49">
        <v>0.8</v>
      </c>
      <c r="E250" s="608">
        <f t="shared" si="3"/>
        <v>0.8</v>
      </c>
      <c r="F250" s="607"/>
    </row>
    <row r="251" spans="1:6" s="14" customFormat="1" ht="24.75" customHeight="1" outlineLevel="2" x14ac:dyDescent="0.25">
      <c r="A251" s="57"/>
      <c r="B251" s="61" t="s">
        <v>989</v>
      </c>
      <c r="C251" s="63" t="s">
        <v>78</v>
      </c>
      <c r="D251" s="49">
        <v>4</v>
      </c>
      <c r="E251" s="608">
        <f t="shared" si="3"/>
        <v>4</v>
      </c>
      <c r="F251" s="607"/>
    </row>
    <row r="252" spans="1:6" s="14" customFormat="1" ht="24.75" customHeight="1" outlineLevel="2" x14ac:dyDescent="0.25">
      <c r="A252" s="77"/>
      <c r="B252" s="79" t="s">
        <v>990</v>
      </c>
      <c r="C252" s="80" t="s">
        <v>78</v>
      </c>
      <c r="D252" s="55">
        <v>4</v>
      </c>
      <c r="E252" s="608">
        <f t="shared" si="3"/>
        <v>4</v>
      </c>
      <c r="F252" s="607"/>
    </row>
    <row r="253" spans="1:6" s="14" customFormat="1" ht="24.75" customHeight="1" outlineLevel="2" x14ac:dyDescent="0.25">
      <c r="A253" s="57"/>
      <c r="B253" s="76" t="s">
        <v>991</v>
      </c>
      <c r="C253" s="62" t="s">
        <v>10</v>
      </c>
      <c r="D253" s="49">
        <v>0.38700000000000001</v>
      </c>
      <c r="E253" s="608">
        <f t="shared" si="3"/>
        <v>0.38700000000000001</v>
      </c>
      <c r="F253" s="607"/>
    </row>
    <row r="254" spans="1:6" s="14" customFormat="1" ht="24.75" customHeight="1" outlineLevel="1" x14ac:dyDescent="0.25">
      <c r="A254" s="77">
        <v>12</v>
      </c>
      <c r="B254" s="78" t="s">
        <v>1013</v>
      </c>
      <c r="C254" s="77" t="s">
        <v>970</v>
      </c>
      <c r="D254" s="55">
        <v>1</v>
      </c>
      <c r="E254" s="608">
        <f t="shared" si="3"/>
        <v>1</v>
      </c>
      <c r="F254" s="607"/>
    </row>
    <row r="255" spans="1:6" s="14" customFormat="1" ht="24.75" customHeight="1" outlineLevel="2" x14ac:dyDescent="0.25">
      <c r="A255" s="57"/>
      <c r="B255" s="64" t="s">
        <v>1014</v>
      </c>
      <c r="C255" s="60" t="s">
        <v>970</v>
      </c>
      <c r="D255" s="49">
        <v>1</v>
      </c>
      <c r="E255" s="608">
        <f t="shared" si="3"/>
        <v>1</v>
      </c>
      <c r="F255" s="607"/>
    </row>
    <row r="256" spans="1:6" s="14" customFormat="1" ht="24.75" customHeight="1" outlineLevel="2" x14ac:dyDescent="0.25">
      <c r="A256" s="57"/>
      <c r="B256" s="61" t="s">
        <v>105</v>
      </c>
      <c r="C256" s="62" t="s">
        <v>77</v>
      </c>
      <c r="D256" s="49">
        <v>0.82347999999999999</v>
      </c>
      <c r="E256" s="608">
        <f t="shared" si="3"/>
        <v>0.82347999999999999</v>
      </c>
      <c r="F256" s="607"/>
    </row>
    <row r="257" spans="1:6" s="14" customFormat="1" ht="24.75" customHeight="1" outlineLevel="2" x14ac:dyDescent="0.25">
      <c r="A257" s="57"/>
      <c r="B257" s="61" t="s">
        <v>83</v>
      </c>
      <c r="C257" s="62" t="s">
        <v>77</v>
      </c>
      <c r="D257" s="49">
        <v>1.3684700000000001</v>
      </c>
      <c r="E257" s="608">
        <f t="shared" si="3"/>
        <v>1.3684700000000001</v>
      </c>
      <c r="F257" s="607"/>
    </row>
    <row r="258" spans="1:6" s="14" customFormat="1" ht="24.75" customHeight="1" outlineLevel="2" x14ac:dyDescent="0.25">
      <c r="A258" s="57"/>
      <c r="B258" s="61" t="s">
        <v>84</v>
      </c>
      <c r="C258" s="62" t="s">
        <v>77</v>
      </c>
      <c r="D258" s="49">
        <v>0.22</v>
      </c>
      <c r="E258" s="608">
        <f t="shared" si="3"/>
        <v>0.22</v>
      </c>
      <c r="F258" s="607"/>
    </row>
    <row r="259" spans="1:6" s="14" customFormat="1" ht="24.75" customHeight="1" outlineLevel="2" x14ac:dyDescent="0.25">
      <c r="A259" s="57"/>
      <c r="B259" s="61" t="s">
        <v>85</v>
      </c>
      <c r="C259" s="62" t="s">
        <v>77</v>
      </c>
      <c r="D259" s="49">
        <v>0.70641999999999994</v>
      </c>
      <c r="E259" s="608">
        <f t="shared" si="3"/>
        <v>0.70641999999999994</v>
      </c>
      <c r="F259" s="607"/>
    </row>
    <row r="260" spans="1:6" s="14" customFormat="1" ht="24.75" customHeight="1" outlineLevel="2" x14ac:dyDescent="0.25">
      <c r="A260" s="57"/>
      <c r="B260" s="61" t="s">
        <v>86</v>
      </c>
      <c r="C260" s="62" t="s">
        <v>77</v>
      </c>
      <c r="D260" s="49">
        <v>0.83786000000000005</v>
      </c>
      <c r="E260" s="608">
        <f t="shared" si="3"/>
        <v>0.83786000000000005</v>
      </c>
      <c r="F260" s="607"/>
    </row>
    <row r="261" spans="1:6" s="14" customFormat="1" ht="24.75" customHeight="1" outlineLevel="2" x14ac:dyDescent="0.25">
      <c r="A261" s="57"/>
      <c r="B261" s="61" t="s">
        <v>87</v>
      </c>
      <c r="C261" s="62" t="s">
        <v>77</v>
      </c>
      <c r="D261" s="49">
        <v>1.96889</v>
      </c>
      <c r="E261" s="608">
        <f t="shared" si="3"/>
        <v>1.96889</v>
      </c>
      <c r="F261" s="607"/>
    </row>
    <row r="262" spans="1:6" s="14" customFormat="1" ht="24.75" customHeight="1" outlineLevel="2" x14ac:dyDescent="0.25">
      <c r="A262" s="57"/>
      <c r="B262" s="61" t="s">
        <v>984</v>
      </c>
      <c r="C262" s="63" t="s">
        <v>10</v>
      </c>
      <c r="D262" s="49">
        <v>25.49</v>
      </c>
      <c r="E262" s="608">
        <f t="shared" si="3"/>
        <v>25.49</v>
      </c>
      <c r="F262" s="607"/>
    </row>
    <row r="263" spans="1:6" s="14" customFormat="1" ht="24.75" customHeight="1" outlineLevel="2" x14ac:dyDescent="0.25">
      <c r="A263" s="57"/>
      <c r="B263" s="61" t="s">
        <v>102</v>
      </c>
      <c r="C263" s="63" t="s">
        <v>68</v>
      </c>
      <c r="D263" s="49">
        <v>96.47</v>
      </c>
      <c r="E263" s="608">
        <f t="shared" si="3"/>
        <v>96.47</v>
      </c>
      <c r="F263" s="607"/>
    </row>
    <row r="264" spans="1:6" s="14" customFormat="1" ht="24.75" customHeight="1" outlineLevel="2" x14ac:dyDescent="0.25">
      <c r="A264" s="57"/>
      <c r="B264" s="64" t="s">
        <v>998</v>
      </c>
      <c r="C264" s="590" t="s">
        <v>79</v>
      </c>
      <c r="D264" s="49">
        <v>2</v>
      </c>
      <c r="E264" s="608">
        <f t="shared" si="3"/>
        <v>2</v>
      </c>
      <c r="F264" s="607"/>
    </row>
    <row r="265" spans="1:6" s="14" customFormat="1" ht="24.75" customHeight="1" outlineLevel="2" x14ac:dyDescent="0.25">
      <c r="A265" s="57"/>
      <c r="B265" s="61" t="s">
        <v>83</v>
      </c>
      <c r="C265" s="62" t="s">
        <v>77</v>
      </c>
      <c r="D265" s="49">
        <v>9.6700000000000008E-2</v>
      </c>
      <c r="E265" s="608">
        <f t="shared" si="3"/>
        <v>9.6700000000000008E-2</v>
      </c>
      <c r="F265" s="607"/>
    </row>
    <row r="266" spans="1:6" s="14" customFormat="1" ht="24.75" customHeight="1" outlineLevel="2" x14ac:dyDescent="0.25">
      <c r="A266" s="57"/>
      <c r="B266" s="61" t="s">
        <v>85</v>
      </c>
      <c r="C266" s="62" t="s">
        <v>77</v>
      </c>
      <c r="D266" s="49">
        <v>0.64578000000000002</v>
      </c>
      <c r="E266" s="608">
        <f t="shared" si="3"/>
        <v>0.64578000000000002</v>
      </c>
      <c r="F266" s="607"/>
    </row>
    <row r="267" spans="1:6" s="14" customFormat="1" ht="24.75" customHeight="1" outlineLevel="2" x14ac:dyDescent="0.25">
      <c r="A267" s="57"/>
      <c r="B267" s="61" t="s">
        <v>87</v>
      </c>
      <c r="C267" s="62" t="s">
        <v>77</v>
      </c>
      <c r="D267" s="49">
        <v>0.22209999999999999</v>
      </c>
      <c r="E267" s="608">
        <f t="shared" si="3"/>
        <v>0.22209999999999999</v>
      </c>
      <c r="F267" s="607"/>
    </row>
    <row r="268" spans="1:6" s="14" customFormat="1" ht="24.75" customHeight="1" outlineLevel="2" x14ac:dyDescent="0.25">
      <c r="A268" s="57"/>
      <c r="B268" s="61" t="s">
        <v>984</v>
      </c>
      <c r="C268" s="63" t="s">
        <v>10</v>
      </c>
      <c r="D268" s="49">
        <v>0.9</v>
      </c>
      <c r="E268" s="608">
        <f t="shared" si="3"/>
        <v>0.9</v>
      </c>
      <c r="F268" s="607"/>
    </row>
    <row r="269" spans="1:6" s="14" customFormat="1" ht="24.75" customHeight="1" outlineLevel="2" x14ac:dyDescent="0.25">
      <c r="A269" s="57"/>
      <c r="B269" s="61" t="s">
        <v>102</v>
      </c>
      <c r="C269" s="62" t="s">
        <v>68</v>
      </c>
      <c r="D269" s="49">
        <v>2.12</v>
      </c>
      <c r="E269" s="608">
        <f t="shared" si="3"/>
        <v>2.12</v>
      </c>
      <c r="F269" s="607"/>
    </row>
    <row r="270" spans="1:6" s="14" customFormat="1" ht="24.75" customHeight="1" outlineLevel="2" x14ac:dyDescent="0.25">
      <c r="A270" s="57"/>
      <c r="B270" s="64" t="s">
        <v>985</v>
      </c>
      <c r="C270" s="59" t="s">
        <v>134</v>
      </c>
      <c r="D270" s="49">
        <v>1</v>
      </c>
      <c r="E270" s="608">
        <f t="shared" si="3"/>
        <v>1</v>
      </c>
      <c r="F270" s="607"/>
    </row>
    <row r="271" spans="1:6" s="14" customFormat="1" ht="24.75" customHeight="1" outlineLevel="2" x14ac:dyDescent="0.25">
      <c r="A271" s="57"/>
      <c r="B271" s="76" t="s">
        <v>986</v>
      </c>
      <c r="C271" s="62" t="s">
        <v>77</v>
      </c>
      <c r="D271" s="49">
        <v>0.67313699999999999</v>
      </c>
      <c r="E271" s="608">
        <f t="shared" si="3"/>
        <v>0.67313699999999999</v>
      </c>
      <c r="F271" s="607"/>
    </row>
    <row r="272" spans="1:6" s="14" customFormat="1" ht="24.75" customHeight="1" outlineLevel="2" x14ac:dyDescent="0.25">
      <c r="A272" s="57"/>
      <c r="B272" s="76" t="s">
        <v>987</v>
      </c>
      <c r="C272" s="62" t="s">
        <v>124</v>
      </c>
      <c r="D272" s="49">
        <v>94.91</v>
      </c>
      <c r="E272" s="608">
        <f t="shared" si="3"/>
        <v>94.91</v>
      </c>
      <c r="F272" s="607"/>
    </row>
    <row r="273" spans="1:6" s="14" customFormat="1" ht="24.75" customHeight="1" outlineLevel="2" x14ac:dyDescent="0.25">
      <c r="A273" s="57"/>
      <c r="B273" s="76" t="s">
        <v>988</v>
      </c>
      <c r="C273" s="62" t="s">
        <v>124</v>
      </c>
      <c r="D273" s="49">
        <v>0.8</v>
      </c>
      <c r="E273" s="608">
        <f t="shared" ref="E273:E336" si="4">D273</f>
        <v>0.8</v>
      </c>
      <c r="F273" s="607"/>
    </row>
    <row r="274" spans="1:6" s="14" customFormat="1" ht="24.75" customHeight="1" outlineLevel="2" x14ac:dyDescent="0.25">
      <c r="A274" s="57"/>
      <c r="B274" s="61" t="s">
        <v>989</v>
      </c>
      <c r="C274" s="63" t="s">
        <v>78</v>
      </c>
      <c r="D274" s="49">
        <v>2</v>
      </c>
      <c r="E274" s="608">
        <f t="shared" si="4"/>
        <v>2</v>
      </c>
      <c r="F274" s="607"/>
    </row>
    <row r="275" spans="1:6" s="14" customFormat="1" ht="24.75" customHeight="1" outlineLevel="2" x14ac:dyDescent="0.25">
      <c r="A275" s="77"/>
      <c r="B275" s="79" t="s">
        <v>990</v>
      </c>
      <c r="C275" s="80" t="s">
        <v>78</v>
      </c>
      <c r="D275" s="55">
        <v>2</v>
      </c>
      <c r="E275" s="608">
        <f t="shared" si="4"/>
        <v>2</v>
      </c>
      <c r="F275" s="607"/>
    </row>
    <row r="276" spans="1:6" s="14" customFormat="1" ht="24.75" customHeight="1" outlineLevel="2" x14ac:dyDescent="0.25">
      <c r="A276" s="57"/>
      <c r="B276" s="76" t="s">
        <v>991</v>
      </c>
      <c r="C276" s="62" t="s">
        <v>10</v>
      </c>
      <c r="D276" s="49">
        <v>0.44400000000000001</v>
      </c>
      <c r="E276" s="608">
        <f t="shared" si="4"/>
        <v>0.44400000000000001</v>
      </c>
      <c r="F276" s="607"/>
    </row>
    <row r="277" spans="1:6" s="14" customFormat="1" ht="24.75" customHeight="1" outlineLevel="1" x14ac:dyDescent="0.25">
      <c r="A277" s="77">
        <v>13</v>
      </c>
      <c r="B277" s="78" t="s">
        <v>1015</v>
      </c>
      <c r="C277" s="77" t="s">
        <v>970</v>
      </c>
      <c r="D277" s="55">
        <v>1</v>
      </c>
      <c r="E277" s="608">
        <f t="shared" si="4"/>
        <v>1</v>
      </c>
      <c r="F277" s="607"/>
    </row>
    <row r="278" spans="1:6" s="14" customFormat="1" ht="24.75" customHeight="1" outlineLevel="2" x14ac:dyDescent="0.25">
      <c r="A278" s="57"/>
      <c r="B278" s="64" t="s">
        <v>1016</v>
      </c>
      <c r="C278" s="60" t="s">
        <v>970</v>
      </c>
      <c r="D278" s="49">
        <v>1</v>
      </c>
      <c r="E278" s="608">
        <f t="shared" si="4"/>
        <v>1</v>
      </c>
      <c r="F278" s="607"/>
    </row>
    <row r="279" spans="1:6" s="14" customFormat="1" ht="24.75" customHeight="1" outlineLevel="2" x14ac:dyDescent="0.25">
      <c r="A279" s="57"/>
      <c r="B279" s="61" t="s">
        <v>105</v>
      </c>
      <c r="C279" s="62" t="s">
        <v>77</v>
      </c>
      <c r="D279" s="49">
        <v>0.82347999999999999</v>
      </c>
      <c r="E279" s="608">
        <f t="shared" si="4"/>
        <v>0.82347999999999999</v>
      </c>
      <c r="F279" s="607"/>
    </row>
    <row r="280" spans="1:6" s="14" customFormat="1" ht="24.75" customHeight="1" outlineLevel="2" x14ac:dyDescent="0.25">
      <c r="A280" s="57"/>
      <c r="B280" s="61" t="s">
        <v>83</v>
      </c>
      <c r="C280" s="62" t="s">
        <v>77</v>
      </c>
      <c r="D280" s="49">
        <v>1.3684700000000001</v>
      </c>
      <c r="E280" s="608">
        <f t="shared" si="4"/>
        <v>1.3684700000000001</v>
      </c>
      <c r="F280" s="607"/>
    </row>
    <row r="281" spans="1:6" s="14" customFormat="1" ht="24.75" customHeight="1" outlineLevel="2" x14ac:dyDescent="0.25">
      <c r="A281" s="57"/>
      <c r="B281" s="61" t="s">
        <v>84</v>
      </c>
      <c r="C281" s="62" t="s">
        <v>77</v>
      </c>
      <c r="D281" s="49">
        <v>0.22</v>
      </c>
      <c r="E281" s="608">
        <f t="shared" si="4"/>
        <v>0.22</v>
      </c>
      <c r="F281" s="607"/>
    </row>
    <row r="282" spans="1:6" s="14" customFormat="1" ht="24.75" customHeight="1" outlineLevel="2" x14ac:dyDescent="0.25">
      <c r="A282" s="57"/>
      <c r="B282" s="61" t="s">
        <v>85</v>
      </c>
      <c r="C282" s="62" t="s">
        <v>77</v>
      </c>
      <c r="D282" s="49">
        <v>0.70641999999999994</v>
      </c>
      <c r="E282" s="608">
        <f t="shared" si="4"/>
        <v>0.70641999999999994</v>
      </c>
      <c r="F282" s="607"/>
    </row>
    <row r="283" spans="1:6" s="14" customFormat="1" ht="24.75" customHeight="1" outlineLevel="2" x14ac:dyDescent="0.25">
      <c r="A283" s="57"/>
      <c r="B283" s="61" t="s">
        <v>86</v>
      </c>
      <c r="C283" s="62" t="s">
        <v>77</v>
      </c>
      <c r="D283" s="49">
        <v>0.83786000000000005</v>
      </c>
      <c r="E283" s="608">
        <f t="shared" si="4"/>
        <v>0.83786000000000005</v>
      </c>
      <c r="F283" s="607"/>
    </row>
    <row r="284" spans="1:6" s="14" customFormat="1" ht="24.75" customHeight="1" outlineLevel="2" x14ac:dyDescent="0.25">
      <c r="A284" s="57"/>
      <c r="B284" s="61" t="s">
        <v>87</v>
      </c>
      <c r="C284" s="62" t="s">
        <v>77</v>
      </c>
      <c r="D284" s="49">
        <v>1.96889</v>
      </c>
      <c r="E284" s="608">
        <f t="shared" si="4"/>
        <v>1.96889</v>
      </c>
      <c r="F284" s="607"/>
    </row>
    <row r="285" spans="1:6" s="14" customFormat="1" ht="24.75" customHeight="1" outlineLevel="2" x14ac:dyDescent="0.25">
      <c r="A285" s="57"/>
      <c r="B285" s="61" t="s">
        <v>984</v>
      </c>
      <c r="C285" s="63" t="s">
        <v>10</v>
      </c>
      <c r="D285" s="49">
        <v>25.49</v>
      </c>
      <c r="E285" s="608">
        <f t="shared" si="4"/>
        <v>25.49</v>
      </c>
      <c r="F285" s="607"/>
    </row>
    <row r="286" spans="1:6" s="14" customFormat="1" ht="24.75" customHeight="1" outlineLevel="2" x14ac:dyDescent="0.25">
      <c r="A286" s="57"/>
      <c r="B286" s="61" t="s">
        <v>102</v>
      </c>
      <c r="C286" s="63" t="s">
        <v>68</v>
      </c>
      <c r="D286" s="49">
        <v>96.47</v>
      </c>
      <c r="E286" s="608">
        <f t="shared" si="4"/>
        <v>96.47</v>
      </c>
      <c r="F286" s="607"/>
    </row>
    <row r="287" spans="1:6" s="14" customFormat="1" ht="24.75" customHeight="1" outlineLevel="2" x14ac:dyDescent="0.25">
      <c r="A287" s="57"/>
      <c r="B287" s="64" t="s">
        <v>998</v>
      </c>
      <c r="C287" s="590" t="s">
        <v>79</v>
      </c>
      <c r="D287" s="49">
        <v>2</v>
      </c>
      <c r="E287" s="608">
        <f t="shared" si="4"/>
        <v>2</v>
      </c>
      <c r="F287" s="607"/>
    </row>
    <row r="288" spans="1:6" s="14" customFormat="1" ht="24.75" customHeight="1" outlineLevel="2" x14ac:dyDescent="0.25">
      <c r="A288" s="57"/>
      <c r="B288" s="61" t="s">
        <v>83</v>
      </c>
      <c r="C288" s="62" t="s">
        <v>77</v>
      </c>
      <c r="D288" s="49">
        <v>8.695E-2</v>
      </c>
      <c r="E288" s="608">
        <f t="shared" si="4"/>
        <v>8.695E-2</v>
      </c>
      <c r="F288" s="607"/>
    </row>
    <row r="289" spans="1:6" s="14" customFormat="1" ht="24.75" customHeight="1" outlineLevel="2" x14ac:dyDescent="0.25">
      <c r="A289" s="57"/>
      <c r="B289" s="61" t="s">
        <v>85</v>
      </c>
      <c r="C289" s="62" t="s">
        <v>77</v>
      </c>
      <c r="D289" s="49">
        <v>0.55142999999999998</v>
      </c>
      <c r="E289" s="608">
        <f t="shared" si="4"/>
        <v>0.55142999999999998</v>
      </c>
      <c r="F289" s="607"/>
    </row>
    <row r="290" spans="1:6" s="14" customFormat="1" ht="24.75" customHeight="1" outlineLevel="2" x14ac:dyDescent="0.25">
      <c r="A290" s="57"/>
      <c r="B290" s="61" t="s">
        <v>87</v>
      </c>
      <c r="C290" s="62" t="s">
        <v>77</v>
      </c>
      <c r="D290" s="49">
        <v>0.18171999999999999</v>
      </c>
      <c r="E290" s="608">
        <f t="shared" si="4"/>
        <v>0.18171999999999999</v>
      </c>
      <c r="F290" s="607"/>
    </row>
    <row r="291" spans="1:6" s="14" customFormat="1" ht="24.75" customHeight="1" outlineLevel="2" x14ac:dyDescent="0.25">
      <c r="A291" s="57"/>
      <c r="B291" s="61" t="s">
        <v>984</v>
      </c>
      <c r="C291" s="63" t="s">
        <v>10</v>
      </c>
      <c r="D291" s="49">
        <v>0.7</v>
      </c>
      <c r="E291" s="608">
        <f t="shared" si="4"/>
        <v>0.7</v>
      </c>
      <c r="F291" s="607"/>
    </row>
    <row r="292" spans="1:6" s="14" customFormat="1" ht="24.75" customHeight="1" outlineLevel="2" x14ac:dyDescent="0.25">
      <c r="A292" s="57"/>
      <c r="B292" s="61" t="s">
        <v>102</v>
      </c>
      <c r="C292" s="62" t="s">
        <v>68</v>
      </c>
      <c r="D292" s="49">
        <v>3.1</v>
      </c>
      <c r="E292" s="608">
        <f t="shared" si="4"/>
        <v>3.1</v>
      </c>
      <c r="F292" s="607"/>
    </row>
    <row r="293" spans="1:6" s="14" customFormat="1" ht="24.75" customHeight="1" outlineLevel="2" x14ac:dyDescent="0.25">
      <c r="A293" s="57"/>
      <c r="B293" s="64" t="s">
        <v>985</v>
      </c>
      <c r="C293" s="59" t="s">
        <v>134</v>
      </c>
      <c r="D293" s="49">
        <v>1</v>
      </c>
      <c r="E293" s="608">
        <f t="shared" si="4"/>
        <v>1</v>
      </c>
      <c r="F293" s="607"/>
    </row>
    <row r="294" spans="1:6" s="14" customFormat="1" ht="24.75" customHeight="1" outlineLevel="2" x14ac:dyDescent="0.25">
      <c r="A294" s="57"/>
      <c r="B294" s="76" t="s">
        <v>986</v>
      </c>
      <c r="C294" s="62" t="s">
        <v>77</v>
      </c>
      <c r="D294" s="49">
        <v>0.67313699999999999</v>
      </c>
      <c r="E294" s="608">
        <f t="shared" si="4"/>
        <v>0.67313699999999999</v>
      </c>
      <c r="F294" s="607"/>
    </row>
    <row r="295" spans="1:6" s="14" customFormat="1" ht="24.75" customHeight="1" outlineLevel="2" x14ac:dyDescent="0.25">
      <c r="A295" s="57"/>
      <c r="B295" s="76" t="s">
        <v>987</v>
      </c>
      <c r="C295" s="62" t="s">
        <v>124</v>
      </c>
      <c r="D295" s="49">
        <v>77.183000000000007</v>
      </c>
      <c r="E295" s="608">
        <f t="shared" si="4"/>
        <v>77.183000000000007</v>
      </c>
      <c r="F295" s="607"/>
    </row>
    <row r="296" spans="1:6" s="14" customFormat="1" ht="24.75" customHeight="1" outlineLevel="2" x14ac:dyDescent="0.25">
      <c r="A296" s="57"/>
      <c r="B296" s="76" t="s">
        <v>988</v>
      </c>
      <c r="C296" s="62" t="s">
        <v>124</v>
      </c>
      <c r="D296" s="49">
        <v>1.6</v>
      </c>
      <c r="E296" s="608">
        <f t="shared" si="4"/>
        <v>1.6</v>
      </c>
      <c r="F296" s="607"/>
    </row>
    <row r="297" spans="1:6" s="14" customFormat="1" ht="24.75" customHeight="1" outlineLevel="2" x14ac:dyDescent="0.25">
      <c r="A297" s="57"/>
      <c r="B297" s="61" t="s">
        <v>989</v>
      </c>
      <c r="C297" s="63" t="s">
        <v>78</v>
      </c>
      <c r="D297" s="49">
        <v>2</v>
      </c>
      <c r="E297" s="608">
        <f t="shared" si="4"/>
        <v>2</v>
      </c>
      <c r="F297" s="607"/>
    </row>
    <row r="298" spans="1:6" s="14" customFormat="1" ht="24.75" customHeight="1" outlineLevel="2" x14ac:dyDescent="0.25">
      <c r="A298" s="77"/>
      <c r="B298" s="79" t="s">
        <v>990</v>
      </c>
      <c r="C298" s="80" t="s">
        <v>78</v>
      </c>
      <c r="D298" s="55">
        <v>2</v>
      </c>
      <c r="E298" s="608">
        <f t="shared" si="4"/>
        <v>2</v>
      </c>
      <c r="F298" s="607"/>
    </row>
    <row r="299" spans="1:6" s="14" customFormat="1" ht="24.75" customHeight="1" outlineLevel="2" x14ac:dyDescent="0.25">
      <c r="A299" s="57"/>
      <c r="B299" s="76" t="s">
        <v>991</v>
      </c>
      <c r="C299" s="62" t="s">
        <v>10</v>
      </c>
      <c r="D299" s="49">
        <v>0.36099999999999999</v>
      </c>
      <c r="E299" s="608">
        <f t="shared" si="4"/>
        <v>0.36099999999999999</v>
      </c>
      <c r="F299" s="607"/>
    </row>
    <row r="300" spans="1:6" s="14" customFormat="1" ht="24.75" customHeight="1" outlineLevel="1" x14ac:dyDescent="0.25">
      <c r="A300" s="77">
        <v>14</v>
      </c>
      <c r="B300" s="78" t="s">
        <v>1017</v>
      </c>
      <c r="C300" s="77" t="s">
        <v>970</v>
      </c>
      <c r="D300" s="55">
        <v>1</v>
      </c>
      <c r="E300" s="608">
        <f t="shared" si="4"/>
        <v>1</v>
      </c>
      <c r="F300" s="607"/>
    </row>
    <row r="301" spans="1:6" s="14" customFormat="1" ht="24.75" customHeight="1" outlineLevel="2" x14ac:dyDescent="0.25">
      <c r="A301" s="57"/>
      <c r="B301" s="64" t="s">
        <v>1018</v>
      </c>
      <c r="C301" s="60" t="s">
        <v>970</v>
      </c>
      <c r="D301" s="49">
        <v>1</v>
      </c>
      <c r="E301" s="608">
        <f t="shared" si="4"/>
        <v>1</v>
      </c>
      <c r="F301" s="607"/>
    </row>
    <row r="302" spans="1:6" s="14" customFormat="1" ht="24.75" customHeight="1" outlineLevel="2" x14ac:dyDescent="0.25">
      <c r="A302" s="57"/>
      <c r="B302" s="61" t="s">
        <v>105</v>
      </c>
      <c r="C302" s="62" t="s">
        <v>77</v>
      </c>
      <c r="D302" s="49">
        <v>0.90398999999999996</v>
      </c>
      <c r="E302" s="608">
        <f t="shared" si="4"/>
        <v>0.90398999999999996</v>
      </c>
      <c r="F302" s="607"/>
    </row>
    <row r="303" spans="1:6" s="14" customFormat="1" ht="24.75" customHeight="1" outlineLevel="2" x14ac:dyDescent="0.25">
      <c r="A303" s="57"/>
      <c r="B303" s="61" t="s">
        <v>83</v>
      </c>
      <c r="C303" s="62" t="s">
        <v>77</v>
      </c>
      <c r="D303" s="49">
        <v>1.5538599999999998</v>
      </c>
      <c r="E303" s="608">
        <f t="shared" si="4"/>
        <v>1.5538599999999998</v>
      </c>
      <c r="F303" s="607"/>
    </row>
    <row r="304" spans="1:6" s="14" customFormat="1" ht="24.75" customHeight="1" outlineLevel="2" x14ac:dyDescent="0.25">
      <c r="A304" s="57"/>
      <c r="B304" s="61" t="s">
        <v>84</v>
      </c>
      <c r="C304" s="62" t="s">
        <v>77</v>
      </c>
      <c r="D304" s="49">
        <v>0.25</v>
      </c>
      <c r="E304" s="608">
        <f t="shared" si="4"/>
        <v>0.25</v>
      </c>
      <c r="F304" s="607"/>
    </row>
    <row r="305" spans="1:6" s="14" customFormat="1" ht="24.75" customHeight="1" outlineLevel="2" x14ac:dyDescent="0.25">
      <c r="A305" s="57"/>
      <c r="B305" s="61" t="s">
        <v>85</v>
      </c>
      <c r="C305" s="62" t="s">
        <v>77</v>
      </c>
      <c r="D305" s="49">
        <v>0.80276000000000003</v>
      </c>
      <c r="E305" s="608">
        <f t="shared" si="4"/>
        <v>0.80276000000000003</v>
      </c>
      <c r="F305" s="607"/>
    </row>
    <row r="306" spans="1:6" s="14" customFormat="1" ht="24.75" customHeight="1" outlineLevel="2" x14ac:dyDescent="0.25">
      <c r="A306" s="57"/>
      <c r="B306" s="61" t="s">
        <v>86</v>
      </c>
      <c r="C306" s="62" t="s">
        <v>77</v>
      </c>
      <c r="D306" s="49">
        <v>0.95211000000000001</v>
      </c>
      <c r="E306" s="608">
        <f t="shared" si="4"/>
        <v>0.95211000000000001</v>
      </c>
      <c r="F306" s="607"/>
    </row>
    <row r="307" spans="1:6" s="14" customFormat="1" ht="24.75" customHeight="1" outlineLevel="2" x14ac:dyDescent="0.25">
      <c r="A307" s="57"/>
      <c r="B307" s="61" t="s">
        <v>87</v>
      </c>
      <c r="C307" s="62" t="s">
        <v>77</v>
      </c>
      <c r="D307" s="49">
        <v>2.1541600000000001</v>
      </c>
      <c r="E307" s="608">
        <f t="shared" si="4"/>
        <v>2.1541600000000001</v>
      </c>
      <c r="F307" s="607"/>
    </row>
    <row r="308" spans="1:6" s="14" customFormat="1" ht="24.75" customHeight="1" outlineLevel="2" x14ac:dyDescent="0.25">
      <c r="A308" s="57"/>
      <c r="B308" s="61" t="s">
        <v>984</v>
      </c>
      <c r="C308" s="63" t="s">
        <v>10</v>
      </c>
      <c r="D308" s="49">
        <v>28.49</v>
      </c>
      <c r="E308" s="608">
        <f t="shared" si="4"/>
        <v>28.49</v>
      </c>
      <c r="F308" s="607"/>
    </row>
    <row r="309" spans="1:6" s="14" customFormat="1" ht="24.75" customHeight="1" outlineLevel="2" x14ac:dyDescent="0.25">
      <c r="A309" s="57"/>
      <c r="B309" s="61" t="s">
        <v>102</v>
      </c>
      <c r="C309" s="63" t="s">
        <v>68</v>
      </c>
      <c r="D309" s="49">
        <v>108.04</v>
      </c>
      <c r="E309" s="608">
        <f t="shared" si="4"/>
        <v>108.04</v>
      </c>
      <c r="F309" s="607"/>
    </row>
    <row r="310" spans="1:6" s="14" customFormat="1" ht="24.75" customHeight="1" outlineLevel="2" x14ac:dyDescent="0.25">
      <c r="A310" s="57"/>
      <c r="B310" s="64" t="s">
        <v>998</v>
      </c>
      <c r="C310" s="590" t="s">
        <v>79</v>
      </c>
      <c r="D310" s="49">
        <v>2</v>
      </c>
      <c r="E310" s="608">
        <f t="shared" si="4"/>
        <v>2</v>
      </c>
      <c r="F310" s="607"/>
    </row>
    <row r="311" spans="1:6" s="14" customFormat="1" ht="24.75" customHeight="1" outlineLevel="2" x14ac:dyDescent="0.25">
      <c r="A311" s="57"/>
      <c r="B311" s="61" t="s">
        <v>83</v>
      </c>
      <c r="C311" s="62" t="s">
        <v>77</v>
      </c>
      <c r="D311" s="49">
        <v>9.6700000000000008E-2</v>
      </c>
      <c r="E311" s="608">
        <f t="shared" si="4"/>
        <v>9.6700000000000008E-2</v>
      </c>
      <c r="F311" s="607"/>
    </row>
    <row r="312" spans="1:6" s="14" customFormat="1" ht="24.75" customHeight="1" outlineLevel="2" x14ac:dyDescent="0.25">
      <c r="A312" s="57"/>
      <c r="B312" s="61" t="s">
        <v>85</v>
      </c>
      <c r="C312" s="62" t="s">
        <v>77</v>
      </c>
      <c r="D312" s="49">
        <v>0.74485000000000001</v>
      </c>
      <c r="E312" s="608">
        <f t="shared" si="4"/>
        <v>0.74485000000000001</v>
      </c>
      <c r="F312" s="607"/>
    </row>
    <row r="313" spans="1:6" s="14" customFormat="1" ht="24.75" customHeight="1" outlineLevel="2" x14ac:dyDescent="0.25">
      <c r="A313" s="57"/>
      <c r="B313" s="61" t="s">
        <v>87</v>
      </c>
      <c r="C313" s="62" t="s">
        <v>77</v>
      </c>
      <c r="D313" s="49">
        <v>0.24450999999999998</v>
      </c>
      <c r="E313" s="608">
        <f t="shared" si="4"/>
        <v>0.24450999999999998</v>
      </c>
      <c r="F313" s="607"/>
    </row>
    <row r="314" spans="1:6" s="14" customFormat="1" ht="24.75" customHeight="1" outlineLevel="2" x14ac:dyDescent="0.25">
      <c r="A314" s="57"/>
      <c r="B314" s="61" t="s">
        <v>984</v>
      </c>
      <c r="C314" s="63" t="s">
        <v>10</v>
      </c>
      <c r="D314" s="49">
        <v>1.04</v>
      </c>
      <c r="E314" s="608">
        <f t="shared" si="4"/>
        <v>1.04</v>
      </c>
      <c r="F314" s="607"/>
    </row>
    <row r="315" spans="1:6" s="14" customFormat="1" ht="24.75" customHeight="1" outlineLevel="2" x14ac:dyDescent="0.25">
      <c r="A315" s="57"/>
      <c r="B315" s="61" t="s">
        <v>102</v>
      </c>
      <c r="C315" s="62" t="s">
        <v>68</v>
      </c>
      <c r="D315" s="49">
        <v>2.36</v>
      </c>
      <c r="E315" s="608">
        <f t="shared" si="4"/>
        <v>2.36</v>
      </c>
      <c r="F315" s="607"/>
    </row>
    <row r="316" spans="1:6" s="14" customFormat="1" ht="24.75" customHeight="1" outlineLevel="2" x14ac:dyDescent="0.25">
      <c r="A316" s="57"/>
      <c r="B316" s="64" t="s">
        <v>985</v>
      </c>
      <c r="C316" s="59" t="s">
        <v>134</v>
      </c>
      <c r="D316" s="49">
        <v>1</v>
      </c>
      <c r="E316" s="608">
        <f t="shared" si="4"/>
        <v>1</v>
      </c>
      <c r="F316" s="607"/>
    </row>
    <row r="317" spans="1:6" s="14" customFormat="1" ht="24.75" customHeight="1" outlineLevel="2" x14ac:dyDescent="0.25">
      <c r="A317" s="57"/>
      <c r="B317" s="76" t="s">
        <v>986</v>
      </c>
      <c r="C317" s="62" t="s">
        <v>77</v>
      </c>
      <c r="D317" s="49">
        <v>0.766069</v>
      </c>
      <c r="E317" s="608">
        <f t="shared" si="4"/>
        <v>0.766069</v>
      </c>
      <c r="F317" s="607"/>
    </row>
    <row r="318" spans="1:6" s="14" customFormat="1" ht="24.75" customHeight="1" outlineLevel="2" x14ac:dyDescent="0.25">
      <c r="A318" s="57"/>
      <c r="B318" s="76" t="s">
        <v>987</v>
      </c>
      <c r="C318" s="62" t="s">
        <v>124</v>
      </c>
      <c r="D318" s="49">
        <v>110.95399999999999</v>
      </c>
      <c r="E318" s="608">
        <f t="shared" si="4"/>
        <v>110.95399999999999</v>
      </c>
      <c r="F318" s="607"/>
    </row>
    <row r="319" spans="1:6" s="14" customFormat="1" ht="24.75" customHeight="1" outlineLevel="2" x14ac:dyDescent="0.25">
      <c r="A319" s="57"/>
      <c r="B319" s="76" t="s">
        <v>988</v>
      </c>
      <c r="C319" s="62" t="s">
        <v>124</v>
      </c>
      <c r="D319" s="49">
        <v>1.6</v>
      </c>
      <c r="E319" s="608">
        <f t="shared" si="4"/>
        <v>1.6</v>
      </c>
      <c r="F319" s="607"/>
    </row>
    <row r="320" spans="1:6" s="14" customFormat="1" ht="24.75" customHeight="1" outlineLevel="2" x14ac:dyDescent="0.25">
      <c r="A320" s="57"/>
      <c r="B320" s="61" t="s">
        <v>989</v>
      </c>
      <c r="C320" s="63" t="s">
        <v>78</v>
      </c>
      <c r="D320" s="49">
        <v>2</v>
      </c>
      <c r="E320" s="608">
        <f t="shared" si="4"/>
        <v>2</v>
      </c>
      <c r="F320" s="607"/>
    </row>
    <row r="321" spans="1:6" s="14" customFormat="1" ht="24.75" customHeight="1" outlineLevel="2" x14ac:dyDescent="0.25">
      <c r="A321" s="77"/>
      <c r="B321" s="79" t="s">
        <v>990</v>
      </c>
      <c r="C321" s="80" t="s">
        <v>78</v>
      </c>
      <c r="D321" s="55">
        <v>2</v>
      </c>
      <c r="E321" s="608">
        <f t="shared" si="4"/>
        <v>2</v>
      </c>
      <c r="F321" s="607"/>
    </row>
    <row r="322" spans="1:6" s="14" customFormat="1" ht="24.75" customHeight="1" outlineLevel="2" x14ac:dyDescent="0.25">
      <c r="A322" s="57"/>
      <c r="B322" s="76" t="s">
        <v>991</v>
      </c>
      <c r="C322" s="62" t="s">
        <v>10</v>
      </c>
      <c r="D322" s="49">
        <v>0.51900000000000002</v>
      </c>
      <c r="E322" s="608">
        <f t="shared" si="4"/>
        <v>0.51900000000000002</v>
      </c>
      <c r="F322" s="607"/>
    </row>
    <row r="323" spans="1:6" s="14" customFormat="1" ht="24.75" customHeight="1" outlineLevel="1" x14ac:dyDescent="0.25">
      <c r="A323" s="77">
        <v>15</v>
      </c>
      <c r="B323" s="78" t="s">
        <v>1019</v>
      </c>
      <c r="C323" s="77" t="s">
        <v>970</v>
      </c>
      <c r="D323" s="55">
        <v>1</v>
      </c>
      <c r="E323" s="608">
        <f t="shared" si="4"/>
        <v>1</v>
      </c>
      <c r="F323" s="607"/>
    </row>
    <row r="324" spans="1:6" s="14" customFormat="1" ht="24.75" customHeight="1" outlineLevel="2" x14ac:dyDescent="0.25">
      <c r="A324" s="57"/>
      <c r="B324" s="64" t="s">
        <v>1020</v>
      </c>
      <c r="C324" s="60" t="s">
        <v>970</v>
      </c>
      <c r="D324" s="49">
        <v>1</v>
      </c>
      <c r="E324" s="608">
        <f t="shared" si="4"/>
        <v>1</v>
      </c>
      <c r="F324" s="607"/>
    </row>
    <row r="325" spans="1:6" s="14" customFormat="1" ht="24.75" customHeight="1" outlineLevel="2" x14ac:dyDescent="0.25">
      <c r="A325" s="57"/>
      <c r="B325" s="61" t="s">
        <v>105</v>
      </c>
      <c r="C325" s="62" t="s">
        <v>77</v>
      </c>
      <c r="D325" s="49">
        <v>0.90398999999999996</v>
      </c>
      <c r="E325" s="608">
        <f t="shared" si="4"/>
        <v>0.90398999999999996</v>
      </c>
      <c r="F325" s="607"/>
    </row>
    <row r="326" spans="1:6" s="14" customFormat="1" ht="24.75" customHeight="1" outlineLevel="2" x14ac:dyDescent="0.25">
      <c r="A326" s="57"/>
      <c r="B326" s="61" t="s">
        <v>83</v>
      </c>
      <c r="C326" s="62" t="s">
        <v>77</v>
      </c>
      <c r="D326" s="49">
        <v>1.5538599999999998</v>
      </c>
      <c r="E326" s="608">
        <f t="shared" si="4"/>
        <v>1.5538599999999998</v>
      </c>
      <c r="F326" s="607"/>
    </row>
    <row r="327" spans="1:6" s="14" customFormat="1" ht="24.75" customHeight="1" outlineLevel="2" x14ac:dyDescent="0.25">
      <c r="A327" s="57"/>
      <c r="B327" s="61" t="s">
        <v>84</v>
      </c>
      <c r="C327" s="62" t="s">
        <v>77</v>
      </c>
      <c r="D327" s="49">
        <v>0.25</v>
      </c>
      <c r="E327" s="608">
        <f t="shared" si="4"/>
        <v>0.25</v>
      </c>
      <c r="F327" s="607"/>
    </row>
    <row r="328" spans="1:6" s="14" customFormat="1" ht="24.75" customHeight="1" outlineLevel="2" x14ac:dyDescent="0.25">
      <c r="A328" s="57"/>
      <c r="B328" s="61" t="s">
        <v>85</v>
      </c>
      <c r="C328" s="62" t="s">
        <v>77</v>
      </c>
      <c r="D328" s="49">
        <v>0.80276000000000003</v>
      </c>
      <c r="E328" s="608">
        <f t="shared" si="4"/>
        <v>0.80276000000000003</v>
      </c>
      <c r="F328" s="607"/>
    </row>
    <row r="329" spans="1:6" s="14" customFormat="1" ht="24.75" customHeight="1" outlineLevel="2" x14ac:dyDescent="0.25">
      <c r="A329" s="57"/>
      <c r="B329" s="61" t="s">
        <v>86</v>
      </c>
      <c r="C329" s="62" t="s">
        <v>77</v>
      </c>
      <c r="D329" s="49">
        <v>0.95211000000000001</v>
      </c>
      <c r="E329" s="608">
        <f t="shared" si="4"/>
        <v>0.95211000000000001</v>
      </c>
      <c r="F329" s="607"/>
    </row>
    <row r="330" spans="1:6" s="14" customFormat="1" ht="24.75" customHeight="1" outlineLevel="2" x14ac:dyDescent="0.25">
      <c r="A330" s="57"/>
      <c r="B330" s="61" t="s">
        <v>87</v>
      </c>
      <c r="C330" s="62" t="s">
        <v>77</v>
      </c>
      <c r="D330" s="49">
        <v>2.1541600000000001</v>
      </c>
      <c r="E330" s="608">
        <f t="shared" si="4"/>
        <v>2.1541600000000001</v>
      </c>
      <c r="F330" s="607"/>
    </row>
    <row r="331" spans="1:6" s="14" customFormat="1" ht="24.75" customHeight="1" outlineLevel="2" x14ac:dyDescent="0.25">
      <c r="A331" s="57"/>
      <c r="B331" s="61" t="s">
        <v>984</v>
      </c>
      <c r="C331" s="63" t="s">
        <v>10</v>
      </c>
      <c r="D331" s="49">
        <v>28.49</v>
      </c>
      <c r="E331" s="608">
        <f t="shared" si="4"/>
        <v>28.49</v>
      </c>
      <c r="F331" s="607"/>
    </row>
    <row r="332" spans="1:6" s="14" customFormat="1" ht="24.75" customHeight="1" outlineLevel="2" x14ac:dyDescent="0.25">
      <c r="A332" s="57"/>
      <c r="B332" s="61" t="s">
        <v>102</v>
      </c>
      <c r="C332" s="63" t="s">
        <v>68</v>
      </c>
      <c r="D332" s="49">
        <v>108.04</v>
      </c>
      <c r="E332" s="608">
        <f t="shared" si="4"/>
        <v>108.04</v>
      </c>
      <c r="F332" s="607"/>
    </row>
    <row r="333" spans="1:6" s="14" customFormat="1" ht="24.75" customHeight="1" outlineLevel="2" x14ac:dyDescent="0.25">
      <c r="A333" s="57"/>
      <c r="B333" s="64" t="s">
        <v>998</v>
      </c>
      <c r="C333" s="590" t="s">
        <v>79</v>
      </c>
      <c r="D333" s="49">
        <v>2</v>
      </c>
      <c r="E333" s="608">
        <f t="shared" si="4"/>
        <v>2</v>
      </c>
      <c r="F333" s="607"/>
    </row>
    <row r="334" spans="1:6" s="14" customFormat="1" ht="24.75" customHeight="1" outlineLevel="2" x14ac:dyDescent="0.25">
      <c r="A334" s="57"/>
      <c r="B334" s="61" t="s">
        <v>83</v>
      </c>
      <c r="C334" s="62" t="s">
        <v>77</v>
      </c>
      <c r="D334" s="49">
        <v>8.5949999999999999E-2</v>
      </c>
      <c r="E334" s="608">
        <f t="shared" si="4"/>
        <v>8.5949999999999999E-2</v>
      </c>
      <c r="F334" s="607"/>
    </row>
    <row r="335" spans="1:6" s="14" customFormat="1" ht="24.75" customHeight="1" outlineLevel="2" x14ac:dyDescent="0.25">
      <c r="A335" s="57"/>
      <c r="B335" s="61" t="s">
        <v>85</v>
      </c>
      <c r="C335" s="62" t="s">
        <v>77</v>
      </c>
      <c r="D335" s="49">
        <v>0.53630999999999995</v>
      </c>
      <c r="E335" s="608">
        <f t="shared" si="4"/>
        <v>0.53630999999999995</v>
      </c>
      <c r="F335" s="607"/>
    </row>
    <row r="336" spans="1:6" s="14" customFormat="1" ht="24.75" customHeight="1" outlineLevel="2" x14ac:dyDescent="0.25">
      <c r="A336" s="57"/>
      <c r="B336" s="61" t="s">
        <v>87</v>
      </c>
      <c r="C336" s="62" t="s">
        <v>77</v>
      </c>
      <c r="D336" s="49">
        <v>0.18403</v>
      </c>
      <c r="E336" s="608">
        <f t="shared" si="4"/>
        <v>0.18403</v>
      </c>
      <c r="F336" s="607"/>
    </row>
    <row r="337" spans="1:6" s="14" customFormat="1" ht="24.75" customHeight="1" outlineLevel="2" x14ac:dyDescent="0.25">
      <c r="A337" s="57"/>
      <c r="B337" s="61" t="s">
        <v>984</v>
      </c>
      <c r="C337" s="63" t="s">
        <v>10</v>
      </c>
      <c r="D337" s="49">
        <v>0.74</v>
      </c>
      <c r="E337" s="608">
        <f t="shared" ref="E337:E400" si="5">D337</f>
        <v>0.74</v>
      </c>
      <c r="F337" s="607"/>
    </row>
    <row r="338" spans="1:6" s="14" customFormat="1" ht="24.75" customHeight="1" outlineLevel="2" x14ac:dyDescent="0.25">
      <c r="A338" s="57"/>
      <c r="B338" s="61" t="s">
        <v>102</v>
      </c>
      <c r="C338" s="62" t="s">
        <v>68</v>
      </c>
      <c r="D338" s="49">
        <v>3.28</v>
      </c>
      <c r="E338" s="608">
        <f t="shared" si="5"/>
        <v>3.28</v>
      </c>
      <c r="F338" s="607"/>
    </row>
    <row r="339" spans="1:6" s="14" customFormat="1" ht="24.75" customHeight="1" outlineLevel="2" x14ac:dyDescent="0.25">
      <c r="A339" s="57"/>
      <c r="B339" s="64" t="s">
        <v>985</v>
      </c>
      <c r="C339" s="59" t="s">
        <v>134</v>
      </c>
      <c r="D339" s="49">
        <v>1</v>
      </c>
      <c r="E339" s="608">
        <f t="shared" si="5"/>
        <v>1</v>
      </c>
      <c r="F339" s="607"/>
    </row>
    <row r="340" spans="1:6" s="14" customFormat="1" ht="24.75" customHeight="1" outlineLevel="2" x14ac:dyDescent="0.25">
      <c r="A340" s="57"/>
      <c r="B340" s="76" t="s">
        <v>986</v>
      </c>
      <c r="C340" s="62" t="s">
        <v>77</v>
      </c>
      <c r="D340" s="49">
        <v>0.766069</v>
      </c>
      <c r="E340" s="608">
        <f t="shared" si="5"/>
        <v>0.766069</v>
      </c>
      <c r="F340" s="607"/>
    </row>
    <row r="341" spans="1:6" s="14" customFormat="1" ht="24.75" customHeight="1" outlineLevel="2" x14ac:dyDescent="0.25">
      <c r="A341" s="57"/>
      <c r="B341" s="76" t="s">
        <v>987</v>
      </c>
      <c r="C341" s="62" t="s">
        <v>124</v>
      </c>
      <c r="D341" s="49">
        <v>90.091999999999999</v>
      </c>
      <c r="E341" s="608">
        <f t="shared" si="5"/>
        <v>90.091999999999999</v>
      </c>
      <c r="F341" s="607"/>
    </row>
    <row r="342" spans="1:6" s="14" customFormat="1" ht="24.75" customHeight="1" outlineLevel="2" x14ac:dyDescent="0.25">
      <c r="A342" s="57"/>
      <c r="B342" s="76" t="s">
        <v>988</v>
      </c>
      <c r="C342" s="62" t="s">
        <v>124</v>
      </c>
      <c r="D342" s="49">
        <v>0.8</v>
      </c>
      <c r="E342" s="608">
        <f t="shared" si="5"/>
        <v>0.8</v>
      </c>
      <c r="F342" s="607"/>
    </row>
    <row r="343" spans="1:6" s="14" customFormat="1" ht="24.75" customHeight="1" outlineLevel="2" x14ac:dyDescent="0.25">
      <c r="A343" s="57"/>
      <c r="B343" s="61" t="s">
        <v>989</v>
      </c>
      <c r="C343" s="63" t="s">
        <v>78</v>
      </c>
      <c r="D343" s="49">
        <v>2</v>
      </c>
      <c r="E343" s="608">
        <f t="shared" si="5"/>
        <v>2</v>
      </c>
      <c r="F343" s="607"/>
    </row>
    <row r="344" spans="1:6" s="14" customFormat="1" ht="24.75" customHeight="1" outlineLevel="2" x14ac:dyDescent="0.25">
      <c r="A344" s="77"/>
      <c r="B344" s="79" t="s">
        <v>990</v>
      </c>
      <c r="C344" s="80" t="s">
        <v>78</v>
      </c>
      <c r="D344" s="55">
        <v>2</v>
      </c>
      <c r="E344" s="608">
        <f t="shared" si="5"/>
        <v>2</v>
      </c>
      <c r="F344" s="607"/>
    </row>
    <row r="345" spans="1:6" s="14" customFormat="1" ht="24.75" customHeight="1" outlineLevel="2" x14ac:dyDescent="0.25">
      <c r="A345" s="57"/>
      <c r="B345" s="76" t="s">
        <v>991</v>
      </c>
      <c r="C345" s="62" t="s">
        <v>10</v>
      </c>
      <c r="D345" s="49">
        <v>0.42199999999999999</v>
      </c>
      <c r="E345" s="608">
        <f t="shared" si="5"/>
        <v>0.42199999999999999</v>
      </c>
      <c r="F345" s="607"/>
    </row>
    <row r="346" spans="1:6" s="14" customFormat="1" ht="24.75" customHeight="1" outlineLevel="1" x14ac:dyDescent="0.25">
      <c r="A346" s="77">
        <v>16</v>
      </c>
      <c r="B346" s="78" t="s">
        <v>1021</v>
      </c>
      <c r="C346" s="77" t="s">
        <v>970</v>
      </c>
      <c r="D346" s="55">
        <v>1</v>
      </c>
      <c r="E346" s="608">
        <f t="shared" si="5"/>
        <v>1</v>
      </c>
      <c r="F346" s="607"/>
    </row>
    <row r="347" spans="1:6" s="14" customFormat="1" ht="24.75" customHeight="1" outlineLevel="2" x14ac:dyDescent="0.25">
      <c r="A347" s="57"/>
      <c r="B347" s="64" t="s">
        <v>1022</v>
      </c>
      <c r="C347" s="60" t="s">
        <v>970</v>
      </c>
      <c r="D347" s="49">
        <v>1</v>
      </c>
      <c r="E347" s="608">
        <f t="shared" si="5"/>
        <v>1</v>
      </c>
      <c r="F347" s="607"/>
    </row>
    <row r="348" spans="1:6" s="14" customFormat="1" ht="24.75" customHeight="1" outlineLevel="2" x14ac:dyDescent="0.25">
      <c r="A348" s="57"/>
      <c r="B348" s="61" t="s">
        <v>105</v>
      </c>
      <c r="C348" s="62" t="s">
        <v>77</v>
      </c>
      <c r="D348" s="49">
        <v>0.87967999999999991</v>
      </c>
      <c r="E348" s="608">
        <f t="shared" si="5"/>
        <v>0.87967999999999991</v>
      </c>
      <c r="F348" s="607"/>
    </row>
    <row r="349" spans="1:6" s="14" customFormat="1" ht="24.75" customHeight="1" outlineLevel="2" x14ac:dyDescent="0.25">
      <c r="A349" s="57"/>
      <c r="B349" s="61" t="s">
        <v>83</v>
      </c>
      <c r="C349" s="62" t="s">
        <v>77</v>
      </c>
      <c r="D349" s="49">
        <v>1.54575</v>
      </c>
      <c r="E349" s="608">
        <f t="shared" si="5"/>
        <v>1.54575</v>
      </c>
      <c r="F349" s="607"/>
    </row>
    <row r="350" spans="1:6" s="14" customFormat="1" ht="24.75" customHeight="1" outlineLevel="2" x14ac:dyDescent="0.25">
      <c r="A350" s="57"/>
      <c r="B350" s="61" t="s">
        <v>84</v>
      </c>
      <c r="C350" s="62" t="s">
        <v>77</v>
      </c>
      <c r="D350" s="49">
        <v>0.25</v>
      </c>
      <c r="E350" s="608">
        <f t="shared" si="5"/>
        <v>0.25</v>
      </c>
      <c r="F350" s="607"/>
    </row>
    <row r="351" spans="1:6" s="14" customFormat="1" ht="24.75" customHeight="1" outlineLevel="2" x14ac:dyDescent="0.25">
      <c r="A351" s="57"/>
      <c r="B351" s="61" t="s">
        <v>85</v>
      </c>
      <c r="C351" s="62" t="s">
        <v>77</v>
      </c>
      <c r="D351" s="49">
        <v>0.80276000000000003</v>
      </c>
      <c r="E351" s="608">
        <f t="shared" si="5"/>
        <v>0.80276000000000003</v>
      </c>
      <c r="F351" s="607"/>
    </row>
    <row r="352" spans="1:6" s="14" customFormat="1" ht="24.75" customHeight="1" outlineLevel="2" x14ac:dyDescent="0.25">
      <c r="A352" s="57"/>
      <c r="B352" s="61" t="s">
        <v>86</v>
      </c>
      <c r="C352" s="62" t="s">
        <v>77</v>
      </c>
      <c r="D352" s="49">
        <v>0.95211000000000001</v>
      </c>
      <c r="E352" s="608">
        <f t="shared" si="5"/>
        <v>0.95211000000000001</v>
      </c>
      <c r="F352" s="607"/>
    </row>
    <row r="353" spans="1:6" s="14" customFormat="1" ht="24.75" customHeight="1" outlineLevel="2" x14ac:dyDescent="0.25">
      <c r="A353" s="57"/>
      <c r="B353" s="61" t="s">
        <v>87</v>
      </c>
      <c r="C353" s="62" t="s">
        <v>77</v>
      </c>
      <c r="D353" s="49">
        <v>2.0828500000000001</v>
      </c>
      <c r="E353" s="608">
        <f t="shared" si="5"/>
        <v>2.0828500000000001</v>
      </c>
      <c r="F353" s="607"/>
    </row>
    <row r="354" spans="1:6" s="14" customFormat="1" ht="24.75" customHeight="1" outlineLevel="2" x14ac:dyDescent="0.25">
      <c r="A354" s="57"/>
      <c r="B354" s="61" t="s">
        <v>984</v>
      </c>
      <c r="C354" s="63" t="s">
        <v>10</v>
      </c>
      <c r="D354" s="49">
        <v>27.3</v>
      </c>
      <c r="E354" s="608">
        <f t="shared" si="5"/>
        <v>27.3</v>
      </c>
      <c r="F354" s="607"/>
    </row>
    <row r="355" spans="1:6" s="14" customFormat="1" ht="24.75" customHeight="1" outlineLevel="2" x14ac:dyDescent="0.25">
      <c r="A355" s="57"/>
      <c r="B355" s="61" t="s">
        <v>102</v>
      </c>
      <c r="C355" s="63" t="s">
        <v>68</v>
      </c>
      <c r="D355" s="49">
        <v>105.37</v>
      </c>
      <c r="E355" s="608">
        <f t="shared" si="5"/>
        <v>105.37</v>
      </c>
      <c r="F355" s="607"/>
    </row>
    <row r="356" spans="1:6" s="14" customFormat="1" ht="24.75" customHeight="1" outlineLevel="2" x14ac:dyDescent="0.25">
      <c r="A356" s="57"/>
      <c r="B356" s="64" t="s">
        <v>998</v>
      </c>
      <c r="C356" s="590" t="s">
        <v>79</v>
      </c>
      <c r="D356" s="49">
        <v>2</v>
      </c>
      <c r="E356" s="608">
        <f t="shared" si="5"/>
        <v>2</v>
      </c>
      <c r="F356" s="607"/>
    </row>
    <row r="357" spans="1:6" s="14" customFormat="1" ht="24.75" customHeight="1" outlineLevel="2" x14ac:dyDescent="0.25">
      <c r="A357" s="57"/>
      <c r="B357" s="61" t="s">
        <v>83</v>
      </c>
      <c r="C357" s="62" t="s">
        <v>77</v>
      </c>
      <c r="D357" s="49">
        <v>9.6700000000000008E-2</v>
      </c>
      <c r="E357" s="608">
        <f t="shared" si="5"/>
        <v>9.6700000000000008E-2</v>
      </c>
      <c r="F357" s="607"/>
    </row>
    <row r="358" spans="1:6" s="14" customFormat="1" ht="24.75" customHeight="1" outlineLevel="2" x14ac:dyDescent="0.25">
      <c r="A358" s="57"/>
      <c r="B358" s="61" t="s">
        <v>85</v>
      </c>
      <c r="C358" s="62" t="s">
        <v>77</v>
      </c>
      <c r="D358" s="49">
        <v>0.73474000000000006</v>
      </c>
      <c r="E358" s="608">
        <f t="shared" si="5"/>
        <v>0.73474000000000006</v>
      </c>
      <c r="F358" s="607"/>
    </row>
    <row r="359" spans="1:6" s="14" customFormat="1" ht="24.75" customHeight="1" outlineLevel="2" x14ac:dyDescent="0.25">
      <c r="A359" s="57"/>
      <c r="B359" s="61" t="s">
        <v>87</v>
      </c>
      <c r="C359" s="62" t="s">
        <v>77</v>
      </c>
      <c r="D359" s="49">
        <v>0.23624000000000001</v>
      </c>
      <c r="E359" s="608">
        <f t="shared" si="5"/>
        <v>0.23624000000000001</v>
      </c>
      <c r="F359" s="607"/>
    </row>
    <row r="360" spans="1:6" s="14" customFormat="1" ht="24.75" customHeight="1" outlineLevel="2" x14ac:dyDescent="0.25">
      <c r="A360" s="57"/>
      <c r="B360" s="61" t="s">
        <v>984</v>
      </c>
      <c r="C360" s="63" t="s">
        <v>10</v>
      </c>
      <c r="D360" s="49">
        <v>1.04</v>
      </c>
      <c r="E360" s="608">
        <f t="shared" si="5"/>
        <v>1.04</v>
      </c>
      <c r="F360" s="607"/>
    </row>
    <row r="361" spans="1:6" s="14" customFormat="1" ht="24.75" customHeight="1" outlineLevel="2" x14ac:dyDescent="0.25">
      <c r="A361" s="57"/>
      <c r="B361" s="61" t="s">
        <v>102</v>
      </c>
      <c r="C361" s="62" t="s">
        <v>68</v>
      </c>
      <c r="D361" s="49">
        <v>2.36</v>
      </c>
      <c r="E361" s="608">
        <f t="shared" si="5"/>
        <v>2.36</v>
      </c>
      <c r="F361" s="607"/>
    </row>
    <row r="362" spans="1:6" s="14" customFormat="1" ht="24.75" customHeight="1" outlineLevel="2" x14ac:dyDescent="0.25">
      <c r="A362" s="57"/>
      <c r="B362" s="64" t="s">
        <v>985</v>
      </c>
      <c r="C362" s="59" t="s">
        <v>134</v>
      </c>
      <c r="D362" s="49">
        <v>1</v>
      </c>
      <c r="E362" s="608">
        <f t="shared" si="5"/>
        <v>1</v>
      </c>
      <c r="F362" s="607"/>
    </row>
    <row r="363" spans="1:6" s="14" customFormat="1" ht="24.75" customHeight="1" outlineLevel="2" x14ac:dyDescent="0.25">
      <c r="A363" s="57"/>
      <c r="B363" s="76" t="s">
        <v>986</v>
      </c>
      <c r="C363" s="62" t="s">
        <v>77</v>
      </c>
      <c r="D363" s="49">
        <v>0.85846900000000004</v>
      </c>
      <c r="E363" s="608">
        <f t="shared" si="5"/>
        <v>0.85846900000000004</v>
      </c>
      <c r="F363" s="607"/>
    </row>
    <row r="364" spans="1:6" s="14" customFormat="1" ht="24.75" customHeight="1" outlineLevel="2" x14ac:dyDescent="0.25">
      <c r="A364" s="57"/>
      <c r="B364" s="76" t="s">
        <v>987</v>
      </c>
      <c r="C364" s="62" t="s">
        <v>124</v>
      </c>
      <c r="D364" s="49">
        <v>110.917</v>
      </c>
      <c r="E364" s="608">
        <f t="shared" si="5"/>
        <v>110.917</v>
      </c>
      <c r="F364" s="607"/>
    </row>
    <row r="365" spans="1:6" s="14" customFormat="1" ht="24.75" customHeight="1" outlineLevel="2" x14ac:dyDescent="0.25">
      <c r="A365" s="57"/>
      <c r="B365" s="76" t="s">
        <v>988</v>
      </c>
      <c r="C365" s="62" t="s">
        <v>124</v>
      </c>
      <c r="D365" s="49">
        <v>9.6</v>
      </c>
      <c r="E365" s="608">
        <f t="shared" si="5"/>
        <v>9.6</v>
      </c>
      <c r="F365" s="607"/>
    </row>
    <row r="366" spans="1:6" s="14" customFormat="1" ht="24.75" customHeight="1" outlineLevel="2" x14ac:dyDescent="0.25">
      <c r="A366" s="57"/>
      <c r="B366" s="61" t="s">
        <v>989</v>
      </c>
      <c r="C366" s="63" t="s">
        <v>78</v>
      </c>
      <c r="D366" s="49">
        <v>2</v>
      </c>
      <c r="E366" s="608">
        <f t="shared" si="5"/>
        <v>2</v>
      </c>
      <c r="F366" s="607"/>
    </row>
    <row r="367" spans="1:6" s="14" customFormat="1" ht="24.75" customHeight="1" outlineLevel="2" x14ac:dyDescent="0.25">
      <c r="A367" s="77"/>
      <c r="B367" s="79" t="s">
        <v>990</v>
      </c>
      <c r="C367" s="80" t="s">
        <v>78</v>
      </c>
      <c r="D367" s="55">
        <v>2</v>
      </c>
      <c r="E367" s="608">
        <f t="shared" si="5"/>
        <v>2</v>
      </c>
      <c r="F367" s="607"/>
    </row>
    <row r="368" spans="1:6" s="14" customFormat="1" ht="24.75" customHeight="1" outlineLevel="2" x14ac:dyDescent="0.25">
      <c r="A368" s="57"/>
      <c r="B368" s="76" t="s">
        <v>991</v>
      </c>
      <c r="C368" s="62" t="s">
        <v>10</v>
      </c>
      <c r="D368" s="49">
        <v>0.51900000000000002</v>
      </c>
      <c r="E368" s="608">
        <f t="shared" si="5"/>
        <v>0.51900000000000002</v>
      </c>
      <c r="F368" s="607"/>
    </row>
    <row r="369" spans="1:6" s="14" customFormat="1" ht="24.75" customHeight="1" outlineLevel="1" x14ac:dyDescent="0.25">
      <c r="A369" s="77">
        <v>17</v>
      </c>
      <c r="B369" s="78" t="s">
        <v>1023</v>
      </c>
      <c r="C369" s="77" t="s">
        <v>970</v>
      </c>
      <c r="D369" s="55">
        <v>1</v>
      </c>
      <c r="E369" s="608">
        <f t="shared" si="5"/>
        <v>1</v>
      </c>
      <c r="F369" s="607"/>
    </row>
    <row r="370" spans="1:6" s="14" customFormat="1" ht="24.75" customHeight="1" outlineLevel="2" x14ac:dyDescent="0.25">
      <c r="A370" s="57"/>
      <c r="B370" s="64" t="s">
        <v>1024</v>
      </c>
      <c r="C370" s="60" t="s">
        <v>970</v>
      </c>
      <c r="D370" s="49">
        <v>1</v>
      </c>
      <c r="E370" s="608">
        <f t="shared" si="5"/>
        <v>1</v>
      </c>
      <c r="F370" s="607"/>
    </row>
    <row r="371" spans="1:6" s="14" customFormat="1" ht="24.75" customHeight="1" outlineLevel="2" x14ac:dyDescent="0.25">
      <c r="A371" s="57"/>
      <c r="B371" s="61" t="s">
        <v>105</v>
      </c>
      <c r="C371" s="62" t="s">
        <v>77</v>
      </c>
      <c r="D371" s="49">
        <v>0.87967999999999991</v>
      </c>
      <c r="E371" s="608">
        <f t="shared" si="5"/>
        <v>0.87967999999999991</v>
      </c>
      <c r="F371" s="607"/>
    </row>
    <row r="372" spans="1:6" s="14" customFormat="1" ht="24.75" customHeight="1" outlineLevel="2" x14ac:dyDescent="0.25">
      <c r="A372" s="57"/>
      <c r="B372" s="61" t="s">
        <v>83</v>
      </c>
      <c r="C372" s="62" t="s">
        <v>77</v>
      </c>
      <c r="D372" s="49">
        <v>1.54575</v>
      </c>
      <c r="E372" s="608">
        <f t="shared" si="5"/>
        <v>1.54575</v>
      </c>
      <c r="F372" s="607"/>
    </row>
    <row r="373" spans="1:6" s="14" customFormat="1" ht="24.75" customHeight="1" outlineLevel="2" x14ac:dyDescent="0.25">
      <c r="A373" s="57"/>
      <c r="B373" s="61" t="s">
        <v>84</v>
      </c>
      <c r="C373" s="62" t="s">
        <v>77</v>
      </c>
      <c r="D373" s="49">
        <v>0.25</v>
      </c>
      <c r="E373" s="608">
        <f t="shared" si="5"/>
        <v>0.25</v>
      </c>
      <c r="F373" s="607"/>
    </row>
    <row r="374" spans="1:6" s="14" customFormat="1" ht="24.75" customHeight="1" outlineLevel="2" x14ac:dyDescent="0.25">
      <c r="A374" s="57"/>
      <c r="B374" s="61" t="s">
        <v>85</v>
      </c>
      <c r="C374" s="62" t="s">
        <v>77</v>
      </c>
      <c r="D374" s="49">
        <v>0.80276000000000003</v>
      </c>
      <c r="E374" s="608">
        <f t="shared" si="5"/>
        <v>0.80276000000000003</v>
      </c>
      <c r="F374" s="607"/>
    </row>
    <row r="375" spans="1:6" s="14" customFormat="1" ht="24.75" customHeight="1" outlineLevel="2" x14ac:dyDescent="0.25">
      <c r="A375" s="57"/>
      <c r="B375" s="61" t="s">
        <v>86</v>
      </c>
      <c r="C375" s="62" t="s">
        <v>77</v>
      </c>
      <c r="D375" s="49">
        <v>0.95211000000000001</v>
      </c>
      <c r="E375" s="608">
        <f t="shared" si="5"/>
        <v>0.95211000000000001</v>
      </c>
      <c r="F375" s="607"/>
    </row>
    <row r="376" spans="1:6" s="14" customFormat="1" ht="24.75" customHeight="1" outlineLevel="2" x14ac:dyDescent="0.25">
      <c r="A376" s="57"/>
      <c r="B376" s="61" t="s">
        <v>87</v>
      </c>
      <c r="C376" s="62" t="s">
        <v>77</v>
      </c>
      <c r="D376" s="49">
        <v>2.0828500000000001</v>
      </c>
      <c r="E376" s="608">
        <f t="shared" si="5"/>
        <v>2.0828500000000001</v>
      </c>
      <c r="F376" s="607"/>
    </row>
    <row r="377" spans="1:6" s="14" customFormat="1" ht="24.75" customHeight="1" outlineLevel="2" x14ac:dyDescent="0.25">
      <c r="A377" s="57"/>
      <c r="B377" s="61" t="s">
        <v>984</v>
      </c>
      <c r="C377" s="63" t="s">
        <v>10</v>
      </c>
      <c r="D377" s="49">
        <v>27.3</v>
      </c>
      <c r="E377" s="608">
        <f t="shared" si="5"/>
        <v>27.3</v>
      </c>
      <c r="F377" s="607"/>
    </row>
    <row r="378" spans="1:6" s="14" customFormat="1" ht="24.75" customHeight="1" outlineLevel="2" x14ac:dyDescent="0.25">
      <c r="A378" s="57"/>
      <c r="B378" s="61" t="s">
        <v>102</v>
      </c>
      <c r="C378" s="63" t="s">
        <v>68</v>
      </c>
      <c r="D378" s="49">
        <v>105.37</v>
      </c>
      <c r="E378" s="608">
        <f t="shared" si="5"/>
        <v>105.37</v>
      </c>
      <c r="F378" s="607"/>
    </row>
    <row r="379" spans="1:6" s="14" customFormat="1" ht="24.75" customHeight="1" outlineLevel="2" x14ac:dyDescent="0.25">
      <c r="A379" s="57"/>
      <c r="B379" s="64" t="s">
        <v>998</v>
      </c>
      <c r="C379" s="590" t="s">
        <v>79</v>
      </c>
      <c r="D379" s="49">
        <v>2</v>
      </c>
      <c r="E379" s="608">
        <f t="shared" si="5"/>
        <v>2</v>
      </c>
      <c r="F379" s="607"/>
    </row>
    <row r="380" spans="1:6" s="14" customFormat="1" ht="24.75" customHeight="1" outlineLevel="2" x14ac:dyDescent="0.25">
      <c r="A380" s="57"/>
      <c r="B380" s="61" t="s">
        <v>83</v>
      </c>
      <c r="C380" s="62" t="s">
        <v>77</v>
      </c>
      <c r="D380" s="49">
        <v>8.5949999999999999E-2</v>
      </c>
      <c r="E380" s="608">
        <f t="shared" si="5"/>
        <v>8.5949999999999999E-2</v>
      </c>
      <c r="F380" s="607"/>
    </row>
    <row r="381" spans="1:6" s="14" customFormat="1" ht="24.75" customHeight="1" outlineLevel="2" x14ac:dyDescent="0.25">
      <c r="A381" s="57"/>
      <c r="B381" s="61" t="s">
        <v>85</v>
      </c>
      <c r="C381" s="62" t="s">
        <v>77</v>
      </c>
      <c r="D381" s="49">
        <v>0.56958000000000009</v>
      </c>
      <c r="E381" s="608">
        <f t="shared" si="5"/>
        <v>0.56958000000000009</v>
      </c>
      <c r="F381" s="607"/>
    </row>
    <row r="382" spans="1:6" s="14" customFormat="1" ht="24.75" customHeight="1" outlineLevel="2" x14ac:dyDescent="0.25">
      <c r="A382" s="57"/>
      <c r="B382" s="61" t="s">
        <v>87</v>
      </c>
      <c r="C382" s="62" t="s">
        <v>77</v>
      </c>
      <c r="D382" s="49">
        <v>0.19958000000000001</v>
      </c>
      <c r="E382" s="608">
        <f t="shared" si="5"/>
        <v>0.19958000000000001</v>
      </c>
      <c r="F382" s="607"/>
    </row>
    <row r="383" spans="1:6" s="14" customFormat="1" ht="24.75" customHeight="1" outlineLevel="2" x14ac:dyDescent="0.25">
      <c r="A383" s="57"/>
      <c r="B383" s="61" t="s">
        <v>984</v>
      </c>
      <c r="C383" s="63" t="s">
        <v>10</v>
      </c>
      <c r="D383" s="49">
        <v>0.86</v>
      </c>
      <c r="E383" s="608">
        <f t="shared" si="5"/>
        <v>0.86</v>
      </c>
      <c r="F383" s="607"/>
    </row>
    <row r="384" spans="1:6" s="14" customFormat="1" ht="24.75" customHeight="1" outlineLevel="2" x14ac:dyDescent="0.25">
      <c r="A384" s="57"/>
      <c r="B384" s="61" t="s">
        <v>102</v>
      </c>
      <c r="C384" s="62" t="s">
        <v>68</v>
      </c>
      <c r="D384" s="49">
        <v>3.57</v>
      </c>
      <c r="E384" s="608">
        <f t="shared" si="5"/>
        <v>3.57</v>
      </c>
      <c r="F384" s="607"/>
    </row>
    <row r="385" spans="1:6" s="14" customFormat="1" ht="24.75" customHeight="1" outlineLevel="2" x14ac:dyDescent="0.25">
      <c r="A385" s="57"/>
      <c r="B385" s="64" t="s">
        <v>985</v>
      </c>
      <c r="C385" s="59" t="s">
        <v>134</v>
      </c>
      <c r="D385" s="49">
        <v>1</v>
      </c>
      <c r="E385" s="608">
        <f t="shared" si="5"/>
        <v>1</v>
      </c>
      <c r="F385" s="607"/>
    </row>
    <row r="386" spans="1:6" s="14" customFormat="1" ht="24.75" customHeight="1" outlineLevel="2" x14ac:dyDescent="0.25">
      <c r="A386" s="57"/>
      <c r="B386" s="76" t="s">
        <v>986</v>
      </c>
      <c r="C386" s="62" t="s">
        <v>77</v>
      </c>
      <c r="D386" s="49">
        <v>0.85846900000000004</v>
      </c>
      <c r="E386" s="608">
        <f t="shared" si="5"/>
        <v>0.85846900000000004</v>
      </c>
      <c r="F386" s="607"/>
    </row>
    <row r="387" spans="1:6" s="14" customFormat="1" ht="24.75" customHeight="1" outlineLevel="2" x14ac:dyDescent="0.25">
      <c r="A387" s="57"/>
      <c r="B387" s="76" t="s">
        <v>987</v>
      </c>
      <c r="C387" s="62" t="s">
        <v>124</v>
      </c>
      <c r="D387" s="49">
        <v>90.233000000000004</v>
      </c>
      <c r="E387" s="608">
        <f t="shared" si="5"/>
        <v>90.233000000000004</v>
      </c>
      <c r="F387" s="607"/>
    </row>
    <row r="388" spans="1:6" s="14" customFormat="1" ht="24.75" customHeight="1" outlineLevel="2" x14ac:dyDescent="0.25">
      <c r="A388" s="57"/>
      <c r="B388" s="76" t="s">
        <v>988</v>
      </c>
      <c r="C388" s="62" t="s">
        <v>124</v>
      </c>
      <c r="D388" s="49">
        <v>8</v>
      </c>
      <c r="E388" s="608">
        <f t="shared" si="5"/>
        <v>8</v>
      </c>
      <c r="F388" s="607"/>
    </row>
    <row r="389" spans="1:6" s="14" customFormat="1" ht="24.75" customHeight="1" outlineLevel="2" x14ac:dyDescent="0.25">
      <c r="A389" s="57"/>
      <c r="B389" s="61" t="s">
        <v>989</v>
      </c>
      <c r="C389" s="63" t="s">
        <v>78</v>
      </c>
      <c r="D389" s="49">
        <v>2</v>
      </c>
      <c r="E389" s="608">
        <f t="shared" si="5"/>
        <v>2</v>
      </c>
      <c r="F389" s="607"/>
    </row>
    <row r="390" spans="1:6" s="14" customFormat="1" ht="24.75" customHeight="1" outlineLevel="2" x14ac:dyDescent="0.25">
      <c r="A390" s="77"/>
      <c r="B390" s="79" t="s">
        <v>990</v>
      </c>
      <c r="C390" s="80" t="s">
        <v>78</v>
      </c>
      <c r="D390" s="55">
        <v>2</v>
      </c>
      <c r="E390" s="608">
        <f t="shared" si="5"/>
        <v>2</v>
      </c>
      <c r="F390" s="607"/>
    </row>
    <row r="391" spans="1:6" s="14" customFormat="1" ht="24.75" customHeight="1" outlineLevel="2" x14ac:dyDescent="0.25">
      <c r="A391" s="57"/>
      <c r="B391" s="76" t="s">
        <v>991</v>
      </c>
      <c r="C391" s="62" t="s">
        <v>10</v>
      </c>
      <c r="D391" s="49">
        <v>0.42199999999999999</v>
      </c>
      <c r="E391" s="608">
        <f t="shared" si="5"/>
        <v>0.42199999999999999</v>
      </c>
      <c r="F391" s="607"/>
    </row>
    <row r="392" spans="1:6" s="14" customFormat="1" ht="24.75" customHeight="1" outlineLevel="1" x14ac:dyDescent="0.25">
      <c r="A392" s="77">
        <v>18</v>
      </c>
      <c r="B392" s="78" t="s">
        <v>1025</v>
      </c>
      <c r="C392" s="77" t="s">
        <v>970</v>
      </c>
      <c r="D392" s="55">
        <v>1</v>
      </c>
      <c r="E392" s="608">
        <f t="shared" si="5"/>
        <v>1</v>
      </c>
      <c r="F392" s="607"/>
    </row>
    <row r="393" spans="1:6" s="14" customFormat="1" ht="24.75" customHeight="1" outlineLevel="2" x14ac:dyDescent="0.25">
      <c r="A393" s="57"/>
      <c r="B393" s="64" t="s">
        <v>1026</v>
      </c>
      <c r="C393" s="60" t="s">
        <v>970</v>
      </c>
      <c r="D393" s="49">
        <v>1</v>
      </c>
      <c r="E393" s="608">
        <f t="shared" si="5"/>
        <v>1</v>
      </c>
      <c r="F393" s="607"/>
    </row>
    <row r="394" spans="1:6" s="14" customFormat="1" ht="24.75" customHeight="1" outlineLevel="2" x14ac:dyDescent="0.25">
      <c r="A394" s="57"/>
      <c r="B394" s="61" t="s">
        <v>105</v>
      </c>
      <c r="C394" s="62" t="s">
        <v>77</v>
      </c>
      <c r="D394" s="49">
        <v>0.84066999999999992</v>
      </c>
      <c r="E394" s="608">
        <f t="shared" si="5"/>
        <v>0.84066999999999992</v>
      </c>
      <c r="F394" s="607"/>
    </row>
    <row r="395" spans="1:6" s="14" customFormat="1" ht="24.75" customHeight="1" outlineLevel="2" x14ac:dyDescent="0.25">
      <c r="A395" s="57"/>
      <c r="B395" s="61" t="s">
        <v>83</v>
      </c>
      <c r="C395" s="62" t="s">
        <v>77</v>
      </c>
      <c r="D395" s="49">
        <v>1.5369000000000002</v>
      </c>
      <c r="E395" s="608">
        <f t="shared" si="5"/>
        <v>1.5369000000000002</v>
      </c>
      <c r="F395" s="607"/>
    </row>
    <row r="396" spans="1:6" s="14" customFormat="1" ht="24.75" customHeight="1" outlineLevel="2" x14ac:dyDescent="0.25">
      <c r="A396" s="57"/>
      <c r="B396" s="61" t="s">
        <v>84</v>
      </c>
      <c r="C396" s="62" t="s">
        <v>77</v>
      </c>
      <c r="D396" s="49">
        <v>0.25</v>
      </c>
      <c r="E396" s="608">
        <f t="shared" si="5"/>
        <v>0.25</v>
      </c>
      <c r="F396" s="607"/>
    </row>
    <row r="397" spans="1:6" s="14" customFormat="1" ht="24.75" customHeight="1" outlineLevel="2" x14ac:dyDescent="0.25">
      <c r="A397" s="57"/>
      <c r="B397" s="61" t="s">
        <v>85</v>
      </c>
      <c r="C397" s="62" t="s">
        <v>77</v>
      </c>
      <c r="D397" s="49">
        <v>0.80276000000000003</v>
      </c>
      <c r="E397" s="608">
        <f t="shared" si="5"/>
        <v>0.80276000000000003</v>
      </c>
      <c r="F397" s="607"/>
    </row>
    <row r="398" spans="1:6" s="14" customFormat="1" ht="24.75" customHeight="1" outlineLevel="2" x14ac:dyDescent="0.25">
      <c r="A398" s="57"/>
      <c r="B398" s="61" t="s">
        <v>86</v>
      </c>
      <c r="C398" s="62" t="s">
        <v>77</v>
      </c>
      <c r="D398" s="49">
        <v>0.95211000000000001</v>
      </c>
      <c r="E398" s="608">
        <f t="shared" si="5"/>
        <v>0.95211000000000001</v>
      </c>
      <c r="F398" s="607"/>
    </row>
    <row r="399" spans="1:6" s="14" customFormat="1" ht="24.75" customHeight="1" outlineLevel="2" x14ac:dyDescent="0.25">
      <c r="A399" s="57"/>
      <c r="B399" s="61" t="s">
        <v>87</v>
      </c>
      <c r="C399" s="62" t="s">
        <v>77</v>
      </c>
      <c r="D399" s="49">
        <v>2.0309599999999999</v>
      </c>
      <c r="E399" s="608">
        <f t="shared" si="5"/>
        <v>2.0309599999999999</v>
      </c>
      <c r="F399" s="607"/>
    </row>
    <row r="400" spans="1:6" s="14" customFormat="1" ht="24.75" customHeight="1" outlineLevel="2" x14ac:dyDescent="0.25">
      <c r="A400" s="57"/>
      <c r="B400" s="61" t="s">
        <v>984</v>
      </c>
      <c r="C400" s="63" t="s">
        <v>10</v>
      </c>
      <c r="D400" s="49">
        <v>26.29</v>
      </c>
      <c r="E400" s="608">
        <f t="shared" si="5"/>
        <v>26.29</v>
      </c>
      <c r="F400" s="607"/>
    </row>
    <row r="401" spans="1:6" s="14" customFormat="1" ht="24.75" customHeight="1" outlineLevel="2" x14ac:dyDescent="0.25">
      <c r="A401" s="57"/>
      <c r="B401" s="61" t="s">
        <v>102</v>
      </c>
      <c r="C401" s="63" t="s">
        <v>68</v>
      </c>
      <c r="D401" s="49">
        <v>103.39</v>
      </c>
      <c r="E401" s="608">
        <f t="shared" ref="E401:E464" si="6">D401</f>
        <v>103.39</v>
      </c>
      <c r="F401" s="607"/>
    </row>
    <row r="402" spans="1:6" s="14" customFormat="1" ht="24.75" customHeight="1" outlineLevel="2" x14ac:dyDescent="0.25">
      <c r="A402" s="57"/>
      <c r="B402" s="64" t="s">
        <v>998</v>
      </c>
      <c r="C402" s="590" t="s">
        <v>79</v>
      </c>
      <c r="D402" s="49">
        <v>2</v>
      </c>
      <c r="E402" s="608">
        <f t="shared" si="6"/>
        <v>2</v>
      </c>
      <c r="F402" s="607"/>
    </row>
    <row r="403" spans="1:6" s="14" customFormat="1" ht="24.75" customHeight="1" outlineLevel="2" x14ac:dyDescent="0.25">
      <c r="A403" s="57"/>
      <c r="B403" s="61" t="s">
        <v>83</v>
      </c>
      <c r="C403" s="62" t="s">
        <v>77</v>
      </c>
      <c r="D403" s="49">
        <v>9.6700000000000008E-2</v>
      </c>
      <c r="E403" s="608">
        <f t="shared" si="6"/>
        <v>9.6700000000000008E-2</v>
      </c>
      <c r="F403" s="607"/>
    </row>
    <row r="404" spans="1:6" s="14" customFormat="1" ht="24.75" customHeight="1" outlineLevel="2" x14ac:dyDescent="0.25">
      <c r="A404" s="57"/>
      <c r="B404" s="61" t="s">
        <v>85</v>
      </c>
      <c r="C404" s="62" t="s">
        <v>77</v>
      </c>
      <c r="D404" s="49">
        <v>0.72462000000000004</v>
      </c>
      <c r="E404" s="608">
        <f t="shared" si="6"/>
        <v>0.72462000000000004</v>
      </c>
      <c r="F404" s="607"/>
    </row>
    <row r="405" spans="1:6" s="14" customFormat="1" ht="24.75" customHeight="1" outlineLevel="2" x14ac:dyDescent="0.25">
      <c r="A405" s="57"/>
      <c r="B405" s="61" t="s">
        <v>87</v>
      </c>
      <c r="C405" s="62" t="s">
        <v>77</v>
      </c>
      <c r="D405" s="49">
        <v>0.22853999999999999</v>
      </c>
      <c r="E405" s="608">
        <f t="shared" si="6"/>
        <v>0.22853999999999999</v>
      </c>
      <c r="F405" s="607"/>
    </row>
    <row r="406" spans="1:6" s="14" customFormat="1" ht="24.75" customHeight="1" outlineLevel="2" x14ac:dyDescent="0.25">
      <c r="A406" s="57"/>
      <c r="B406" s="61" t="s">
        <v>984</v>
      </c>
      <c r="C406" s="63" t="s">
        <v>10</v>
      </c>
      <c r="D406" s="49">
        <v>1.04</v>
      </c>
      <c r="E406" s="608">
        <f t="shared" si="6"/>
        <v>1.04</v>
      </c>
      <c r="F406" s="607"/>
    </row>
    <row r="407" spans="1:6" s="14" customFormat="1" ht="24.75" customHeight="1" outlineLevel="2" x14ac:dyDescent="0.25">
      <c r="A407" s="57"/>
      <c r="B407" s="61" t="s">
        <v>1027</v>
      </c>
      <c r="C407" s="62" t="s">
        <v>68</v>
      </c>
      <c r="D407" s="49">
        <v>2.36</v>
      </c>
      <c r="E407" s="608">
        <f t="shared" si="6"/>
        <v>2.36</v>
      </c>
      <c r="F407" s="607"/>
    </row>
    <row r="408" spans="1:6" s="14" customFormat="1" ht="24.75" customHeight="1" outlineLevel="2" x14ac:dyDescent="0.25">
      <c r="A408" s="57"/>
      <c r="B408" s="64" t="s">
        <v>985</v>
      </c>
      <c r="C408" s="59" t="s">
        <v>134</v>
      </c>
      <c r="D408" s="49">
        <v>1</v>
      </c>
      <c r="E408" s="608">
        <f t="shared" si="6"/>
        <v>1</v>
      </c>
      <c r="F408" s="607"/>
    </row>
    <row r="409" spans="1:6" s="14" customFormat="1" ht="24.75" customHeight="1" outlineLevel="2" x14ac:dyDescent="0.25">
      <c r="A409" s="57"/>
      <c r="B409" s="76" t="s">
        <v>986</v>
      </c>
      <c r="C409" s="62" t="s">
        <v>77</v>
      </c>
      <c r="D409" s="49">
        <v>0.95147700000000002</v>
      </c>
      <c r="E409" s="608">
        <f t="shared" si="6"/>
        <v>0.95147700000000002</v>
      </c>
      <c r="F409" s="607"/>
    </row>
    <row r="410" spans="1:6" s="14" customFormat="1" ht="24.75" customHeight="1" outlineLevel="2" x14ac:dyDescent="0.25">
      <c r="A410" s="57"/>
      <c r="B410" s="76" t="s">
        <v>987</v>
      </c>
      <c r="C410" s="62" t="s">
        <v>124</v>
      </c>
      <c r="D410" s="49">
        <v>110.964</v>
      </c>
      <c r="E410" s="608">
        <f t="shared" si="6"/>
        <v>110.964</v>
      </c>
      <c r="F410" s="607"/>
    </row>
    <row r="411" spans="1:6" s="14" customFormat="1" ht="24.75" customHeight="1" outlineLevel="2" x14ac:dyDescent="0.25">
      <c r="A411" s="57"/>
      <c r="B411" s="76" t="s">
        <v>988</v>
      </c>
      <c r="C411" s="62" t="s">
        <v>124</v>
      </c>
      <c r="D411" s="49">
        <v>0</v>
      </c>
      <c r="E411" s="608">
        <f t="shared" si="6"/>
        <v>0</v>
      </c>
      <c r="F411" s="607"/>
    </row>
    <row r="412" spans="1:6" s="14" customFormat="1" ht="24.75" customHeight="1" outlineLevel="2" x14ac:dyDescent="0.25">
      <c r="A412" s="57"/>
      <c r="B412" s="61" t="s">
        <v>989</v>
      </c>
      <c r="C412" s="63" t="s">
        <v>78</v>
      </c>
      <c r="D412" s="49">
        <v>2</v>
      </c>
      <c r="E412" s="608">
        <f t="shared" si="6"/>
        <v>2</v>
      </c>
      <c r="F412" s="607"/>
    </row>
    <row r="413" spans="1:6" s="14" customFormat="1" ht="24.75" customHeight="1" outlineLevel="2" x14ac:dyDescent="0.25">
      <c r="A413" s="77"/>
      <c r="B413" s="79" t="s">
        <v>990</v>
      </c>
      <c r="C413" s="80" t="s">
        <v>78</v>
      </c>
      <c r="D413" s="55">
        <v>2</v>
      </c>
      <c r="E413" s="608">
        <f t="shared" si="6"/>
        <v>2</v>
      </c>
      <c r="F413" s="607"/>
    </row>
    <row r="414" spans="1:6" s="14" customFormat="1" ht="24.75" customHeight="1" outlineLevel="2" x14ac:dyDescent="0.25">
      <c r="A414" s="57"/>
      <c r="B414" s="76" t="s">
        <v>991</v>
      </c>
      <c r="C414" s="62" t="s">
        <v>10</v>
      </c>
      <c r="D414" s="49">
        <v>0.52</v>
      </c>
      <c r="E414" s="608">
        <f t="shared" si="6"/>
        <v>0.52</v>
      </c>
      <c r="F414" s="607"/>
    </row>
    <row r="415" spans="1:6" s="14" customFormat="1" ht="24.75" customHeight="1" outlineLevel="1" x14ac:dyDescent="0.25">
      <c r="A415" s="77">
        <v>19</v>
      </c>
      <c r="B415" s="78" t="s">
        <v>1028</v>
      </c>
      <c r="C415" s="77" t="s">
        <v>970</v>
      </c>
      <c r="D415" s="55">
        <v>1</v>
      </c>
      <c r="E415" s="608">
        <f t="shared" si="6"/>
        <v>1</v>
      </c>
      <c r="F415" s="607"/>
    </row>
    <row r="416" spans="1:6" s="14" customFormat="1" ht="24.75" customHeight="1" outlineLevel="2" x14ac:dyDescent="0.25">
      <c r="A416" s="57"/>
      <c r="B416" s="64" t="s">
        <v>1029</v>
      </c>
      <c r="C416" s="60" t="s">
        <v>970</v>
      </c>
      <c r="D416" s="49">
        <v>1</v>
      </c>
      <c r="E416" s="608">
        <f t="shared" si="6"/>
        <v>1</v>
      </c>
      <c r="F416" s="607"/>
    </row>
    <row r="417" spans="1:6" s="14" customFormat="1" ht="24.75" customHeight="1" outlineLevel="2" x14ac:dyDescent="0.25">
      <c r="A417" s="57"/>
      <c r="B417" s="61" t="s">
        <v>105</v>
      </c>
      <c r="C417" s="62" t="s">
        <v>77</v>
      </c>
      <c r="D417" s="49">
        <v>0.84066999999999992</v>
      </c>
      <c r="E417" s="608">
        <f t="shared" si="6"/>
        <v>0.84066999999999992</v>
      </c>
      <c r="F417" s="607"/>
    </row>
    <row r="418" spans="1:6" s="14" customFormat="1" ht="24.75" customHeight="1" outlineLevel="2" x14ac:dyDescent="0.25">
      <c r="A418" s="57"/>
      <c r="B418" s="61" t="s">
        <v>83</v>
      </c>
      <c r="C418" s="62" t="s">
        <v>77</v>
      </c>
      <c r="D418" s="49">
        <v>1.5369000000000002</v>
      </c>
      <c r="E418" s="608">
        <f t="shared" si="6"/>
        <v>1.5369000000000002</v>
      </c>
      <c r="F418" s="607"/>
    </row>
    <row r="419" spans="1:6" s="14" customFormat="1" ht="24.75" customHeight="1" outlineLevel="2" x14ac:dyDescent="0.25">
      <c r="A419" s="57"/>
      <c r="B419" s="61" t="s">
        <v>84</v>
      </c>
      <c r="C419" s="62" t="s">
        <v>77</v>
      </c>
      <c r="D419" s="49">
        <v>0.25</v>
      </c>
      <c r="E419" s="608">
        <f t="shared" si="6"/>
        <v>0.25</v>
      </c>
      <c r="F419" s="607"/>
    </row>
    <row r="420" spans="1:6" s="14" customFormat="1" ht="24.75" customHeight="1" outlineLevel="2" x14ac:dyDescent="0.25">
      <c r="A420" s="57"/>
      <c r="B420" s="61" t="s">
        <v>85</v>
      </c>
      <c r="C420" s="62" t="s">
        <v>77</v>
      </c>
      <c r="D420" s="49">
        <v>0.80276000000000003</v>
      </c>
      <c r="E420" s="608">
        <f t="shared" si="6"/>
        <v>0.80276000000000003</v>
      </c>
      <c r="F420" s="607"/>
    </row>
    <row r="421" spans="1:6" s="14" customFormat="1" ht="24.75" customHeight="1" outlineLevel="2" x14ac:dyDescent="0.25">
      <c r="A421" s="57"/>
      <c r="B421" s="61" t="s">
        <v>86</v>
      </c>
      <c r="C421" s="62" t="s">
        <v>77</v>
      </c>
      <c r="D421" s="49">
        <v>0.95211000000000001</v>
      </c>
      <c r="E421" s="608">
        <f t="shared" si="6"/>
        <v>0.95211000000000001</v>
      </c>
      <c r="F421" s="607"/>
    </row>
    <row r="422" spans="1:6" s="14" customFormat="1" ht="24.75" customHeight="1" outlineLevel="2" x14ac:dyDescent="0.25">
      <c r="A422" s="57"/>
      <c r="B422" s="61" t="s">
        <v>87</v>
      </c>
      <c r="C422" s="62" t="s">
        <v>77</v>
      </c>
      <c r="D422" s="49">
        <v>2.0309599999999999</v>
      </c>
      <c r="E422" s="608">
        <f t="shared" si="6"/>
        <v>2.0309599999999999</v>
      </c>
      <c r="F422" s="607"/>
    </row>
    <row r="423" spans="1:6" s="14" customFormat="1" ht="24.75" customHeight="1" outlineLevel="2" x14ac:dyDescent="0.25">
      <c r="A423" s="57"/>
      <c r="B423" s="61" t="s">
        <v>984</v>
      </c>
      <c r="C423" s="63" t="s">
        <v>10</v>
      </c>
      <c r="D423" s="49">
        <v>26.29</v>
      </c>
      <c r="E423" s="608">
        <f t="shared" si="6"/>
        <v>26.29</v>
      </c>
      <c r="F423" s="607"/>
    </row>
    <row r="424" spans="1:6" s="14" customFormat="1" ht="24.75" customHeight="1" outlineLevel="2" x14ac:dyDescent="0.25">
      <c r="A424" s="57"/>
      <c r="B424" s="61" t="s">
        <v>102</v>
      </c>
      <c r="C424" s="63" t="s">
        <v>68</v>
      </c>
      <c r="D424" s="49">
        <v>103.39</v>
      </c>
      <c r="E424" s="608">
        <f t="shared" si="6"/>
        <v>103.39</v>
      </c>
      <c r="F424" s="607"/>
    </row>
    <row r="425" spans="1:6" s="14" customFormat="1" ht="24.75" customHeight="1" outlineLevel="2" x14ac:dyDescent="0.25">
      <c r="A425" s="57"/>
      <c r="B425" s="64" t="s">
        <v>985</v>
      </c>
      <c r="C425" s="59" t="s">
        <v>134</v>
      </c>
      <c r="D425" s="49">
        <v>1</v>
      </c>
      <c r="E425" s="608">
        <f t="shared" si="6"/>
        <v>1</v>
      </c>
      <c r="F425" s="607"/>
    </row>
    <row r="426" spans="1:6" s="14" customFormat="1" ht="24.75" customHeight="1" outlineLevel="2" x14ac:dyDescent="0.25">
      <c r="A426" s="57"/>
      <c r="B426" s="76" t="s">
        <v>986</v>
      </c>
      <c r="C426" s="62" t="s">
        <v>77</v>
      </c>
      <c r="D426" s="49">
        <v>0.95147700000000002</v>
      </c>
      <c r="E426" s="608">
        <f t="shared" si="6"/>
        <v>0.95147700000000002</v>
      </c>
      <c r="F426" s="607"/>
    </row>
    <row r="427" spans="1:6" s="14" customFormat="1" ht="24.75" customHeight="1" outlineLevel="2" x14ac:dyDescent="0.25">
      <c r="A427" s="57"/>
      <c r="B427" s="76" t="s">
        <v>987</v>
      </c>
      <c r="C427" s="62" t="s">
        <v>124</v>
      </c>
      <c r="D427" s="49">
        <v>83.822000000000003</v>
      </c>
      <c r="E427" s="608">
        <f t="shared" si="6"/>
        <v>83.822000000000003</v>
      </c>
      <c r="F427" s="607"/>
    </row>
    <row r="428" spans="1:6" s="14" customFormat="1" ht="24.75" customHeight="1" outlineLevel="2" x14ac:dyDescent="0.25">
      <c r="A428" s="57"/>
      <c r="B428" s="76" t="s">
        <v>988</v>
      </c>
      <c r="C428" s="62" t="s">
        <v>124</v>
      </c>
      <c r="D428" s="49">
        <v>1.6</v>
      </c>
      <c r="E428" s="608">
        <f t="shared" si="6"/>
        <v>1.6</v>
      </c>
      <c r="F428" s="607"/>
    </row>
    <row r="429" spans="1:6" s="14" customFormat="1" ht="24.75" customHeight="1" outlineLevel="2" x14ac:dyDescent="0.25">
      <c r="A429" s="57"/>
      <c r="B429" s="61" t="s">
        <v>989</v>
      </c>
      <c r="C429" s="63" t="s">
        <v>78</v>
      </c>
      <c r="D429" s="49">
        <v>2</v>
      </c>
      <c r="E429" s="608">
        <f t="shared" si="6"/>
        <v>2</v>
      </c>
      <c r="F429" s="607"/>
    </row>
    <row r="430" spans="1:6" s="14" customFormat="1" ht="24.75" customHeight="1" outlineLevel="2" x14ac:dyDescent="0.25">
      <c r="A430" s="77"/>
      <c r="B430" s="79" t="s">
        <v>990</v>
      </c>
      <c r="C430" s="80" t="s">
        <v>78</v>
      </c>
      <c r="D430" s="55">
        <v>2</v>
      </c>
      <c r="E430" s="608">
        <f t="shared" si="6"/>
        <v>2</v>
      </c>
      <c r="F430" s="607"/>
    </row>
    <row r="431" spans="1:6" s="14" customFormat="1" ht="24.75" customHeight="1" outlineLevel="2" x14ac:dyDescent="0.25">
      <c r="A431" s="57"/>
      <c r="B431" s="76" t="s">
        <v>991</v>
      </c>
      <c r="C431" s="62" t="s">
        <v>10</v>
      </c>
      <c r="D431" s="49">
        <v>0.39300000000000002</v>
      </c>
      <c r="E431" s="608">
        <f t="shared" si="6"/>
        <v>0.39300000000000002</v>
      </c>
      <c r="F431" s="607"/>
    </row>
    <row r="432" spans="1:6" s="14" customFormat="1" ht="24.75" customHeight="1" outlineLevel="1" x14ac:dyDescent="0.25">
      <c r="A432" s="77">
        <v>20</v>
      </c>
      <c r="B432" s="78" t="s">
        <v>1030</v>
      </c>
      <c r="C432" s="77" t="s">
        <v>970</v>
      </c>
      <c r="D432" s="55">
        <v>1</v>
      </c>
      <c r="E432" s="608">
        <f t="shared" si="6"/>
        <v>1</v>
      </c>
      <c r="F432" s="607"/>
    </row>
    <row r="433" spans="1:6" s="14" customFormat="1" ht="24.75" customHeight="1" outlineLevel="2" x14ac:dyDescent="0.25">
      <c r="A433" s="57"/>
      <c r="B433" s="64" t="s">
        <v>1031</v>
      </c>
      <c r="C433" s="60" t="s">
        <v>970</v>
      </c>
      <c r="D433" s="49">
        <v>1</v>
      </c>
      <c r="E433" s="608">
        <f t="shared" si="6"/>
        <v>1</v>
      </c>
      <c r="F433" s="607"/>
    </row>
    <row r="434" spans="1:6" s="14" customFormat="1" ht="24.75" customHeight="1" outlineLevel="2" x14ac:dyDescent="0.25">
      <c r="A434" s="57"/>
      <c r="B434" s="61" t="s">
        <v>105</v>
      </c>
      <c r="C434" s="62" t="s">
        <v>77</v>
      </c>
      <c r="D434" s="49">
        <v>0.82101999999999997</v>
      </c>
      <c r="E434" s="608">
        <f t="shared" si="6"/>
        <v>0.82101999999999997</v>
      </c>
      <c r="F434" s="607"/>
    </row>
    <row r="435" spans="1:6" s="14" customFormat="1" ht="24.75" customHeight="1" outlineLevel="2" x14ac:dyDescent="0.25">
      <c r="A435" s="57"/>
      <c r="B435" s="61" t="s">
        <v>83</v>
      </c>
      <c r="C435" s="62" t="s">
        <v>77</v>
      </c>
      <c r="D435" s="49">
        <v>1.52803</v>
      </c>
      <c r="E435" s="608">
        <f t="shared" si="6"/>
        <v>1.52803</v>
      </c>
      <c r="F435" s="607"/>
    </row>
    <row r="436" spans="1:6" s="14" customFormat="1" ht="24.75" customHeight="1" outlineLevel="2" x14ac:dyDescent="0.25">
      <c r="A436" s="57"/>
      <c r="B436" s="61" t="s">
        <v>84</v>
      </c>
      <c r="C436" s="62" t="s">
        <v>77</v>
      </c>
      <c r="D436" s="49">
        <v>0.25</v>
      </c>
      <c r="E436" s="608">
        <f t="shared" si="6"/>
        <v>0.25</v>
      </c>
      <c r="F436" s="607"/>
    </row>
    <row r="437" spans="1:6" s="14" customFormat="1" ht="24.75" customHeight="1" outlineLevel="2" x14ac:dyDescent="0.25">
      <c r="A437" s="57"/>
      <c r="B437" s="61" t="s">
        <v>85</v>
      </c>
      <c r="C437" s="62" t="s">
        <v>77</v>
      </c>
      <c r="D437" s="49">
        <v>0.80276000000000003</v>
      </c>
      <c r="E437" s="608">
        <f t="shared" si="6"/>
        <v>0.80276000000000003</v>
      </c>
      <c r="F437" s="607"/>
    </row>
    <row r="438" spans="1:6" s="14" customFormat="1" ht="24.75" customHeight="1" outlineLevel="2" x14ac:dyDescent="0.25">
      <c r="A438" s="57"/>
      <c r="B438" s="61" t="s">
        <v>86</v>
      </c>
      <c r="C438" s="62" t="s">
        <v>77</v>
      </c>
      <c r="D438" s="49">
        <v>0.95211000000000001</v>
      </c>
      <c r="E438" s="608">
        <f t="shared" si="6"/>
        <v>0.95211000000000001</v>
      </c>
      <c r="F438" s="607"/>
    </row>
    <row r="439" spans="1:6" s="14" customFormat="1" ht="24.75" customHeight="1" outlineLevel="2" x14ac:dyDescent="0.25">
      <c r="A439" s="57"/>
      <c r="B439" s="61" t="s">
        <v>87</v>
      </c>
      <c r="C439" s="62" t="s">
        <v>77</v>
      </c>
      <c r="D439" s="49">
        <v>1.9963</v>
      </c>
      <c r="E439" s="608">
        <f t="shared" si="6"/>
        <v>1.9963</v>
      </c>
      <c r="F439" s="607"/>
    </row>
    <row r="440" spans="1:6" s="14" customFormat="1" ht="24.75" customHeight="1" outlineLevel="2" x14ac:dyDescent="0.25">
      <c r="A440" s="57"/>
      <c r="B440" s="61" t="s">
        <v>984</v>
      </c>
      <c r="C440" s="63" t="s">
        <v>10</v>
      </c>
      <c r="D440" s="49">
        <v>25.43</v>
      </c>
      <c r="E440" s="608">
        <f t="shared" si="6"/>
        <v>25.43</v>
      </c>
      <c r="F440" s="607"/>
    </row>
    <row r="441" spans="1:6" s="14" customFormat="1" ht="24.75" customHeight="1" outlineLevel="2" x14ac:dyDescent="0.25">
      <c r="A441" s="57"/>
      <c r="B441" s="61" t="s">
        <v>102</v>
      </c>
      <c r="C441" s="63" t="s">
        <v>68</v>
      </c>
      <c r="D441" s="49">
        <v>102.09</v>
      </c>
      <c r="E441" s="608">
        <f t="shared" si="6"/>
        <v>102.09</v>
      </c>
      <c r="F441" s="607"/>
    </row>
    <row r="442" spans="1:6" s="14" customFormat="1" ht="24.75" customHeight="1" outlineLevel="2" x14ac:dyDescent="0.25">
      <c r="A442" s="57"/>
      <c r="B442" s="64" t="s">
        <v>985</v>
      </c>
      <c r="C442" s="59" t="s">
        <v>134</v>
      </c>
      <c r="D442" s="49">
        <v>1</v>
      </c>
      <c r="E442" s="608">
        <f t="shared" si="6"/>
        <v>1</v>
      </c>
      <c r="F442" s="607"/>
    </row>
    <row r="443" spans="1:6" s="14" customFormat="1" ht="24.75" customHeight="1" outlineLevel="2" x14ac:dyDescent="0.25">
      <c r="A443" s="57"/>
      <c r="B443" s="76" t="s">
        <v>986</v>
      </c>
      <c r="C443" s="62" t="s">
        <v>77</v>
      </c>
      <c r="D443" s="49">
        <v>2.0888420000000001</v>
      </c>
      <c r="E443" s="608">
        <f t="shared" si="6"/>
        <v>2.0888420000000001</v>
      </c>
      <c r="F443" s="607"/>
    </row>
    <row r="444" spans="1:6" s="14" customFormat="1" ht="24.75" customHeight="1" outlineLevel="2" x14ac:dyDescent="0.25">
      <c r="A444" s="57"/>
      <c r="B444" s="76" t="s">
        <v>987</v>
      </c>
      <c r="C444" s="62" t="s">
        <v>124</v>
      </c>
      <c r="D444" s="49">
        <v>104.846</v>
      </c>
      <c r="E444" s="608">
        <f t="shared" si="6"/>
        <v>104.846</v>
      </c>
      <c r="F444" s="607"/>
    </row>
    <row r="445" spans="1:6" s="14" customFormat="1" ht="24.75" customHeight="1" outlineLevel="2" x14ac:dyDescent="0.25">
      <c r="A445" s="57"/>
      <c r="B445" s="61" t="s">
        <v>989</v>
      </c>
      <c r="C445" s="63" t="s">
        <v>78</v>
      </c>
      <c r="D445" s="49">
        <v>4</v>
      </c>
      <c r="E445" s="608">
        <f t="shared" si="6"/>
        <v>4</v>
      </c>
      <c r="F445" s="607"/>
    </row>
    <row r="446" spans="1:6" s="14" customFormat="1" ht="24.75" customHeight="1" outlineLevel="2" x14ac:dyDescent="0.25">
      <c r="A446" s="77"/>
      <c r="B446" s="79" t="s">
        <v>990</v>
      </c>
      <c r="C446" s="80" t="s">
        <v>78</v>
      </c>
      <c r="D446" s="55">
        <v>4</v>
      </c>
      <c r="E446" s="608">
        <f t="shared" si="6"/>
        <v>4</v>
      </c>
      <c r="F446" s="607"/>
    </row>
    <row r="447" spans="1:6" s="14" customFormat="1" ht="24.75" customHeight="1" outlineLevel="2" x14ac:dyDescent="0.25">
      <c r="A447" s="57"/>
      <c r="B447" s="76" t="s">
        <v>991</v>
      </c>
      <c r="C447" s="62" t="s">
        <v>10</v>
      </c>
      <c r="D447" s="49">
        <v>0.49099999999999999</v>
      </c>
      <c r="E447" s="608">
        <f t="shared" si="6"/>
        <v>0.49099999999999999</v>
      </c>
      <c r="F447" s="607"/>
    </row>
    <row r="448" spans="1:6" s="14" customFormat="1" ht="24.75" customHeight="1" outlineLevel="1" x14ac:dyDescent="0.25">
      <c r="A448" s="77">
        <v>21</v>
      </c>
      <c r="B448" s="78" t="s">
        <v>1032</v>
      </c>
      <c r="C448" s="77" t="s">
        <v>970</v>
      </c>
      <c r="D448" s="55">
        <v>1</v>
      </c>
      <c r="E448" s="608">
        <f t="shared" si="6"/>
        <v>1</v>
      </c>
      <c r="F448" s="607"/>
    </row>
    <row r="449" spans="1:6" s="14" customFormat="1" ht="24.75" customHeight="1" outlineLevel="2" x14ac:dyDescent="0.25">
      <c r="A449" s="57"/>
      <c r="B449" s="64" t="s">
        <v>1033</v>
      </c>
      <c r="C449" s="60" t="s">
        <v>970</v>
      </c>
      <c r="D449" s="49">
        <v>1</v>
      </c>
      <c r="E449" s="608">
        <f t="shared" si="6"/>
        <v>1</v>
      </c>
      <c r="F449" s="607"/>
    </row>
    <row r="450" spans="1:6" s="14" customFormat="1" ht="24.75" customHeight="1" outlineLevel="2" x14ac:dyDescent="0.25">
      <c r="A450" s="57"/>
      <c r="B450" s="61" t="s">
        <v>105</v>
      </c>
      <c r="C450" s="62" t="s">
        <v>77</v>
      </c>
      <c r="D450" s="49">
        <v>0.82101999999999997</v>
      </c>
      <c r="E450" s="608">
        <f t="shared" si="6"/>
        <v>0.82101999999999997</v>
      </c>
      <c r="F450" s="607"/>
    </row>
    <row r="451" spans="1:6" s="14" customFormat="1" ht="24.75" customHeight="1" outlineLevel="2" x14ac:dyDescent="0.25">
      <c r="A451" s="57"/>
      <c r="B451" s="61" t="s">
        <v>83</v>
      </c>
      <c r="C451" s="62" t="s">
        <v>77</v>
      </c>
      <c r="D451" s="49">
        <v>1.52803</v>
      </c>
      <c r="E451" s="608">
        <f t="shared" si="6"/>
        <v>1.52803</v>
      </c>
      <c r="F451" s="607"/>
    </row>
    <row r="452" spans="1:6" s="14" customFormat="1" ht="24.75" customHeight="1" outlineLevel="2" x14ac:dyDescent="0.25">
      <c r="A452" s="57"/>
      <c r="B452" s="61" t="s">
        <v>84</v>
      </c>
      <c r="C452" s="62" t="s">
        <v>77</v>
      </c>
      <c r="D452" s="49">
        <v>0.25</v>
      </c>
      <c r="E452" s="608">
        <f t="shared" si="6"/>
        <v>0.25</v>
      </c>
      <c r="F452" s="607"/>
    </row>
    <row r="453" spans="1:6" s="14" customFormat="1" ht="24.75" customHeight="1" outlineLevel="2" x14ac:dyDescent="0.25">
      <c r="A453" s="57"/>
      <c r="B453" s="61" t="s">
        <v>85</v>
      </c>
      <c r="C453" s="62" t="s">
        <v>77</v>
      </c>
      <c r="D453" s="49">
        <v>0.80276000000000003</v>
      </c>
      <c r="E453" s="608">
        <f t="shared" si="6"/>
        <v>0.80276000000000003</v>
      </c>
      <c r="F453" s="607"/>
    </row>
    <row r="454" spans="1:6" s="14" customFormat="1" ht="24.75" customHeight="1" outlineLevel="2" x14ac:dyDescent="0.25">
      <c r="A454" s="57"/>
      <c r="B454" s="61" t="s">
        <v>86</v>
      </c>
      <c r="C454" s="62" t="s">
        <v>77</v>
      </c>
      <c r="D454" s="49">
        <v>0.95211000000000001</v>
      </c>
      <c r="E454" s="608">
        <f t="shared" si="6"/>
        <v>0.95211000000000001</v>
      </c>
      <c r="F454" s="607"/>
    </row>
    <row r="455" spans="1:6" s="14" customFormat="1" ht="24.75" customHeight="1" outlineLevel="2" x14ac:dyDescent="0.25">
      <c r="A455" s="57"/>
      <c r="B455" s="61" t="s">
        <v>87</v>
      </c>
      <c r="C455" s="62" t="s">
        <v>77</v>
      </c>
      <c r="D455" s="49">
        <v>1.9963</v>
      </c>
      <c r="E455" s="608">
        <f t="shared" si="6"/>
        <v>1.9963</v>
      </c>
      <c r="F455" s="607"/>
    </row>
    <row r="456" spans="1:6" s="14" customFormat="1" ht="24.75" customHeight="1" outlineLevel="2" x14ac:dyDescent="0.25">
      <c r="A456" s="57"/>
      <c r="B456" s="61" t="s">
        <v>984</v>
      </c>
      <c r="C456" s="63" t="s">
        <v>10</v>
      </c>
      <c r="D456" s="49">
        <v>25.43</v>
      </c>
      <c r="E456" s="608">
        <f t="shared" si="6"/>
        <v>25.43</v>
      </c>
      <c r="F456" s="607"/>
    </row>
    <row r="457" spans="1:6" s="14" customFormat="1" ht="24.75" customHeight="1" outlineLevel="2" x14ac:dyDescent="0.25">
      <c r="A457" s="57"/>
      <c r="B457" s="61" t="s">
        <v>102</v>
      </c>
      <c r="C457" s="63" t="s">
        <v>68</v>
      </c>
      <c r="D457" s="49">
        <v>102.09</v>
      </c>
      <c r="E457" s="608">
        <f t="shared" si="6"/>
        <v>102.09</v>
      </c>
      <c r="F457" s="607"/>
    </row>
    <row r="458" spans="1:6" s="14" customFormat="1" ht="24.75" customHeight="1" outlineLevel="2" x14ac:dyDescent="0.25">
      <c r="A458" s="57"/>
      <c r="B458" s="64" t="s">
        <v>985</v>
      </c>
      <c r="C458" s="59" t="s">
        <v>134</v>
      </c>
      <c r="D458" s="49">
        <v>1</v>
      </c>
      <c r="E458" s="608">
        <f t="shared" si="6"/>
        <v>1</v>
      </c>
      <c r="F458" s="607"/>
    </row>
    <row r="459" spans="1:6" s="14" customFormat="1" ht="24.75" customHeight="1" outlineLevel="2" x14ac:dyDescent="0.25">
      <c r="A459" s="57"/>
      <c r="B459" s="76" t="s">
        <v>986</v>
      </c>
      <c r="C459" s="62" t="s">
        <v>77</v>
      </c>
      <c r="D459" s="49">
        <v>2.0888420000000001</v>
      </c>
      <c r="E459" s="608">
        <f t="shared" si="6"/>
        <v>2.0888420000000001</v>
      </c>
      <c r="F459" s="607"/>
    </row>
    <row r="460" spans="1:6" s="14" customFormat="1" ht="24.75" customHeight="1" outlineLevel="2" x14ac:dyDescent="0.25">
      <c r="A460" s="57"/>
      <c r="B460" s="76" t="s">
        <v>987</v>
      </c>
      <c r="C460" s="62" t="s">
        <v>124</v>
      </c>
      <c r="D460" s="49">
        <v>76.846000000000004</v>
      </c>
      <c r="E460" s="608">
        <f t="shared" si="6"/>
        <v>76.846000000000004</v>
      </c>
      <c r="F460" s="607"/>
    </row>
    <row r="461" spans="1:6" s="14" customFormat="1" ht="24.75" customHeight="1" outlineLevel="2" x14ac:dyDescent="0.25">
      <c r="A461" s="57"/>
      <c r="B461" s="61" t="s">
        <v>989</v>
      </c>
      <c r="C461" s="63" t="s">
        <v>78</v>
      </c>
      <c r="D461" s="49">
        <v>4</v>
      </c>
      <c r="E461" s="608">
        <f t="shared" si="6"/>
        <v>4</v>
      </c>
      <c r="F461" s="607"/>
    </row>
    <row r="462" spans="1:6" s="14" customFormat="1" ht="24.75" customHeight="1" outlineLevel="2" x14ac:dyDescent="0.25">
      <c r="A462" s="77"/>
      <c r="B462" s="79" t="s">
        <v>990</v>
      </c>
      <c r="C462" s="80" t="s">
        <v>78</v>
      </c>
      <c r="D462" s="55">
        <v>4</v>
      </c>
      <c r="E462" s="608">
        <f t="shared" si="6"/>
        <v>4</v>
      </c>
      <c r="F462" s="607"/>
    </row>
    <row r="463" spans="1:6" s="14" customFormat="1" ht="24.75" customHeight="1" outlineLevel="2" x14ac:dyDescent="0.25">
      <c r="A463" s="57"/>
      <c r="B463" s="76" t="s">
        <v>991</v>
      </c>
      <c r="C463" s="62" t="s">
        <v>10</v>
      </c>
      <c r="D463" s="49">
        <v>0.36</v>
      </c>
      <c r="E463" s="608">
        <f t="shared" si="6"/>
        <v>0.36</v>
      </c>
      <c r="F463" s="607"/>
    </row>
    <row r="464" spans="1:6" s="14" customFormat="1" ht="24.75" customHeight="1" outlineLevel="1" x14ac:dyDescent="0.25">
      <c r="A464" s="77">
        <v>22</v>
      </c>
      <c r="B464" s="78" t="s">
        <v>1034</v>
      </c>
      <c r="C464" s="77" t="s">
        <v>970</v>
      </c>
      <c r="D464" s="55">
        <v>1</v>
      </c>
      <c r="E464" s="608">
        <f t="shared" si="6"/>
        <v>1</v>
      </c>
      <c r="F464" s="607"/>
    </row>
    <row r="465" spans="1:6" s="14" customFormat="1" ht="24.75" customHeight="1" outlineLevel="2" x14ac:dyDescent="0.25">
      <c r="A465" s="57"/>
      <c r="B465" s="64" t="s">
        <v>1035</v>
      </c>
      <c r="C465" s="60" t="s">
        <v>970</v>
      </c>
      <c r="D465" s="49">
        <v>1</v>
      </c>
      <c r="E465" s="608">
        <f t="shared" ref="E465:E528" si="7">D465</f>
        <v>1</v>
      </c>
      <c r="F465" s="607"/>
    </row>
    <row r="466" spans="1:6" s="14" customFormat="1" ht="24.75" customHeight="1" outlineLevel="2" x14ac:dyDescent="0.25">
      <c r="A466" s="57"/>
      <c r="B466" s="61" t="s">
        <v>105</v>
      </c>
      <c r="C466" s="62" t="s">
        <v>77</v>
      </c>
      <c r="D466" s="49">
        <v>0.84038000000000002</v>
      </c>
      <c r="E466" s="608">
        <f t="shared" si="7"/>
        <v>0.84038000000000002</v>
      </c>
      <c r="F466" s="607"/>
    </row>
    <row r="467" spans="1:6" s="14" customFormat="1" ht="24.75" customHeight="1" outlineLevel="2" x14ac:dyDescent="0.25">
      <c r="A467" s="57"/>
      <c r="B467" s="61" t="s">
        <v>83</v>
      </c>
      <c r="C467" s="62" t="s">
        <v>77</v>
      </c>
      <c r="D467" s="49">
        <v>1.5210699999999999</v>
      </c>
      <c r="E467" s="608">
        <f t="shared" si="7"/>
        <v>1.5210699999999999</v>
      </c>
      <c r="F467" s="607"/>
    </row>
    <row r="468" spans="1:6" s="14" customFormat="1" ht="24.75" customHeight="1" outlineLevel="2" x14ac:dyDescent="0.25">
      <c r="A468" s="57"/>
      <c r="B468" s="61" t="s">
        <v>84</v>
      </c>
      <c r="C468" s="62" t="s">
        <v>77</v>
      </c>
      <c r="D468" s="49">
        <v>0.25</v>
      </c>
      <c r="E468" s="608">
        <f t="shared" si="7"/>
        <v>0.25</v>
      </c>
      <c r="F468" s="607"/>
    </row>
    <row r="469" spans="1:6" s="14" customFormat="1" ht="24.75" customHeight="1" outlineLevel="2" x14ac:dyDescent="0.25">
      <c r="A469" s="57"/>
      <c r="B469" s="61" t="s">
        <v>85</v>
      </c>
      <c r="C469" s="62" t="s">
        <v>77</v>
      </c>
      <c r="D469" s="49">
        <v>0.80276000000000003</v>
      </c>
      <c r="E469" s="608">
        <f t="shared" si="7"/>
        <v>0.80276000000000003</v>
      </c>
      <c r="F469" s="607"/>
    </row>
    <row r="470" spans="1:6" s="14" customFormat="1" ht="24.75" customHeight="1" outlineLevel="2" x14ac:dyDescent="0.25">
      <c r="A470" s="57"/>
      <c r="B470" s="61" t="s">
        <v>86</v>
      </c>
      <c r="C470" s="62" t="s">
        <v>77</v>
      </c>
      <c r="D470" s="49">
        <v>0.95211000000000001</v>
      </c>
      <c r="E470" s="608">
        <f t="shared" si="7"/>
        <v>0.95211000000000001</v>
      </c>
      <c r="F470" s="607"/>
    </row>
    <row r="471" spans="1:6" s="14" customFormat="1" ht="24.75" customHeight="1" outlineLevel="2" x14ac:dyDescent="0.25">
      <c r="A471" s="57"/>
      <c r="B471" s="61" t="s">
        <v>87</v>
      </c>
      <c r="C471" s="62" t="s">
        <v>77</v>
      </c>
      <c r="D471" s="49">
        <v>1.9789000000000001</v>
      </c>
      <c r="E471" s="608">
        <f t="shared" si="7"/>
        <v>1.9789000000000001</v>
      </c>
      <c r="F471" s="607"/>
    </row>
    <row r="472" spans="1:6" s="14" customFormat="1" ht="24.75" customHeight="1" outlineLevel="2" x14ac:dyDescent="0.25">
      <c r="A472" s="57"/>
      <c r="B472" s="61" t="s">
        <v>984</v>
      </c>
      <c r="C472" s="63" t="s">
        <v>10</v>
      </c>
      <c r="D472" s="49">
        <v>24.78</v>
      </c>
      <c r="E472" s="608">
        <f t="shared" si="7"/>
        <v>24.78</v>
      </c>
      <c r="F472" s="607"/>
    </row>
    <row r="473" spans="1:6" s="14" customFormat="1" ht="24.75" customHeight="1" outlineLevel="2" x14ac:dyDescent="0.25">
      <c r="A473" s="57"/>
      <c r="B473" s="61" t="s">
        <v>102</v>
      </c>
      <c r="C473" s="63" t="s">
        <v>68</v>
      </c>
      <c r="D473" s="49">
        <v>101.49</v>
      </c>
      <c r="E473" s="608">
        <f t="shared" si="7"/>
        <v>101.49</v>
      </c>
      <c r="F473" s="607"/>
    </row>
    <row r="474" spans="1:6" s="14" customFormat="1" ht="24.75" customHeight="1" outlineLevel="2" x14ac:dyDescent="0.25">
      <c r="A474" s="57"/>
      <c r="B474" s="64" t="s">
        <v>985</v>
      </c>
      <c r="C474" s="59" t="s">
        <v>134</v>
      </c>
      <c r="D474" s="49">
        <v>1</v>
      </c>
      <c r="E474" s="608">
        <f t="shared" si="7"/>
        <v>1</v>
      </c>
      <c r="F474" s="607"/>
    </row>
    <row r="475" spans="1:6" s="14" customFormat="1" ht="24.75" customHeight="1" outlineLevel="2" x14ac:dyDescent="0.25">
      <c r="A475" s="57"/>
      <c r="B475" s="76" t="s">
        <v>986</v>
      </c>
      <c r="C475" s="62" t="s">
        <v>77</v>
      </c>
      <c r="D475" s="49">
        <v>2.2751550000000003</v>
      </c>
      <c r="E475" s="608">
        <f t="shared" si="7"/>
        <v>2.2751550000000003</v>
      </c>
      <c r="F475" s="607"/>
    </row>
    <row r="476" spans="1:6" s="14" customFormat="1" ht="24.75" customHeight="1" outlineLevel="2" x14ac:dyDescent="0.25">
      <c r="A476" s="57"/>
      <c r="B476" s="76" t="s">
        <v>987</v>
      </c>
      <c r="C476" s="62" t="s">
        <v>124</v>
      </c>
      <c r="D476" s="49">
        <v>90.96</v>
      </c>
      <c r="E476" s="608">
        <f t="shared" si="7"/>
        <v>90.96</v>
      </c>
      <c r="F476" s="607"/>
    </row>
    <row r="477" spans="1:6" s="14" customFormat="1" ht="24.75" customHeight="1" outlineLevel="2" x14ac:dyDescent="0.25">
      <c r="A477" s="57"/>
      <c r="B477" s="61" t="s">
        <v>989</v>
      </c>
      <c r="C477" s="63" t="s">
        <v>78</v>
      </c>
      <c r="D477" s="49">
        <v>4</v>
      </c>
      <c r="E477" s="608">
        <f t="shared" si="7"/>
        <v>4</v>
      </c>
      <c r="F477" s="607"/>
    </row>
    <row r="478" spans="1:6" s="14" customFormat="1" ht="24.75" customHeight="1" outlineLevel="2" x14ac:dyDescent="0.25">
      <c r="A478" s="77"/>
      <c r="B478" s="79" t="s">
        <v>990</v>
      </c>
      <c r="C478" s="80" t="s">
        <v>78</v>
      </c>
      <c r="D478" s="55">
        <v>4</v>
      </c>
      <c r="E478" s="608">
        <f t="shared" si="7"/>
        <v>4</v>
      </c>
      <c r="F478" s="607"/>
    </row>
    <row r="479" spans="1:6" s="14" customFormat="1" ht="24.75" customHeight="1" outlineLevel="2" x14ac:dyDescent="0.25">
      <c r="A479" s="57"/>
      <c r="B479" s="76" t="s">
        <v>991</v>
      </c>
      <c r="C479" s="62" t="s">
        <v>10</v>
      </c>
      <c r="D479" s="49">
        <v>0.42599999999999999</v>
      </c>
      <c r="E479" s="608">
        <f t="shared" si="7"/>
        <v>0.42599999999999999</v>
      </c>
      <c r="F479" s="607"/>
    </row>
    <row r="480" spans="1:6" s="14" customFormat="1" ht="24.75" customHeight="1" outlineLevel="1" x14ac:dyDescent="0.25">
      <c r="A480" s="77">
        <v>23</v>
      </c>
      <c r="B480" s="78" t="s">
        <v>1036</v>
      </c>
      <c r="C480" s="77" t="s">
        <v>970</v>
      </c>
      <c r="D480" s="55">
        <v>1</v>
      </c>
      <c r="E480" s="608">
        <f t="shared" si="7"/>
        <v>1</v>
      </c>
      <c r="F480" s="607"/>
    </row>
    <row r="481" spans="1:6" s="14" customFormat="1" ht="24.75" customHeight="1" outlineLevel="2" x14ac:dyDescent="0.25">
      <c r="A481" s="57"/>
      <c r="B481" s="64" t="s">
        <v>1037</v>
      </c>
      <c r="C481" s="60" t="s">
        <v>970</v>
      </c>
      <c r="D481" s="49">
        <v>1</v>
      </c>
      <c r="E481" s="608">
        <f t="shared" si="7"/>
        <v>1</v>
      </c>
      <c r="F481" s="607"/>
    </row>
    <row r="482" spans="1:6" s="14" customFormat="1" ht="24.75" customHeight="1" outlineLevel="2" x14ac:dyDescent="0.25">
      <c r="A482" s="57"/>
      <c r="B482" s="61" t="s">
        <v>105</v>
      </c>
      <c r="C482" s="62" t="s">
        <v>77</v>
      </c>
      <c r="D482" s="49">
        <v>0.84038000000000002</v>
      </c>
      <c r="E482" s="608">
        <f t="shared" si="7"/>
        <v>0.84038000000000002</v>
      </c>
      <c r="F482" s="607"/>
    </row>
    <row r="483" spans="1:6" s="14" customFormat="1" ht="24.75" customHeight="1" outlineLevel="2" x14ac:dyDescent="0.25">
      <c r="A483" s="57"/>
      <c r="B483" s="61" t="s">
        <v>83</v>
      </c>
      <c r="C483" s="62" t="s">
        <v>77</v>
      </c>
      <c r="D483" s="49">
        <v>1.5210699999999999</v>
      </c>
      <c r="E483" s="608">
        <f t="shared" si="7"/>
        <v>1.5210699999999999</v>
      </c>
      <c r="F483" s="607"/>
    </row>
    <row r="484" spans="1:6" s="14" customFormat="1" ht="24.75" customHeight="1" outlineLevel="2" x14ac:dyDescent="0.25">
      <c r="A484" s="57"/>
      <c r="B484" s="61" t="s">
        <v>84</v>
      </c>
      <c r="C484" s="62" t="s">
        <v>77</v>
      </c>
      <c r="D484" s="49">
        <v>0.25</v>
      </c>
      <c r="E484" s="608">
        <f t="shared" si="7"/>
        <v>0.25</v>
      </c>
      <c r="F484" s="607"/>
    </row>
    <row r="485" spans="1:6" s="14" customFormat="1" ht="24.75" customHeight="1" outlineLevel="2" x14ac:dyDescent="0.25">
      <c r="A485" s="57"/>
      <c r="B485" s="61" t="s">
        <v>85</v>
      </c>
      <c r="C485" s="62" t="s">
        <v>77</v>
      </c>
      <c r="D485" s="49">
        <v>0.80276000000000003</v>
      </c>
      <c r="E485" s="608">
        <f t="shared" si="7"/>
        <v>0.80276000000000003</v>
      </c>
      <c r="F485" s="607"/>
    </row>
    <row r="486" spans="1:6" s="14" customFormat="1" ht="24.75" customHeight="1" outlineLevel="2" x14ac:dyDescent="0.25">
      <c r="A486" s="57"/>
      <c r="B486" s="61" t="s">
        <v>86</v>
      </c>
      <c r="C486" s="62" t="s">
        <v>77</v>
      </c>
      <c r="D486" s="49">
        <v>0.95211000000000001</v>
      </c>
      <c r="E486" s="608">
        <f t="shared" si="7"/>
        <v>0.95211000000000001</v>
      </c>
      <c r="F486" s="607"/>
    </row>
    <row r="487" spans="1:6" s="14" customFormat="1" ht="24.75" customHeight="1" outlineLevel="2" x14ac:dyDescent="0.25">
      <c r="A487" s="57"/>
      <c r="B487" s="61" t="s">
        <v>87</v>
      </c>
      <c r="C487" s="62" t="s">
        <v>77</v>
      </c>
      <c r="D487" s="49">
        <v>1.9789000000000001</v>
      </c>
      <c r="E487" s="608">
        <f t="shared" si="7"/>
        <v>1.9789000000000001</v>
      </c>
      <c r="F487" s="607"/>
    </row>
    <row r="488" spans="1:6" s="14" customFormat="1" ht="24.75" customHeight="1" outlineLevel="2" x14ac:dyDescent="0.25">
      <c r="A488" s="57"/>
      <c r="B488" s="61" t="s">
        <v>984</v>
      </c>
      <c r="C488" s="63" t="s">
        <v>10</v>
      </c>
      <c r="D488" s="49">
        <v>24.78</v>
      </c>
      <c r="E488" s="608">
        <f t="shared" si="7"/>
        <v>24.78</v>
      </c>
      <c r="F488" s="607"/>
    </row>
    <row r="489" spans="1:6" s="14" customFormat="1" ht="24.75" customHeight="1" outlineLevel="2" x14ac:dyDescent="0.25">
      <c r="A489" s="57"/>
      <c r="B489" s="61" t="s">
        <v>102</v>
      </c>
      <c r="C489" s="63" t="s">
        <v>68</v>
      </c>
      <c r="D489" s="49">
        <v>101.49</v>
      </c>
      <c r="E489" s="608">
        <f t="shared" si="7"/>
        <v>101.49</v>
      </c>
      <c r="F489" s="607"/>
    </row>
    <row r="490" spans="1:6" s="14" customFormat="1" ht="24.75" customHeight="1" outlineLevel="2" x14ac:dyDescent="0.25">
      <c r="A490" s="57"/>
      <c r="B490" s="64" t="s">
        <v>985</v>
      </c>
      <c r="C490" s="59" t="s">
        <v>134</v>
      </c>
      <c r="D490" s="49">
        <v>1</v>
      </c>
      <c r="E490" s="608">
        <f t="shared" si="7"/>
        <v>1</v>
      </c>
      <c r="F490" s="607"/>
    </row>
    <row r="491" spans="1:6" s="14" customFormat="1" ht="24.75" customHeight="1" outlineLevel="2" x14ac:dyDescent="0.25">
      <c r="A491" s="57"/>
      <c r="B491" s="76" t="s">
        <v>986</v>
      </c>
      <c r="C491" s="62" t="s">
        <v>77</v>
      </c>
      <c r="D491" s="49">
        <v>2.2751550000000003</v>
      </c>
      <c r="E491" s="608">
        <f t="shared" si="7"/>
        <v>2.2751550000000003</v>
      </c>
      <c r="F491" s="607"/>
    </row>
    <row r="492" spans="1:6" s="14" customFormat="1" ht="24.75" customHeight="1" outlineLevel="2" x14ac:dyDescent="0.25">
      <c r="A492" s="57"/>
      <c r="B492" s="76" t="s">
        <v>987</v>
      </c>
      <c r="C492" s="62" t="s">
        <v>124</v>
      </c>
      <c r="D492" s="49">
        <v>62.96</v>
      </c>
      <c r="E492" s="608">
        <f t="shared" si="7"/>
        <v>62.96</v>
      </c>
      <c r="F492" s="607"/>
    </row>
    <row r="493" spans="1:6" s="14" customFormat="1" ht="24.75" customHeight="1" outlineLevel="2" x14ac:dyDescent="0.25">
      <c r="A493" s="57"/>
      <c r="B493" s="76" t="s">
        <v>988</v>
      </c>
      <c r="C493" s="62" t="s">
        <v>124</v>
      </c>
      <c r="D493" s="49">
        <v>5.6</v>
      </c>
      <c r="E493" s="608">
        <f t="shared" si="7"/>
        <v>5.6</v>
      </c>
      <c r="F493" s="607"/>
    </row>
    <row r="494" spans="1:6" s="14" customFormat="1" ht="24.75" customHeight="1" outlineLevel="2" x14ac:dyDescent="0.25">
      <c r="A494" s="57"/>
      <c r="B494" s="61" t="s">
        <v>989</v>
      </c>
      <c r="C494" s="63" t="s">
        <v>78</v>
      </c>
      <c r="D494" s="49">
        <v>4</v>
      </c>
      <c r="E494" s="608">
        <f t="shared" si="7"/>
        <v>4</v>
      </c>
      <c r="F494" s="607"/>
    </row>
    <row r="495" spans="1:6" s="14" customFormat="1" ht="24.75" customHeight="1" outlineLevel="2" x14ac:dyDescent="0.25">
      <c r="A495" s="77"/>
      <c r="B495" s="79" t="s">
        <v>990</v>
      </c>
      <c r="C495" s="80" t="s">
        <v>78</v>
      </c>
      <c r="D495" s="55">
        <v>4</v>
      </c>
      <c r="E495" s="608">
        <f t="shared" si="7"/>
        <v>4</v>
      </c>
      <c r="F495" s="607"/>
    </row>
    <row r="496" spans="1:6" s="14" customFormat="1" ht="24.75" customHeight="1" outlineLevel="2" x14ac:dyDescent="0.25">
      <c r="A496" s="57"/>
      <c r="B496" s="76" t="s">
        <v>991</v>
      </c>
      <c r="C496" s="62" t="s">
        <v>10</v>
      </c>
      <c r="D496" s="49">
        <v>0.29499999999999998</v>
      </c>
      <c r="E496" s="608">
        <f t="shared" si="7"/>
        <v>0.29499999999999998</v>
      </c>
      <c r="F496" s="607"/>
    </row>
    <row r="497" spans="1:6" s="14" customFormat="1" ht="24.75" customHeight="1" outlineLevel="1" x14ac:dyDescent="0.25">
      <c r="A497" s="77">
        <v>24</v>
      </c>
      <c r="B497" s="78" t="s">
        <v>1038</v>
      </c>
      <c r="C497" s="77" t="s">
        <v>970</v>
      </c>
      <c r="D497" s="55"/>
      <c r="E497" s="608">
        <f t="shared" si="7"/>
        <v>0</v>
      </c>
      <c r="F497" s="607"/>
    </row>
    <row r="498" spans="1:6" s="14" customFormat="1" ht="24.75" customHeight="1" outlineLevel="2" x14ac:dyDescent="0.25">
      <c r="A498" s="57"/>
      <c r="B498" s="64" t="s">
        <v>1039</v>
      </c>
      <c r="C498" s="60" t="s">
        <v>970</v>
      </c>
      <c r="D498" s="49"/>
      <c r="E498" s="608">
        <f t="shared" si="7"/>
        <v>0</v>
      </c>
      <c r="F498" s="607"/>
    </row>
    <row r="499" spans="1:6" s="14" customFormat="1" ht="24.75" customHeight="1" outlineLevel="2" x14ac:dyDescent="0.25">
      <c r="A499" s="57"/>
      <c r="B499" s="61" t="s">
        <v>105</v>
      </c>
      <c r="C499" s="62" t="s">
        <v>77</v>
      </c>
      <c r="D499" s="49">
        <v>0</v>
      </c>
      <c r="E499" s="608">
        <f t="shared" si="7"/>
        <v>0</v>
      </c>
      <c r="F499" s="607"/>
    </row>
    <row r="500" spans="1:6" s="14" customFormat="1" ht="24.75" customHeight="1" outlineLevel="2" x14ac:dyDescent="0.25">
      <c r="A500" s="57"/>
      <c r="B500" s="61" t="s">
        <v>83</v>
      </c>
      <c r="C500" s="62" t="s">
        <v>77</v>
      </c>
      <c r="D500" s="49">
        <v>0</v>
      </c>
      <c r="E500" s="608">
        <f t="shared" si="7"/>
        <v>0</v>
      </c>
      <c r="F500" s="607"/>
    </row>
    <row r="501" spans="1:6" s="14" customFormat="1" ht="24.75" customHeight="1" outlineLevel="2" x14ac:dyDescent="0.25">
      <c r="A501" s="57"/>
      <c r="B501" s="61" t="s">
        <v>84</v>
      </c>
      <c r="C501" s="62" t="s">
        <v>77</v>
      </c>
      <c r="D501" s="49">
        <v>0</v>
      </c>
      <c r="E501" s="608">
        <f t="shared" si="7"/>
        <v>0</v>
      </c>
      <c r="F501" s="607"/>
    </row>
    <row r="502" spans="1:6" s="14" customFormat="1" ht="24.75" customHeight="1" outlineLevel="2" x14ac:dyDescent="0.25">
      <c r="A502" s="57"/>
      <c r="B502" s="61" t="s">
        <v>85</v>
      </c>
      <c r="C502" s="62" t="s">
        <v>77</v>
      </c>
      <c r="D502" s="49">
        <v>0</v>
      </c>
      <c r="E502" s="608">
        <f t="shared" si="7"/>
        <v>0</v>
      </c>
      <c r="F502" s="607"/>
    </row>
    <row r="503" spans="1:6" s="14" customFormat="1" ht="24.75" customHeight="1" outlineLevel="2" x14ac:dyDescent="0.25">
      <c r="A503" s="57"/>
      <c r="B503" s="61" t="s">
        <v>86</v>
      </c>
      <c r="C503" s="62" t="s">
        <v>77</v>
      </c>
      <c r="D503" s="49">
        <v>0</v>
      </c>
      <c r="E503" s="608">
        <f t="shared" si="7"/>
        <v>0</v>
      </c>
      <c r="F503" s="607"/>
    </row>
    <row r="504" spans="1:6" s="14" customFormat="1" ht="24.75" customHeight="1" outlineLevel="2" x14ac:dyDescent="0.25">
      <c r="A504" s="57"/>
      <c r="B504" s="61" t="s">
        <v>87</v>
      </c>
      <c r="C504" s="62" t="s">
        <v>77</v>
      </c>
      <c r="D504" s="49">
        <v>0</v>
      </c>
      <c r="E504" s="608">
        <f t="shared" si="7"/>
        <v>0</v>
      </c>
      <c r="F504" s="607"/>
    </row>
    <row r="505" spans="1:6" s="14" customFormat="1" ht="24.75" customHeight="1" outlineLevel="2" x14ac:dyDescent="0.25">
      <c r="A505" s="57"/>
      <c r="B505" s="61" t="s">
        <v>984</v>
      </c>
      <c r="C505" s="63" t="s">
        <v>10</v>
      </c>
      <c r="D505" s="49">
        <v>0</v>
      </c>
      <c r="E505" s="608">
        <f t="shared" si="7"/>
        <v>0</v>
      </c>
      <c r="F505" s="607"/>
    </row>
    <row r="506" spans="1:6" s="14" customFormat="1" ht="24.75" customHeight="1" outlineLevel="2" x14ac:dyDescent="0.25">
      <c r="A506" s="57"/>
      <c r="B506" s="61" t="s">
        <v>102</v>
      </c>
      <c r="C506" s="63" t="s">
        <v>68</v>
      </c>
      <c r="D506" s="49"/>
      <c r="E506" s="608">
        <f t="shared" si="7"/>
        <v>0</v>
      </c>
      <c r="F506" s="607"/>
    </row>
    <row r="507" spans="1:6" s="14" customFormat="1" ht="24.75" customHeight="1" outlineLevel="2" x14ac:dyDescent="0.25">
      <c r="A507" s="69"/>
      <c r="B507" s="71" t="s">
        <v>1040</v>
      </c>
      <c r="C507" s="72" t="s">
        <v>68</v>
      </c>
      <c r="D507" s="51">
        <v>0</v>
      </c>
      <c r="E507" s="608">
        <f t="shared" si="7"/>
        <v>0</v>
      </c>
      <c r="F507" s="607"/>
    </row>
    <row r="508" spans="1:6" s="14" customFormat="1" ht="24.75" customHeight="1" outlineLevel="2" x14ac:dyDescent="0.25">
      <c r="A508" s="57"/>
      <c r="B508" s="64" t="s">
        <v>985</v>
      </c>
      <c r="C508" s="59" t="s">
        <v>134</v>
      </c>
      <c r="D508" s="49"/>
      <c r="E508" s="608">
        <f t="shared" si="7"/>
        <v>0</v>
      </c>
      <c r="F508" s="607"/>
    </row>
    <row r="509" spans="1:6" s="14" customFormat="1" ht="24.75" customHeight="1" outlineLevel="2" x14ac:dyDescent="0.25">
      <c r="A509" s="57"/>
      <c r="B509" s="76" t="s">
        <v>986</v>
      </c>
      <c r="C509" s="62" t="s">
        <v>77</v>
      </c>
      <c r="D509" s="49">
        <v>0</v>
      </c>
      <c r="E509" s="608">
        <f t="shared" si="7"/>
        <v>0</v>
      </c>
      <c r="F509" s="607"/>
    </row>
    <row r="510" spans="1:6" s="14" customFormat="1" ht="24.75" customHeight="1" outlineLevel="2" x14ac:dyDescent="0.25">
      <c r="A510" s="57"/>
      <c r="B510" s="76" t="s">
        <v>987</v>
      </c>
      <c r="C510" s="62" t="s">
        <v>124</v>
      </c>
      <c r="D510" s="49">
        <v>0</v>
      </c>
      <c r="E510" s="608">
        <f t="shared" si="7"/>
        <v>0</v>
      </c>
      <c r="F510" s="607"/>
    </row>
    <row r="511" spans="1:6" s="14" customFormat="1" ht="24.75" customHeight="1" outlineLevel="2" x14ac:dyDescent="0.25">
      <c r="A511" s="57"/>
      <c r="B511" s="76" t="s">
        <v>988</v>
      </c>
      <c r="C511" s="62" t="s">
        <v>124</v>
      </c>
      <c r="D511" s="49">
        <v>0</v>
      </c>
      <c r="E511" s="608">
        <f t="shared" si="7"/>
        <v>0</v>
      </c>
      <c r="F511" s="607"/>
    </row>
    <row r="512" spans="1:6" s="14" customFormat="1" ht="24.75" customHeight="1" outlineLevel="2" x14ac:dyDescent="0.25">
      <c r="A512" s="57"/>
      <c r="B512" s="61" t="s">
        <v>989</v>
      </c>
      <c r="C512" s="63" t="s">
        <v>78</v>
      </c>
      <c r="D512" s="49">
        <v>0</v>
      </c>
      <c r="E512" s="608">
        <f t="shared" si="7"/>
        <v>0</v>
      </c>
      <c r="F512" s="607"/>
    </row>
    <row r="513" spans="1:6" s="14" customFormat="1" ht="24.75" customHeight="1" outlineLevel="2" x14ac:dyDescent="0.25">
      <c r="A513" s="77"/>
      <c r="B513" s="79" t="s">
        <v>990</v>
      </c>
      <c r="C513" s="80" t="s">
        <v>78</v>
      </c>
      <c r="D513" s="55">
        <v>0</v>
      </c>
      <c r="E513" s="608">
        <f t="shared" si="7"/>
        <v>0</v>
      </c>
      <c r="F513" s="607"/>
    </row>
    <row r="514" spans="1:6" s="14" customFormat="1" ht="24.75" customHeight="1" outlineLevel="2" x14ac:dyDescent="0.25">
      <c r="A514" s="57"/>
      <c r="B514" s="76" t="s">
        <v>991</v>
      </c>
      <c r="C514" s="62" t="s">
        <v>10</v>
      </c>
      <c r="D514" s="49">
        <v>0</v>
      </c>
      <c r="E514" s="608">
        <f t="shared" si="7"/>
        <v>0</v>
      </c>
      <c r="F514" s="607"/>
    </row>
    <row r="515" spans="1:6" s="14" customFormat="1" ht="24.75" customHeight="1" outlineLevel="1" x14ac:dyDescent="0.25">
      <c r="A515" s="77">
        <v>25</v>
      </c>
      <c r="B515" s="78" t="s">
        <v>1041</v>
      </c>
      <c r="C515" s="77" t="s">
        <v>970</v>
      </c>
      <c r="D515" s="55">
        <v>1</v>
      </c>
      <c r="E515" s="608">
        <f t="shared" si="7"/>
        <v>1</v>
      </c>
      <c r="F515" s="607"/>
    </row>
    <row r="516" spans="1:6" s="14" customFormat="1" ht="24.75" customHeight="1" outlineLevel="2" x14ac:dyDescent="0.25">
      <c r="A516" s="57"/>
      <c r="B516" s="64" t="s">
        <v>1042</v>
      </c>
      <c r="C516" s="60" t="s">
        <v>970</v>
      </c>
      <c r="D516" s="49">
        <v>1</v>
      </c>
      <c r="E516" s="608">
        <f t="shared" si="7"/>
        <v>1</v>
      </c>
      <c r="F516" s="607"/>
    </row>
    <row r="517" spans="1:6" s="14" customFormat="1" ht="24.75" customHeight="1" outlineLevel="2" x14ac:dyDescent="0.25">
      <c r="A517" s="57"/>
      <c r="B517" s="61" t="s">
        <v>105</v>
      </c>
      <c r="C517" s="62" t="s">
        <v>77</v>
      </c>
      <c r="D517" s="49">
        <v>0.41550999999999999</v>
      </c>
      <c r="E517" s="608">
        <f t="shared" si="7"/>
        <v>0.41550999999999999</v>
      </c>
      <c r="F517" s="607"/>
    </row>
    <row r="518" spans="1:6" s="14" customFormat="1" ht="24.75" customHeight="1" outlineLevel="2" x14ac:dyDescent="0.25">
      <c r="A518" s="57"/>
      <c r="B518" s="61" t="s">
        <v>83</v>
      </c>
      <c r="C518" s="62" t="s">
        <v>77</v>
      </c>
      <c r="D518" s="49">
        <v>0.88373999999999997</v>
      </c>
      <c r="E518" s="608">
        <f t="shared" si="7"/>
        <v>0.88373999999999997</v>
      </c>
      <c r="F518" s="607"/>
    </row>
    <row r="519" spans="1:6" s="14" customFormat="1" ht="24.75" customHeight="1" outlineLevel="2" x14ac:dyDescent="0.25">
      <c r="A519" s="57"/>
      <c r="B519" s="61" t="s">
        <v>84</v>
      </c>
      <c r="C519" s="62" t="s">
        <v>77</v>
      </c>
      <c r="D519" s="49">
        <v>0.17</v>
      </c>
      <c r="E519" s="608">
        <f t="shared" si="7"/>
        <v>0.17</v>
      </c>
      <c r="F519" s="607"/>
    </row>
    <row r="520" spans="1:6" s="14" customFormat="1" ht="24.75" customHeight="1" outlineLevel="2" x14ac:dyDescent="0.25">
      <c r="A520" s="57"/>
      <c r="B520" s="61" t="s">
        <v>85</v>
      </c>
      <c r="C520" s="62" t="s">
        <v>77</v>
      </c>
      <c r="D520" s="49">
        <v>0.54588000000000003</v>
      </c>
      <c r="E520" s="608">
        <f t="shared" si="7"/>
        <v>0.54588000000000003</v>
      </c>
      <c r="F520" s="607"/>
    </row>
    <row r="521" spans="1:6" s="14" customFormat="1" ht="24.75" customHeight="1" outlineLevel="2" x14ac:dyDescent="0.25">
      <c r="A521" s="57"/>
      <c r="B521" s="61" t="s">
        <v>86</v>
      </c>
      <c r="C521" s="62" t="s">
        <v>77</v>
      </c>
      <c r="D521" s="49">
        <v>0.64742999999999995</v>
      </c>
      <c r="E521" s="608">
        <f t="shared" si="7"/>
        <v>0.64742999999999995</v>
      </c>
      <c r="F521" s="607"/>
    </row>
    <row r="522" spans="1:6" s="14" customFormat="1" ht="24.75" customHeight="1" outlineLevel="2" x14ac:dyDescent="0.25">
      <c r="A522" s="57"/>
      <c r="B522" s="61" t="s">
        <v>87</v>
      </c>
      <c r="C522" s="62" t="s">
        <v>77</v>
      </c>
      <c r="D522" s="49">
        <v>1.2859</v>
      </c>
      <c r="E522" s="608">
        <f t="shared" si="7"/>
        <v>1.2859</v>
      </c>
      <c r="F522" s="607"/>
    </row>
    <row r="523" spans="1:6" s="14" customFormat="1" ht="24.75" customHeight="1" outlineLevel="2" x14ac:dyDescent="0.25">
      <c r="A523" s="57"/>
      <c r="B523" s="61" t="s">
        <v>984</v>
      </c>
      <c r="C523" s="63" t="s">
        <v>10</v>
      </c>
      <c r="D523" s="49">
        <v>14.01</v>
      </c>
      <c r="E523" s="608">
        <f t="shared" si="7"/>
        <v>14.01</v>
      </c>
      <c r="F523" s="607"/>
    </row>
    <row r="524" spans="1:6" s="14" customFormat="1" ht="24.75" customHeight="1" outlineLevel="2" x14ac:dyDescent="0.25">
      <c r="A524" s="57"/>
      <c r="B524" s="61" t="s">
        <v>102</v>
      </c>
      <c r="C524" s="63" t="s">
        <v>68</v>
      </c>
      <c r="D524" s="49">
        <v>61</v>
      </c>
      <c r="E524" s="608">
        <f t="shared" si="7"/>
        <v>61</v>
      </c>
      <c r="F524" s="607"/>
    </row>
    <row r="525" spans="1:6" s="14" customFormat="1" ht="24.75" customHeight="1" outlineLevel="2" x14ac:dyDescent="0.25">
      <c r="A525" s="57"/>
      <c r="B525" s="61" t="s">
        <v>1040</v>
      </c>
      <c r="C525" s="63" t="s">
        <v>68</v>
      </c>
      <c r="D525" s="49">
        <v>0</v>
      </c>
      <c r="E525" s="608">
        <f t="shared" si="7"/>
        <v>0</v>
      </c>
      <c r="F525" s="607"/>
    </row>
    <row r="526" spans="1:6" s="14" customFormat="1" ht="24.75" customHeight="1" outlineLevel="2" x14ac:dyDescent="0.25">
      <c r="A526" s="57"/>
      <c r="B526" s="64" t="s">
        <v>985</v>
      </c>
      <c r="C526" s="59" t="s">
        <v>134</v>
      </c>
      <c r="D526" s="52">
        <v>1</v>
      </c>
      <c r="E526" s="608">
        <f t="shared" si="7"/>
        <v>1</v>
      </c>
      <c r="F526" s="607"/>
    </row>
    <row r="527" spans="1:6" s="14" customFormat="1" ht="24.75" customHeight="1" outlineLevel="2" x14ac:dyDescent="0.25">
      <c r="A527" s="57"/>
      <c r="B527" s="76" t="s">
        <v>986</v>
      </c>
      <c r="C527" s="62" t="s">
        <v>77</v>
      </c>
      <c r="D527" s="49">
        <v>6.6857990000000003</v>
      </c>
      <c r="E527" s="608">
        <f t="shared" si="7"/>
        <v>6.6857990000000003</v>
      </c>
      <c r="F527" s="607"/>
    </row>
    <row r="528" spans="1:6" s="14" customFormat="1" ht="24.75" customHeight="1" outlineLevel="2" x14ac:dyDescent="0.25">
      <c r="A528" s="57"/>
      <c r="B528" s="76" t="s">
        <v>987</v>
      </c>
      <c r="C528" s="62" t="s">
        <v>124</v>
      </c>
      <c r="D528" s="49">
        <v>28</v>
      </c>
      <c r="E528" s="608">
        <f t="shared" si="7"/>
        <v>28</v>
      </c>
      <c r="F528" s="607"/>
    </row>
    <row r="529" spans="1:6" s="14" customFormat="1" ht="24.75" customHeight="1" outlineLevel="2" x14ac:dyDescent="0.25">
      <c r="A529" s="57"/>
      <c r="B529" s="76" t="s">
        <v>988</v>
      </c>
      <c r="C529" s="62" t="s">
        <v>124</v>
      </c>
      <c r="D529" s="49">
        <v>0</v>
      </c>
      <c r="E529" s="608">
        <f t="shared" ref="E529:E592" si="8">D529</f>
        <v>0</v>
      </c>
      <c r="F529" s="607"/>
    </row>
    <row r="530" spans="1:6" s="14" customFormat="1" ht="24.75" customHeight="1" outlineLevel="2" x14ac:dyDescent="0.25">
      <c r="A530" s="57"/>
      <c r="B530" s="61" t="s">
        <v>989</v>
      </c>
      <c r="C530" s="63" t="s">
        <v>78</v>
      </c>
      <c r="D530" s="49">
        <v>28</v>
      </c>
      <c r="E530" s="608">
        <f t="shared" si="8"/>
        <v>28</v>
      </c>
      <c r="F530" s="607"/>
    </row>
    <row r="531" spans="1:6" s="14" customFormat="1" ht="24.75" customHeight="1" outlineLevel="2" x14ac:dyDescent="0.25">
      <c r="A531" s="77"/>
      <c r="B531" s="79" t="s">
        <v>990</v>
      </c>
      <c r="C531" s="80" t="s">
        <v>78</v>
      </c>
      <c r="D531" s="55">
        <v>28</v>
      </c>
      <c r="E531" s="608">
        <f t="shared" si="8"/>
        <v>28</v>
      </c>
      <c r="F531" s="607"/>
    </row>
    <row r="532" spans="1:6" s="14" customFormat="1" ht="24.75" customHeight="1" outlineLevel="2" x14ac:dyDescent="0.25">
      <c r="A532" s="57"/>
      <c r="B532" s="76" t="s">
        <v>991</v>
      </c>
      <c r="C532" s="62" t="s">
        <v>10</v>
      </c>
      <c r="D532" s="49">
        <v>0.13100000000000001</v>
      </c>
      <c r="E532" s="608">
        <f t="shared" si="8"/>
        <v>0.13100000000000001</v>
      </c>
      <c r="F532" s="607"/>
    </row>
    <row r="533" spans="1:6" s="14" customFormat="1" ht="24.75" customHeight="1" outlineLevel="1" x14ac:dyDescent="0.25">
      <c r="A533" s="77">
        <v>26</v>
      </c>
      <c r="B533" s="78" t="s">
        <v>1043</v>
      </c>
      <c r="C533" s="77" t="s">
        <v>970</v>
      </c>
      <c r="D533" s="54">
        <v>1</v>
      </c>
      <c r="E533" s="608">
        <f t="shared" si="8"/>
        <v>1</v>
      </c>
      <c r="F533" s="607"/>
    </row>
    <row r="534" spans="1:6" s="14" customFormat="1" ht="24.75" customHeight="1" outlineLevel="2" x14ac:dyDescent="0.25">
      <c r="A534" s="57"/>
      <c r="B534" s="61" t="s">
        <v>82</v>
      </c>
      <c r="C534" s="62" t="s">
        <v>77</v>
      </c>
      <c r="D534" s="49">
        <v>6.2340000000000007E-2</v>
      </c>
      <c r="E534" s="608">
        <f t="shared" si="8"/>
        <v>6.2340000000000007E-2</v>
      </c>
      <c r="F534" s="607"/>
    </row>
    <row r="535" spans="1:6" s="14" customFormat="1" ht="24.75" customHeight="1" outlineLevel="2" x14ac:dyDescent="0.25">
      <c r="A535" s="57"/>
      <c r="B535" s="61" t="s">
        <v>105</v>
      </c>
      <c r="C535" s="62" t="s">
        <v>77</v>
      </c>
      <c r="D535" s="49">
        <v>1.8369000000000002</v>
      </c>
      <c r="E535" s="608">
        <f t="shared" si="8"/>
        <v>1.8369000000000002</v>
      </c>
      <c r="F535" s="607"/>
    </row>
    <row r="536" spans="1:6" s="14" customFormat="1" ht="24.75" customHeight="1" outlineLevel="2" x14ac:dyDescent="0.25">
      <c r="A536" s="57"/>
      <c r="B536" s="61" t="s">
        <v>83</v>
      </c>
      <c r="C536" s="62" t="s">
        <v>77</v>
      </c>
      <c r="D536" s="49">
        <v>5.1370800000000001</v>
      </c>
      <c r="E536" s="608">
        <f t="shared" si="8"/>
        <v>5.1370800000000001</v>
      </c>
      <c r="F536" s="607"/>
    </row>
    <row r="537" spans="1:6" s="14" customFormat="1" ht="24.75" customHeight="1" outlineLevel="2" x14ac:dyDescent="0.25">
      <c r="A537" s="57"/>
      <c r="B537" s="61" t="s">
        <v>84</v>
      </c>
      <c r="C537" s="62" t="s">
        <v>77</v>
      </c>
      <c r="D537" s="49">
        <v>0.53</v>
      </c>
      <c r="E537" s="608">
        <f t="shared" si="8"/>
        <v>0.53</v>
      </c>
      <c r="F537" s="607"/>
    </row>
    <row r="538" spans="1:6" s="14" customFormat="1" ht="24.75" customHeight="1" outlineLevel="2" x14ac:dyDescent="0.25">
      <c r="A538" s="57"/>
      <c r="B538" s="61" t="s">
        <v>85</v>
      </c>
      <c r="C538" s="62" t="s">
        <v>77</v>
      </c>
      <c r="D538" s="49">
        <v>2.2484499999999996</v>
      </c>
      <c r="E538" s="608">
        <f t="shared" si="8"/>
        <v>2.2484499999999996</v>
      </c>
      <c r="F538" s="607"/>
    </row>
    <row r="539" spans="1:6" s="14" customFormat="1" ht="24.75" customHeight="1" outlineLevel="2" x14ac:dyDescent="0.25">
      <c r="A539" s="57"/>
      <c r="B539" s="61" t="s">
        <v>86</v>
      </c>
      <c r="C539" s="62" t="s">
        <v>77</v>
      </c>
      <c r="D539" s="49">
        <v>2.0184700000000002</v>
      </c>
      <c r="E539" s="608">
        <f t="shared" si="8"/>
        <v>2.0184700000000002</v>
      </c>
      <c r="F539" s="607"/>
    </row>
    <row r="540" spans="1:6" s="14" customFormat="1" ht="24.75" customHeight="1" outlineLevel="2" x14ac:dyDescent="0.25">
      <c r="A540" s="57"/>
      <c r="B540" s="61" t="s">
        <v>87</v>
      </c>
      <c r="C540" s="62" t="s">
        <v>77</v>
      </c>
      <c r="D540" s="49">
        <v>5.6714899999999995</v>
      </c>
      <c r="E540" s="608">
        <f t="shared" si="8"/>
        <v>5.6714899999999995</v>
      </c>
      <c r="F540" s="607"/>
    </row>
    <row r="541" spans="1:6" s="14" customFormat="1" ht="24.75" customHeight="1" outlineLevel="2" x14ac:dyDescent="0.25">
      <c r="A541" s="57"/>
      <c r="B541" s="61" t="s">
        <v>984</v>
      </c>
      <c r="C541" s="63" t="s">
        <v>10</v>
      </c>
      <c r="D541" s="49">
        <v>0</v>
      </c>
      <c r="E541" s="608">
        <f t="shared" si="8"/>
        <v>0</v>
      </c>
      <c r="F541" s="607"/>
    </row>
    <row r="542" spans="1:6" s="14" customFormat="1" ht="24.75" customHeight="1" outlineLevel="2" x14ac:dyDescent="0.25">
      <c r="A542" s="57"/>
      <c r="B542" s="61" t="s">
        <v>984</v>
      </c>
      <c r="C542" s="63" t="s">
        <v>10</v>
      </c>
      <c r="D542" s="49">
        <v>0</v>
      </c>
      <c r="E542" s="608">
        <f t="shared" si="8"/>
        <v>0</v>
      </c>
      <c r="F542" s="607"/>
    </row>
    <row r="543" spans="1:6" s="14" customFormat="1" ht="24.75" customHeight="1" outlineLevel="2" x14ac:dyDescent="0.25">
      <c r="A543" s="57"/>
      <c r="B543" s="61" t="s">
        <v>984</v>
      </c>
      <c r="C543" s="63" t="s">
        <v>10</v>
      </c>
      <c r="D543" s="49">
        <v>82.49</v>
      </c>
      <c r="E543" s="608">
        <f t="shared" si="8"/>
        <v>82.49</v>
      </c>
      <c r="F543" s="607"/>
    </row>
    <row r="544" spans="1:6" s="14" customFormat="1" ht="24.75" customHeight="1" outlineLevel="2" x14ac:dyDescent="0.25">
      <c r="A544" s="57"/>
      <c r="B544" s="61" t="s">
        <v>102</v>
      </c>
      <c r="C544" s="62" t="s">
        <v>66</v>
      </c>
      <c r="D544" s="49">
        <v>2.3456999999999999</v>
      </c>
      <c r="E544" s="608">
        <f t="shared" si="8"/>
        <v>2.3456999999999999</v>
      </c>
      <c r="F544" s="607"/>
    </row>
    <row r="545" spans="1:6" s="14" customFormat="1" ht="24.75" customHeight="1" outlineLevel="2" x14ac:dyDescent="0.25">
      <c r="A545" s="57"/>
      <c r="B545" s="64" t="s">
        <v>985</v>
      </c>
      <c r="C545" s="59" t="s">
        <v>134</v>
      </c>
      <c r="D545" s="52">
        <v>1</v>
      </c>
      <c r="E545" s="608">
        <f t="shared" si="8"/>
        <v>1</v>
      </c>
      <c r="F545" s="607"/>
    </row>
    <row r="546" spans="1:6" s="14" customFormat="1" ht="24.75" customHeight="1" outlineLevel="2" x14ac:dyDescent="0.25">
      <c r="A546" s="57"/>
      <c r="B546" s="76" t="s">
        <v>987</v>
      </c>
      <c r="C546" s="62" t="s">
        <v>124</v>
      </c>
      <c r="D546" s="49">
        <v>116.9</v>
      </c>
      <c r="E546" s="608">
        <f t="shared" si="8"/>
        <v>116.9</v>
      </c>
      <c r="F546" s="607"/>
    </row>
    <row r="547" spans="1:6" s="14" customFormat="1" ht="24.75" customHeight="1" outlineLevel="2" x14ac:dyDescent="0.25">
      <c r="A547" s="57"/>
      <c r="B547" s="76" t="s">
        <v>991</v>
      </c>
      <c r="C547" s="62" t="s">
        <v>10</v>
      </c>
      <c r="D547" s="49">
        <v>0.54700000000000004</v>
      </c>
      <c r="E547" s="608">
        <f t="shared" si="8"/>
        <v>0.54700000000000004</v>
      </c>
      <c r="F547" s="607"/>
    </row>
    <row r="548" spans="1:6" s="14" customFormat="1" ht="24.75" customHeight="1" outlineLevel="1" x14ac:dyDescent="0.25">
      <c r="A548" s="77">
        <v>27</v>
      </c>
      <c r="B548" s="78" t="s">
        <v>1044</v>
      </c>
      <c r="C548" s="83" t="s">
        <v>134</v>
      </c>
      <c r="D548" s="54"/>
      <c r="E548" s="608">
        <f t="shared" si="8"/>
        <v>0</v>
      </c>
      <c r="F548" s="607"/>
    </row>
    <row r="549" spans="1:6" s="14" customFormat="1" ht="31.5" customHeight="1" outlineLevel="2" x14ac:dyDescent="0.25">
      <c r="A549" s="57"/>
      <c r="B549" s="76" t="s">
        <v>1045</v>
      </c>
      <c r="C549" s="62" t="s">
        <v>78</v>
      </c>
      <c r="D549" s="49">
        <v>1</v>
      </c>
      <c r="E549" s="608">
        <f t="shared" si="8"/>
        <v>1</v>
      </c>
      <c r="F549" s="607"/>
    </row>
    <row r="550" spans="1:6" s="14" customFormat="1" ht="31.5" customHeight="1" outlineLevel="2" x14ac:dyDescent="0.25">
      <c r="A550" s="57"/>
      <c r="B550" s="76" t="s">
        <v>1046</v>
      </c>
      <c r="C550" s="62" t="s">
        <v>78</v>
      </c>
      <c r="D550" s="49">
        <v>1</v>
      </c>
      <c r="E550" s="608">
        <f t="shared" si="8"/>
        <v>1</v>
      </c>
      <c r="F550" s="607"/>
    </row>
    <row r="551" spans="1:6" s="14" customFormat="1" ht="24.75" customHeight="1" outlineLevel="1" x14ac:dyDescent="0.25">
      <c r="A551" s="57">
        <v>28</v>
      </c>
      <c r="B551" s="58" t="s">
        <v>1047</v>
      </c>
      <c r="C551" s="59" t="s">
        <v>134</v>
      </c>
      <c r="D551" s="49">
        <v>1</v>
      </c>
      <c r="E551" s="608">
        <f t="shared" si="8"/>
        <v>1</v>
      </c>
      <c r="F551" s="607"/>
    </row>
    <row r="552" spans="1:6" s="14" customFormat="1" ht="23.25" customHeight="1" outlineLevel="1" x14ac:dyDescent="0.25">
      <c r="A552" s="57"/>
      <c r="B552" s="76" t="s">
        <v>1048</v>
      </c>
      <c r="C552" s="63" t="s">
        <v>68</v>
      </c>
      <c r="D552" s="49"/>
      <c r="E552" s="608">
        <f t="shared" si="8"/>
        <v>0</v>
      </c>
      <c r="F552" s="607"/>
    </row>
    <row r="553" spans="1:6" s="14" customFormat="1" ht="33.75" customHeight="1" outlineLevel="1" x14ac:dyDescent="0.25">
      <c r="A553" s="57"/>
      <c r="B553" s="76" t="s">
        <v>955</v>
      </c>
      <c r="C553" s="63" t="s">
        <v>66</v>
      </c>
      <c r="D553" s="49"/>
      <c r="E553" s="608">
        <f t="shared" si="8"/>
        <v>0</v>
      </c>
      <c r="F553" s="607"/>
    </row>
    <row r="554" spans="1:6" s="14" customFormat="1" ht="33.75" customHeight="1" outlineLevel="1" x14ac:dyDescent="0.25">
      <c r="A554" s="57"/>
      <c r="B554" s="76" t="s">
        <v>956</v>
      </c>
      <c r="C554" s="62" t="s">
        <v>68</v>
      </c>
      <c r="D554" s="49">
        <v>1035.0999999999999</v>
      </c>
      <c r="E554" s="608">
        <f t="shared" si="8"/>
        <v>1035.0999999999999</v>
      </c>
      <c r="F554" s="607"/>
    </row>
    <row r="555" spans="1:6" s="14" customFormat="1" ht="35.25" customHeight="1" x14ac:dyDescent="0.25">
      <c r="A555" s="73" t="s">
        <v>915</v>
      </c>
      <c r="B555" s="74" t="s">
        <v>921</v>
      </c>
      <c r="C555" s="75"/>
      <c r="D555" s="607"/>
      <c r="E555" s="608">
        <f t="shared" si="8"/>
        <v>0</v>
      </c>
      <c r="F555" s="607"/>
    </row>
    <row r="556" spans="1:6" s="14" customFormat="1" ht="24.75" customHeight="1" outlineLevel="1" x14ac:dyDescent="0.25">
      <c r="A556" s="77">
        <v>1</v>
      </c>
      <c r="B556" s="78" t="s">
        <v>922</v>
      </c>
      <c r="C556" s="591" t="s">
        <v>919</v>
      </c>
      <c r="D556" s="54">
        <v>20</v>
      </c>
      <c r="E556" s="608">
        <f t="shared" si="8"/>
        <v>20</v>
      </c>
      <c r="F556" s="607"/>
    </row>
    <row r="557" spans="1:6" s="14" customFormat="1" ht="24.75" customHeight="1" outlineLevel="2" x14ac:dyDescent="0.25">
      <c r="A557" s="57"/>
      <c r="B557" s="58" t="s">
        <v>923</v>
      </c>
      <c r="C557" s="57" t="s">
        <v>920</v>
      </c>
      <c r="D557" s="52">
        <v>6</v>
      </c>
      <c r="E557" s="608">
        <f t="shared" si="8"/>
        <v>6</v>
      </c>
      <c r="F557" s="607"/>
    </row>
    <row r="558" spans="1:6" s="14" customFormat="1" ht="24.75" customHeight="1" outlineLevel="2" x14ac:dyDescent="0.25">
      <c r="A558" s="57"/>
      <c r="B558" s="76" t="s">
        <v>924</v>
      </c>
      <c r="C558" s="62" t="s">
        <v>77</v>
      </c>
      <c r="D558" s="49">
        <v>10.91268</v>
      </c>
      <c r="E558" s="608">
        <f t="shared" si="8"/>
        <v>10.91268</v>
      </c>
      <c r="F558" s="607"/>
    </row>
    <row r="559" spans="1:6" s="14" customFormat="1" ht="24.75" customHeight="1" outlineLevel="2" x14ac:dyDescent="0.25">
      <c r="A559" s="57"/>
      <c r="B559" s="76" t="s">
        <v>925</v>
      </c>
      <c r="C559" s="62" t="s">
        <v>124</v>
      </c>
      <c r="D559" s="49">
        <v>1042.32</v>
      </c>
      <c r="E559" s="608">
        <f t="shared" si="8"/>
        <v>1042.32</v>
      </c>
      <c r="F559" s="607"/>
    </row>
    <row r="560" spans="1:6" s="14" customFormat="1" ht="24.75" customHeight="1" outlineLevel="2" x14ac:dyDescent="0.25">
      <c r="A560" s="77"/>
      <c r="B560" s="84" t="s">
        <v>916</v>
      </c>
      <c r="C560" s="80" t="s">
        <v>78</v>
      </c>
      <c r="D560" s="55">
        <v>60</v>
      </c>
      <c r="E560" s="608">
        <f t="shared" si="8"/>
        <v>60</v>
      </c>
      <c r="F560" s="607"/>
    </row>
    <row r="561" spans="1:6" s="14" customFormat="1" ht="24.75" customHeight="1" outlineLevel="2" x14ac:dyDescent="0.25">
      <c r="A561" s="57"/>
      <c r="B561" s="76" t="s">
        <v>926</v>
      </c>
      <c r="C561" s="62" t="s">
        <v>77</v>
      </c>
      <c r="D561" s="49">
        <v>0.86399999999999999</v>
      </c>
      <c r="E561" s="608">
        <f t="shared" si="8"/>
        <v>0.86399999999999999</v>
      </c>
      <c r="F561" s="607"/>
    </row>
    <row r="562" spans="1:6" s="14" customFormat="1" ht="24.75" customHeight="1" outlineLevel="2" x14ac:dyDescent="0.25">
      <c r="A562" s="57"/>
      <c r="B562" s="76" t="s">
        <v>927</v>
      </c>
      <c r="C562" s="62" t="s">
        <v>77</v>
      </c>
      <c r="D562" s="49">
        <v>0.12251999999999999</v>
      </c>
      <c r="E562" s="608">
        <f t="shared" si="8"/>
        <v>0.12251999999999999</v>
      </c>
      <c r="F562" s="607"/>
    </row>
    <row r="563" spans="1:6" s="14" customFormat="1" ht="24.75" customHeight="1" outlineLevel="2" x14ac:dyDescent="0.25">
      <c r="A563" s="57"/>
      <c r="B563" s="76" t="s">
        <v>928</v>
      </c>
      <c r="C563" s="62" t="s">
        <v>77</v>
      </c>
      <c r="D563" s="49">
        <v>13.805459999999998</v>
      </c>
      <c r="E563" s="608">
        <f t="shared" si="8"/>
        <v>13.805459999999998</v>
      </c>
      <c r="F563" s="607"/>
    </row>
    <row r="564" spans="1:6" s="14" customFormat="1" ht="24.75" customHeight="1" outlineLevel="2" x14ac:dyDescent="0.25">
      <c r="A564" s="57"/>
      <c r="B564" s="76" t="s">
        <v>929</v>
      </c>
      <c r="C564" s="62" t="s">
        <v>77</v>
      </c>
      <c r="D564" s="49">
        <v>12.20166</v>
      </c>
      <c r="E564" s="608">
        <f t="shared" si="8"/>
        <v>12.20166</v>
      </c>
      <c r="F564" s="607"/>
    </row>
    <row r="565" spans="1:6" s="14" customFormat="1" ht="24.75" customHeight="1" outlineLevel="2" x14ac:dyDescent="0.25">
      <c r="A565" s="57"/>
      <c r="B565" s="76" t="s">
        <v>930</v>
      </c>
      <c r="C565" s="62" t="s">
        <v>77</v>
      </c>
      <c r="D565" s="49">
        <v>0.35399999999999998</v>
      </c>
      <c r="E565" s="608">
        <f t="shared" si="8"/>
        <v>0.35399999999999998</v>
      </c>
      <c r="F565" s="607"/>
    </row>
    <row r="566" spans="1:6" s="14" customFormat="1" ht="24.75" customHeight="1" outlineLevel="2" x14ac:dyDescent="0.25">
      <c r="A566" s="57"/>
      <c r="B566" s="76" t="s">
        <v>931</v>
      </c>
      <c r="C566" s="63" t="s">
        <v>10</v>
      </c>
      <c r="D566" s="49">
        <v>158.46</v>
      </c>
      <c r="E566" s="608">
        <f t="shared" si="8"/>
        <v>158.46</v>
      </c>
      <c r="F566" s="607"/>
    </row>
    <row r="567" spans="1:6" s="14" customFormat="1" ht="24.75" customHeight="1" outlineLevel="2" x14ac:dyDescent="0.25">
      <c r="A567" s="57"/>
      <c r="B567" s="76" t="s">
        <v>932</v>
      </c>
      <c r="C567" s="62" t="s">
        <v>10</v>
      </c>
      <c r="D567" s="49">
        <v>3.9</v>
      </c>
      <c r="E567" s="608">
        <f t="shared" si="8"/>
        <v>3.9</v>
      </c>
      <c r="F567" s="607"/>
    </row>
    <row r="568" spans="1:6" s="14" customFormat="1" ht="24.75" customHeight="1" outlineLevel="2" x14ac:dyDescent="0.25">
      <c r="A568" s="57"/>
      <c r="B568" s="76" t="s">
        <v>102</v>
      </c>
      <c r="C568" s="62" t="s">
        <v>68</v>
      </c>
      <c r="D568" s="49">
        <v>1054.6199999999999</v>
      </c>
      <c r="E568" s="608">
        <f t="shared" si="8"/>
        <v>1054.6199999999999</v>
      </c>
      <c r="F568" s="607"/>
    </row>
    <row r="569" spans="1:6" s="14" customFormat="1" ht="24.75" customHeight="1" outlineLevel="2" x14ac:dyDescent="0.25">
      <c r="A569" s="57"/>
      <c r="B569" s="58" t="s">
        <v>933</v>
      </c>
      <c r="C569" s="57" t="s">
        <v>920</v>
      </c>
      <c r="D569" s="52">
        <v>4</v>
      </c>
      <c r="E569" s="608">
        <f t="shared" si="8"/>
        <v>4</v>
      </c>
      <c r="F569" s="607"/>
    </row>
    <row r="570" spans="1:6" s="14" customFormat="1" ht="24.75" customHeight="1" outlineLevel="2" x14ac:dyDescent="0.25">
      <c r="A570" s="57"/>
      <c r="B570" s="76" t="s">
        <v>924</v>
      </c>
      <c r="C570" s="62" t="s">
        <v>77</v>
      </c>
      <c r="D570" s="49">
        <v>7.2751200000000003</v>
      </c>
      <c r="E570" s="608">
        <f t="shared" si="8"/>
        <v>7.2751200000000003</v>
      </c>
      <c r="F570" s="607"/>
    </row>
    <row r="571" spans="1:6" s="14" customFormat="1" ht="24.75" customHeight="1" outlineLevel="2" x14ac:dyDescent="0.25">
      <c r="A571" s="57"/>
      <c r="B571" s="76" t="s">
        <v>925</v>
      </c>
      <c r="C571" s="62" t="s">
        <v>124</v>
      </c>
      <c r="D571" s="49">
        <v>694.88</v>
      </c>
      <c r="E571" s="608">
        <f t="shared" si="8"/>
        <v>694.88</v>
      </c>
      <c r="F571" s="607"/>
    </row>
    <row r="572" spans="1:6" s="14" customFormat="1" ht="24.75" customHeight="1" outlineLevel="2" x14ac:dyDescent="0.25">
      <c r="A572" s="77"/>
      <c r="B572" s="84" t="s">
        <v>916</v>
      </c>
      <c r="C572" s="80" t="s">
        <v>78</v>
      </c>
      <c r="D572" s="55">
        <v>40</v>
      </c>
      <c r="E572" s="608">
        <f t="shared" si="8"/>
        <v>40</v>
      </c>
      <c r="F572" s="607"/>
    </row>
    <row r="573" spans="1:6" s="14" customFormat="1" ht="24.75" customHeight="1" outlineLevel="2" x14ac:dyDescent="0.25">
      <c r="A573" s="57"/>
      <c r="B573" s="76" t="s">
        <v>926</v>
      </c>
      <c r="C573" s="62" t="s">
        <v>77</v>
      </c>
      <c r="D573" s="49">
        <v>0.57599999999999996</v>
      </c>
      <c r="E573" s="608">
        <f t="shared" si="8"/>
        <v>0.57599999999999996</v>
      </c>
      <c r="F573" s="607"/>
    </row>
    <row r="574" spans="1:6" s="14" customFormat="1" ht="24.75" customHeight="1" outlineLevel="2" x14ac:dyDescent="0.25">
      <c r="A574" s="57"/>
      <c r="B574" s="76" t="s">
        <v>927</v>
      </c>
      <c r="C574" s="62" t="s">
        <v>77</v>
      </c>
      <c r="D574" s="49">
        <v>8.1680000000000003E-2</v>
      </c>
      <c r="E574" s="608">
        <f t="shared" si="8"/>
        <v>8.1680000000000003E-2</v>
      </c>
      <c r="F574" s="607"/>
    </row>
    <row r="575" spans="1:6" s="14" customFormat="1" ht="24.75" customHeight="1" outlineLevel="2" x14ac:dyDescent="0.25">
      <c r="A575" s="57"/>
      <c r="B575" s="76" t="s">
        <v>928</v>
      </c>
      <c r="C575" s="62" t="s">
        <v>77</v>
      </c>
      <c r="D575" s="49">
        <v>9.20364</v>
      </c>
      <c r="E575" s="608">
        <f t="shared" si="8"/>
        <v>9.20364</v>
      </c>
      <c r="F575" s="607"/>
    </row>
    <row r="576" spans="1:6" s="14" customFormat="1" ht="24.75" customHeight="1" outlineLevel="2" x14ac:dyDescent="0.25">
      <c r="A576" s="57"/>
      <c r="B576" s="76" t="s">
        <v>929</v>
      </c>
      <c r="C576" s="62" t="s">
        <v>77</v>
      </c>
      <c r="D576" s="49">
        <v>7.8911199999999999</v>
      </c>
      <c r="E576" s="608">
        <f t="shared" si="8"/>
        <v>7.8911199999999999</v>
      </c>
      <c r="F576" s="607"/>
    </row>
    <row r="577" spans="1:6" s="14" customFormat="1" ht="24.75" customHeight="1" outlineLevel="2" x14ac:dyDescent="0.25">
      <c r="A577" s="57"/>
      <c r="B577" s="76" t="s">
        <v>930</v>
      </c>
      <c r="C577" s="62" t="s">
        <v>77</v>
      </c>
      <c r="D577" s="49">
        <v>0.15736</v>
      </c>
      <c r="E577" s="608">
        <f t="shared" si="8"/>
        <v>0.15736</v>
      </c>
      <c r="F577" s="607"/>
    </row>
    <row r="578" spans="1:6" s="14" customFormat="1" ht="24.75" customHeight="1" outlineLevel="2" x14ac:dyDescent="0.25">
      <c r="A578" s="57"/>
      <c r="B578" s="76" t="s">
        <v>931</v>
      </c>
      <c r="C578" s="63" t="s">
        <v>10</v>
      </c>
      <c r="D578" s="49">
        <v>105.64</v>
      </c>
      <c r="E578" s="608">
        <f t="shared" si="8"/>
        <v>105.64</v>
      </c>
      <c r="F578" s="607"/>
    </row>
    <row r="579" spans="1:6" s="14" customFormat="1" ht="24.75" customHeight="1" outlineLevel="2" x14ac:dyDescent="0.25">
      <c r="A579" s="57"/>
      <c r="B579" s="76" t="s">
        <v>932</v>
      </c>
      <c r="C579" s="62" t="s">
        <v>10</v>
      </c>
      <c r="D579" s="49">
        <v>2.6</v>
      </c>
      <c r="E579" s="608">
        <f t="shared" si="8"/>
        <v>2.6</v>
      </c>
      <c r="F579" s="607"/>
    </row>
    <row r="580" spans="1:6" s="14" customFormat="1" ht="24.75" customHeight="1" outlineLevel="2" x14ac:dyDescent="0.25">
      <c r="A580" s="57"/>
      <c r="B580" s="76" t="s">
        <v>102</v>
      </c>
      <c r="C580" s="62" t="s">
        <v>68</v>
      </c>
      <c r="D580" s="49">
        <v>703.08</v>
      </c>
      <c r="E580" s="608">
        <f t="shared" si="8"/>
        <v>703.08</v>
      </c>
      <c r="F580" s="607"/>
    </row>
    <row r="581" spans="1:6" s="14" customFormat="1" ht="24.75" customHeight="1" outlineLevel="2" x14ac:dyDescent="0.25">
      <c r="A581" s="57"/>
      <c r="B581" s="58" t="s">
        <v>934</v>
      </c>
      <c r="C581" s="57" t="s">
        <v>920</v>
      </c>
      <c r="D581" s="52">
        <v>6</v>
      </c>
      <c r="E581" s="608">
        <f t="shared" si="8"/>
        <v>6</v>
      </c>
      <c r="F581" s="607"/>
    </row>
    <row r="582" spans="1:6" s="14" customFormat="1" ht="24.75" customHeight="1" outlineLevel="2" x14ac:dyDescent="0.25">
      <c r="A582" s="57"/>
      <c r="B582" s="76" t="s">
        <v>924</v>
      </c>
      <c r="C582" s="62" t="s">
        <v>77</v>
      </c>
      <c r="D582" s="49">
        <v>10.91268</v>
      </c>
      <c r="E582" s="608">
        <f t="shared" si="8"/>
        <v>10.91268</v>
      </c>
      <c r="F582" s="607"/>
    </row>
    <row r="583" spans="1:6" s="14" customFormat="1" ht="24.75" customHeight="1" outlineLevel="2" x14ac:dyDescent="0.25">
      <c r="A583" s="57"/>
      <c r="B583" s="76" t="s">
        <v>925</v>
      </c>
      <c r="C583" s="62" t="s">
        <v>124</v>
      </c>
      <c r="D583" s="49">
        <v>1042.32</v>
      </c>
      <c r="E583" s="608">
        <f t="shared" si="8"/>
        <v>1042.32</v>
      </c>
      <c r="F583" s="607"/>
    </row>
    <row r="584" spans="1:6" s="14" customFormat="1" ht="24.75" customHeight="1" outlineLevel="2" x14ac:dyDescent="0.25">
      <c r="A584" s="77"/>
      <c r="B584" s="84" t="s">
        <v>916</v>
      </c>
      <c r="C584" s="80" t="s">
        <v>78</v>
      </c>
      <c r="D584" s="55">
        <v>60</v>
      </c>
      <c r="E584" s="608">
        <f t="shared" si="8"/>
        <v>60</v>
      </c>
      <c r="F584" s="607"/>
    </row>
    <row r="585" spans="1:6" s="14" customFormat="1" ht="24.75" customHeight="1" outlineLevel="2" x14ac:dyDescent="0.25">
      <c r="A585" s="57"/>
      <c r="B585" s="76" t="s">
        <v>926</v>
      </c>
      <c r="C585" s="62" t="s">
        <v>77</v>
      </c>
      <c r="D585" s="49">
        <v>0.86399999999999999</v>
      </c>
      <c r="E585" s="608">
        <f t="shared" si="8"/>
        <v>0.86399999999999999</v>
      </c>
      <c r="F585" s="607"/>
    </row>
    <row r="586" spans="1:6" s="14" customFormat="1" ht="24.75" customHeight="1" outlineLevel="2" x14ac:dyDescent="0.25">
      <c r="A586" s="57"/>
      <c r="B586" s="76" t="s">
        <v>927</v>
      </c>
      <c r="C586" s="62" t="s">
        <v>77</v>
      </c>
      <c r="D586" s="49">
        <v>0.12251999999999999</v>
      </c>
      <c r="E586" s="608">
        <f t="shared" si="8"/>
        <v>0.12251999999999999</v>
      </c>
      <c r="F586" s="607"/>
    </row>
    <row r="587" spans="1:6" s="14" customFormat="1" ht="24.75" customHeight="1" outlineLevel="2" x14ac:dyDescent="0.25">
      <c r="A587" s="57"/>
      <c r="B587" s="76" t="s">
        <v>928</v>
      </c>
      <c r="C587" s="62" t="s">
        <v>77</v>
      </c>
      <c r="D587" s="49">
        <v>13.805459999999998</v>
      </c>
      <c r="E587" s="608">
        <f t="shared" si="8"/>
        <v>13.805459999999998</v>
      </c>
      <c r="F587" s="607"/>
    </row>
    <row r="588" spans="1:6" s="14" customFormat="1" ht="24.75" customHeight="1" outlineLevel="2" x14ac:dyDescent="0.25">
      <c r="A588" s="57"/>
      <c r="B588" s="76" t="s">
        <v>929</v>
      </c>
      <c r="C588" s="62" t="s">
        <v>77</v>
      </c>
      <c r="D588" s="49">
        <v>12.114180000000001</v>
      </c>
      <c r="E588" s="608">
        <f t="shared" si="8"/>
        <v>12.114180000000001</v>
      </c>
      <c r="F588" s="607"/>
    </row>
    <row r="589" spans="1:6" s="14" customFormat="1" ht="24.75" customHeight="1" outlineLevel="2" x14ac:dyDescent="0.25">
      <c r="A589" s="57"/>
      <c r="B589" s="76" t="s">
        <v>930</v>
      </c>
      <c r="C589" s="62" t="s">
        <v>77</v>
      </c>
      <c r="D589" s="49">
        <v>0.35399999999999998</v>
      </c>
      <c r="E589" s="608">
        <f t="shared" si="8"/>
        <v>0.35399999999999998</v>
      </c>
      <c r="F589" s="607"/>
    </row>
    <row r="590" spans="1:6" s="14" customFormat="1" ht="24.75" customHeight="1" outlineLevel="2" x14ac:dyDescent="0.25">
      <c r="A590" s="57"/>
      <c r="B590" s="76" t="s">
        <v>931</v>
      </c>
      <c r="C590" s="63" t="s">
        <v>10</v>
      </c>
      <c r="D590" s="49">
        <v>158.46</v>
      </c>
      <c r="E590" s="608">
        <f t="shared" si="8"/>
        <v>158.46</v>
      </c>
      <c r="F590" s="607"/>
    </row>
    <row r="591" spans="1:6" s="14" customFormat="1" ht="24.75" customHeight="1" outlineLevel="2" x14ac:dyDescent="0.25">
      <c r="A591" s="57"/>
      <c r="B591" s="76" t="s">
        <v>932</v>
      </c>
      <c r="C591" s="62" t="s">
        <v>10</v>
      </c>
      <c r="D591" s="49">
        <v>3.9</v>
      </c>
      <c r="E591" s="608">
        <f t="shared" si="8"/>
        <v>3.9</v>
      </c>
      <c r="F591" s="607"/>
    </row>
    <row r="592" spans="1:6" s="14" customFormat="1" ht="24.75" customHeight="1" outlineLevel="2" x14ac:dyDescent="0.25">
      <c r="A592" s="57"/>
      <c r="B592" s="76" t="s">
        <v>102</v>
      </c>
      <c r="C592" s="62" t="s">
        <v>68</v>
      </c>
      <c r="D592" s="49">
        <v>1054.6199999999999</v>
      </c>
      <c r="E592" s="608">
        <f t="shared" si="8"/>
        <v>1054.6199999999999</v>
      </c>
      <c r="F592" s="607"/>
    </row>
    <row r="593" spans="1:6" s="14" customFormat="1" ht="24.75" customHeight="1" outlineLevel="2" x14ac:dyDescent="0.25">
      <c r="A593" s="57"/>
      <c r="B593" s="58" t="s">
        <v>935</v>
      </c>
      <c r="C593" s="57" t="s">
        <v>920</v>
      </c>
      <c r="D593" s="52">
        <v>4</v>
      </c>
      <c r="E593" s="608">
        <f t="shared" ref="E593:E656" si="9">D593</f>
        <v>4</v>
      </c>
      <c r="F593" s="607"/>
    </row>
    <row r="594" spans="1:6" s="14" customFormat="1" ht="24.75" customHeight="1" outlineLevel="2" x14ac:dyDescent="0.25">
      <c r="A594" s="57"/>
      <c r="B594" s="76" t="s">
        <v>924</v>
      </c>
      <c r="C594" s="62" t="s">
        <v>77</v>
      </c>
      <c r="D594" s="49">
        <v>7.2751200000000003</v>
      </c>
      <c r="E594" s="608">
        <f t="shared" si="9"/>
        <v>7.2751200000000003</v>
      </c>
      <c r="F594" s="607"/>
    </row>
    <row r="595" spans="1:6" s="14" customFormat="1" ht="24.75" customHeight="1" outlineLevel="2" x14ac:dyDescent="0.25">
      <c r="A595" s="57"/>
      <c r="B595" s="76" t="s">
        <v>925</v>
      </c>
      <c r="C595" s="62" t="s">
        <v>124</v>
      </c>
      <c r="D595" s="49">
        <v>694.88</v>
      </c>
      <c r="E595" s="608">
        <f t="shared" si="9"/>
        <v>694.88</v>
      </c>
      <c r="F595" s="607"/>
    </row>
    <row r="596" spans="1:6" s="14" customFormat="1" ht="24.75" customHeight="1" outlineLevel="2" x14ac:dyDescent="0.25">
      <c r="A596" s="77"/>
      <c r="B596" s="84" t="s">
        <v>916</v>
      </c>
      <c r="C596" s="80" t="s">
        <v>78</v>
      </c>
      <c r="D596" s="55">
        <v>40</v>
      </c>
      <c r="E596" s="608">
        <f t="shared" si="9"/>
        <v>40</v>
      </c>
      <c r="F596" s="607"/>
    </row>
    <row r="597" spans="1:6" s="14" customFormat="1" ht="24.75" customHeight="1" outlineLevel="2" x14ac:dyDescent="0.25">
      <c r="A597" s="57"/>
      <c r="B597" s="76" t="s">
        <v>926</v>
      </c>
      <c r="C597" s="62" t="s">
        <v>77</v>
      </c>
      <c r="D597" s="49">
        <v>0.57599999999999996</v>
      </c>
      <c r="E597" s="608">
        <f t="shared" si="9"/>
        <v>0.57599999999999996</v>
      </c>
      <c r="F597" s="607"/>
    </row>
    <row r="598" spans="1:6" s="14" customFormat="1" ht="24.75" customHeight="1" outlineLevel="2" x14ac:dyDescent="0.25">
      <c r="A598" s="57"/>
      <c r="B598" s="76" t="s">
        <v>927</v>
      </c>
      <c r="C598" s="62" t="s">
        <v>77</v>
      </c>
      <c r="D598" s="49">
        <v>8.1680000000000003E-2</v>
      </c>
      <c r="E598" s="608">
        <f t="shared" si="9"/>
        <v>8.1680000000000003E-2</v>
      </c>
      <c r="F598" s="607"/>
    </row>
    <row r="599" spans="1:6" s="14" customFormat="1" ht="24.75" customHeight="1" outlineLevel="2" x14ac:dyDescent="0.25">
      <c r="A599" s="57"/>
      <c r="B599" s="76" t="s">
        <v>928</v>
      </c>
      <c r="C599" s="62" t="s">
        <v>77</v>
      </c>
      <c r="D599" s="49">
        <v>9.20364</v>
      </c>
      <c r="E599" s="608">
        <f t="shared" si="9"/>
        <v>9.20364</v>
      </c>
      <c r="F599" s="607"/>
    </row>
    <row r="600" spans="1:6" s="14" customFormat="1" ht="24.75" customHeight="1" outlineLevel="2" x14ac:dyDescent="0.25">
      <c r="A600" s="57"/>
      <c r="B600" s="76" t="s">
        <v>929</v>
      </c>
      <c r="C600" s="62" t="s">
        <v>77</v>
      </c>
      <c r="D600" s="49">
        <v>8.0761199999999995</v>
      </c>
      <c r="E600" s="608">
        <f t="shared" si="9"/>
        <v>8.0761199999999995</v>
      </c>
      <c r="F600" s="607"/>
    </row>
    <row r="601" spans="1:6" s="14" customFormat="1" ht="24.75" customHeight="1" outlineLevel="2" x14ac:dyDescent="0.25">
      <c r="A601" s="57"/>
      <c r="B601" s="76" t="s">
        <v>930</v>
      </c>
      <c r="C601" s="62" t="s">
        <v>77</v>
      </c>
      <c r="D601" s="49">
        <v>0.15736</v>
      </c>
      <c r="E601" s="608">
        <f t="shared" si="9"/>
        <v>0.15736</v>
      </c>
      <c r="F601" s="607"/>
    </row>
    <row r="602" spans="1:6" s="14" customFormat="1" ht="24.75" customHeight="1" outlineLevel="2" x14ac:dyDescent="0.25">
      <c r="A602" s="57"/>
      <c r="B602" s="76" t="s">
        <v>931</v>
      </c>
      <c r="C602" s="63" t="s">
        <v>10</v>
      </c>
      <c r="D602" s="49">
        <v>105.64</v>
      </c>
      <c r="E602" s="608">
        <f t="shared" si="9"/>
        <v>105.64</v>
      </c>
      <c r="F602" s="607"/>
    </row>
    <row r="603" spans="1:6" s="14" customFormat="1" ht="24.75" customHeight="1" outlineLevel="2" x14ac:dyDescent="0.25">
      <c r="A603" s="57"/>
      <c r="B603" s="76" t="s">
        <v>932</v>
      </c>
      <c r="C603" s="62" t="s">
        <v>10</v>
      </c>
      <c r="D603" s="49">
        <v>2.6</v>
      </c>
      <c r="E603" s="608">
        <f t="shared" si="9"/>
        <v>2.6</v>
      </c>
      <c r="F603" s="607"/>
    </row>
    <row r="604" spans="1:6" s="14" customFormat="1" ht="24.75" customHeight="1" outlineLevel="2" x14ac:dyDescent="0.25">
      <c r="A604" s="57"/>
      <c r="B604" s="76" t="s">
        <v>102</v>
      </c>
      <c r="C604" s="62" t="s">
        <v>68</v>
      </c>
      <c r="D604" s="49">
        <v>703.08</v>
      </c>
      <c r="E604" s="608">
        <f t="shared" si="9"/>
        <v>703.08</v>
      </c>
      <c r="F604" s="607"/>
    </row>
    <row r="605" spans="1:6" s="14" customFormat="1" ht="24.75" customHeight="1" outlineLevel="1" x14ac:dyDescent="0.25">
      <c r="A605" s="77">
        <v>2</v>
      </c>
      <c r="B605" s="78" t="s">
        <v>936</v>
      </c>
      <c r="C605" s="77" t="s">
        <v>331</v>
      </c>
      <c r="D605" s="54">
        <v>40</v>
      </c>
      <c r="E605" s="608">
        <f t="shared" si="9"/>
        <v>40</v>
      </c>
      <c r="F605" s="607"/>
    </row>
    <row r="606" spans="1:6" s="14" customFormat="1" ht="24.75" customHeight="1" outlineLevel="2" x14ac:dyDescent="0.25">
      <c r="A606" s="77"/>
      <c r="B606" s="84" t="s">
        <v>90</v>
      </c>
      <c r="C606" s="80" t="s">
        <v>77</v>
      </c>
      <c r="D606" s="55">
        <v>2.512</v>
      </c>
      <c r="E606" s="608">
        <f t="shared" si="9"/>
        <v>2.512</v>
      </c>
      <c r="F606" s="607"/>
    </row>
    <row r="607" spans="1:6" s="14" customFormat="1" ht="24.75" customHeight="1" outlineLevel="2" x14ac:dyDescent="0.25">
      <c r="A607" s="57"/>
      <c r="B607" s="76" t="s">
        <v>917</v>
      </c>
      <c r="C607" s="62" t="s">
        <v>68</v>
      </c>
      <c r="D607" s="49">
        <v>8</v>
      </c>
      <c r="E607" s="608">
        <f t="shared" si="9"/>
        <v>8</v>
      </c>
      <c r="F607" s="607"/>
    </row>
    <row r="608" spans="1:6" s="14" customFormat="1" ht="24.75" customHeight="1" outlineLevel="1" x14ac:dyDescent="0.25">
      <c r="A608" s="57">
        <v>3</v>
      </c>
      <c r="B608" s="58" t="s">
        <v>937</v>
      </c>
      <c r="C608" s="59" t="s">
        <v>134</v>
      </c>
      <c r="D608" s="52">
        <v>1</v>
      </c>
      <c r="E608" s="608">
        <f t="shared" si="9"/>
        <v>1</v>
      </c>
      <c r="F608" s="607"/>
    </row>
    <row r="609" spans="1:6" s="14" customFormat="1" ht="24.75" customHeight="1" outlineLevel="2" x14ac:dyDescent="0.25">
      <c r="A609" s="57"/>
      <c r="B609" s="76" t="s">
        <v>938</v>
      </c>
      <c r="C609" s="62" t="s">
        <v>78</v>
      </c>
      <c r="D609" s="49">
        <v>20</v>
      </c>
      <c r="E609" s="608">
        <f t="shared" si="9"/>
        <v>20</v>
      </c>
      <c r="F609" s="607"/>
    </row>
    <row r="610" spans="1:6" s="14" customFormat="1" ht="24.75" customHeight="1" outlineLevel="2" x14ac:dyDescent="0.25">
      <c r="A610" s="57"/>
      <c r="B610" s="76" t="s">
        <v>939</v>
      </c>
      <c r="C610" s="62" t="s">
        <v>78</v>
      </c>
      <c r="D610" s="49">
        <v>20</v>
      </c>
      <c r="E610" s="608">
        <f t="shared" si="9"/>
        <v>20</v>
      </c>
      <c r="F610" s="607"/>
    </row>
    <row r="611" spans="1:6" s="14" customFormat="1" ht="24.75" customHeight="1" outlineLevel="1" x14ac:dyDescent="0.25">
      <c r="A611" s="57">
        <v>4</v>
      </c>
      <c r="B611" s="58" t="s">
        <v>940</v>
      </c>
      <c r="C611" s="57" t="s">
        <v>920</v>
      </c>
      <c r="D611" s="52">
        <v>80</v>
      </c>
      <c r="E611" s="608">
        <f t="shared" si="9"/>
        <v>80</v>
      </c>
      <c r="F611" s="607"/>
    </row>
    <row r="612" spans="1:6" s="14" customFormat="1" ht="24.75" customHeight="1" outlineLevel="2" x14ac:dyDescent="0.25">
      <c r="A612" s="57"/>
      <c r="B612" s="76" t="s">
        <v>941</v>
      </c>
      <c r="C612" s="62" t="s">
        <v>77</v>
      </c>
      <c r="D612" s="49">
        <v>0.10543999999999999</v>
      </c>
      <c r="E612" s="608">
        <f t="shared" si="9"/>
        <v>0.10543999999999999</v>
      </c>
      <c r="F612" s="607"/>
    </row>
    <row r="613" spans="1:6" s="14" customFormat="1" ht="24.75" customHeight="1" outlineLevel="2" x14ac:dyDescent="0.25">
      <c r="A613" s="57"/>
      <c r="B613" s="76" t="s">
        <v>927</v>
      </c>
      <c r="C613" s="62" t="s">
        <v>77</v>
      </c>
      <c r="D613" s="49">
        <v>2.3313600000000001</v>
      </c>
      <c r="E613" s="608">
        <f t="shared" si="9"/>
        <v>2.3313600000000001</v>
      </c>
      <c r="F613" s="607"/>
    </row>
    <row r="614" spans="1:6" s="14" customFormat="1" ht="24.75" customHeight="1" outlineLevel="2" x14ac:dyDescent="0.25">
      <c r="A614" s="57"/>
      <c r="B614" s="76" t="s">
        <v>929</v>
      </c>
      <c r="C614" s="62" t="s">
        <v>77</v>
      </c>
      <c r="D614" s="49">
        <v>2.92</v>
      </c>
      <c r="E614" s="608">
        <f t="shared" si="9"/>
        <v>2.92</v>
      </c>
      <c r="F614" s="607"/>
    </row>
    <row r="615" spans="1:6" s="14" customFormat="1" ht="24.75" customHeight="1" outlineLevel="2" x14ac:dyDescent="0.25">
      <c r="A615" s="57"/>
      <c r="B615" s="76" t="s">
        <v>930</v>
      </c>
      <c r="C615" s="62" t="s">
        <v>77</v>
      </c>
      <c r="D615" s="49">
        <v>0.94384000000000001</v>
      </c>
      <c r="E615" s="608">
        <f t="shared" si="9"/>
        <v>0.94384000000000001</v>
      </c>
      <c r="F615" s="607"/>
    </row>
    <row r="616" spans="1:6" s="14" customFormat="1" ht="24.75" customHeight="1" outlineLevel="2" x14ac:dyDescent="0.25">
      <c r="A616" s="57"/>
      <c r="B616" s="76" t="s">
        <v>106</v>
      </c>
      <c r="C616" s="63" t="s">
        <v>10</v>
      </c>
      <c r="D616" s="49">
        <v>58.24</v>
      </c>
      <c r="E616" s="608">
        <f t="shared" si="9"/>
        <v>58.24</v>
      </c>
      <c r="F616" s="607"/>
    </row>
    <row r="617" spans="1:6" s="14" customFormat="1" ht="24.75" customHeight="1" outlineLevel="2" x14ac:dyDescent="0.25">
      <c r="A617" s="57"/>
      <c r="B617" s="76" t="s">
        <v>102</v>
      </c>
      <c r="C617" s="62" t="s">
        <v>68</v>
      </c>
      <c r="D617" s="49">
        <v>459.2</v>
      </c>
      <c r="E617" s="608">
        <f t="shared" si="9"/>
        <v>459.2</v>
      </c>
      <c r="F617" s="607"/>
    </row>
    <row r="618" spans="1:6" s="14" customFormat="1" ht="24.75" customHeight="1" outlineLevel="1" x14ac:dyDescent="0.25">
      <c r="A618" s="57">
        <v>5</v>
      </c>
      <c r="B618" s="58" t="s">
        <v>942</v>
      </c>
      <c r="C618" s="57" t="s">
        <v>331</v>
      </c>
      <c r="D618" s="52">
        <v>544</v>
      </c>
      <c r="E618" s="608">
        <f t="shared" si="9"/>
        <v>544</v>
      </c>
      <c r="F618" s="607"/>
    </row>
    <row r="619" spans="1:6" s="14" customFormat="1" ht="24.75" customHeight="1" outlineLevel="2" x14ac:dyDescent="0.25">
      <c r="A619" s="57"/>
      <c r="B619" s="76" t="s">
        <v>941</v>
      </c>
      <c r="C619" s="62" t="s">
        <v>77</v>
      </c>
      <c r="D619" s="49">
        <v>0.81823999999999997</v>
      </c>
      <c r="E619" s="608">
        <f t="shared" si="9"/>
        <v>0.81823999999999997</v>
      </c>
      <c r="F619" s="607"/>
    </row>
    <row r="620" spans="1:6" s="14" customFormat="1" ht="24.75" customHeight="1" outlineLevel="2" x14ac:dyDescent="0.25">
      <c r="A620" s="57"/>
      <c r="B620" s="76" t="s">
        <v>927</v>
      </c>
      <c r="C620" s="62" t="s">
        <v>77</v>
      </c>
      <c r="D620" s="49">
        <v>10.3408</v>
      </c>
      <c r="E620" s="608">
        <f t="shared" si="9"/>
        <v>10.3408</v>
      </c>
      <c r="F620" s="607"/>
    </row>
    <row r="621" spans="1:6" s="14" customFormat="1" ht="24.75" customHeight="1" outlineLevel="2" x14ac:dyDescent="0.25">
      <c r="A621" s="57"/>
      <c r="B621" s="76" t="s">
        <v>943</v>
      </c>
      <c r="C621" s="63" t="s">
        <v>10</v>
      </c>
      <c r="D621" s="49">
        <v>75.2</v>
      </c>
      <c r="E621" s="608">
        <f t="shared" si="9"/>
        <v>75.2</v>
      </c>
      <c r="F621" s="607"/>
    </row>
    <row r="622" spans="1:6" s="14" customFormat="1" ht="24.75" customHeight="1" outlineLevel="2" x14ac:dyDescent="0.25">
      <c r="A622" s="57"/>
      <c r="B622" s="76" t="s">
        <v>102</v>
      </c>
      <c r="C622" s="62" t="s">
        <v>66</v>
      </c>
      <c r="D622" s="49">
        <v>2.3464</v>
      </c>
      <c r="E622" s="608">
        <f t="shared" si="9"/>
        <v>2.3464</v>
      </c>
      <c r="F622" s="607"/>
    </row>
    <row r="623" spans="1:6" s="14" customFormat="1" ht="24.75" customHeight="1" outlineLevel="1" x14ac:dyDescent="0.25">
      <c r="A623" s="77">
        <v>6</v>
      </c>
      <c r="B623" s="78" t="s">
        <v>944</v>
      </c>
      <c r="C623" s="83"/>
      <c r="D623" s="55"/>
      <c r="E623" s="608">
        <f t="shared" si="9"/>
        <v>0</v>
      </c>
      <c r="F623" s="607"/>
    </row>
    <row r="624" spans="1:6" s="14" customFormat="1" ht="24.75" customHeight="1" outlineLevel="2" x14ac:dyDescent="0.25">
      <c r="A624" s="57"/>
      <c r="B624" s="58" t="s">
        <v>945</v>
      </c>
      <c r="C624" s="59" t="s">
        <v>134</v>
      </c>
      <c r="D624" s="52">
        <v>1</v>
      </c>
      <c r="E624" s="608">
        <f t="shared" si="9"/>
        <v>1</v>
      </c>
      <c r="F624" s="607"/>
    </row>
    <row r="625" spans="1:6" s="14" customFormat="1" ht="24.75" customHeight="1" outlineLevel="2" x14ac:dyDescent="0.25">
      <c r="A625" s="57"/>
      <c r="B625" s="76" t="s">
        <v>941</v>
      </c>
      <c r="C625" s="62" t="s">
        <v>77</v>
      </c>
      <c r="D625" s="49">
        <v>0.34354000000000001</v>
      </c>
      <c r="E625" s="608">
        <f t="shared" si="9"/>
        <v>0.34354000000000001</v>
      </c>
      <c r="F625" s="607"/>
    </row>
    <row r="626" spans="1:6" s="14" customFormat="1" ht="24.75" customHeight="1" outlineLevel="2" x14ac:dyDescent="0.25">
      <c r="A626" s="57"/>
      <c r="B626" s="76" t="s">
        <v>928</v>
      </c>
      <c r="C626" s="62" t="s">
        <v>77</v>
      </c>
      <c r="D626" s="49">
        <v>29.732140000000001</v>
      </c>
      <c r="E626" s="608">
        <f t="shared" si="9"/>
        <v>29.732140000000001</v>
      </c>
      <c r="F626" s="607"/>
    </row>
    <row r="627" spans="1:6" s="14" customFormat="1" ht="24.75" customHeight="1" outlineLevel="2" x14ac:dyDescent="0.25">
      <c r="A627" s="57"/>
      <c r="B627" s="76" t="s">
        <v>946</v>
      </c>
      <c r="C627" s="62" t="s">
        <v>77</v>
      </c>
      <c r="D627" s="49">
        <v>39.254400000000004</v>
      </c>
      <c r="E627" s="608">
        <f t="shared" si="9"/>
        <v>39.254400000000004</v>
      </c>
      <c r="F627" s="607"/>
    </row>
    <row r="628" spans="1:6" s="14" customFormat="1" ht="24.75" customHeight="1" outlineLevel="2" x14ac:dyDescent="0.25">
      <c r="A628" s="57"/>
      <c r="B628" s="76" t="s">
        <v>106</v>
      </c>
      <c r="C628" s="63" t="s">
        <v>10</v>
      </c>
      <c r="D628" s="49">
        <v>322.33999999999997</v>
      </c>
      <c r="E628" s="608">
        <f t="shared" si="9"/>
        <v>322.33999999999997</v>
      </c>
      <c r="F628" s="607"/>
    </row>
    <row r="629" spans="1:6" s="14" customFormat="1" ht="24.75" customHeight="1" outlineLevel="2" x14ac:dyDescent="0.25">
      <c r="A629" s="57"/>
      <c r="B629" s="76" t="s">
        <v>947</v>
      </c>
      <c r="C629" s="62" t="s">
        <v>57</v>
      </c>
      <c r="D629" s="49">
        <v>2.8029999999999999</v>
      </c>
      <c r="E629" s="608">
        <f t="shared" si="9"/>
        <v>2.8029999999999999</v>
      </c>
      <c r="F629" s="607"/>
    </row>
    <row r="630" spans="1:6" s="14" customFormat="1" ht="24.75" customHeight="1" outlineLevel="2" x14ac:dyDescent="0.25">
      <c r="A630" s="57"/>
      <c r="B630" s="76" t="s">
        <v>102</v>
      </c>
      <c r="C630" s="62" t="s">
        <v>66</v>
      </c>
      <c r="D630" s="49">
        <v>2.3260000000000001</v>
      </c>
      <c r="E630" s="608">
        <f t="shared" si="9"/>
        <v>2.3260000000000001</v>
      </c>
      <c r="F630" s="607"/>
    </row>
    <row r="631" spans="1:6" s="14" customFormat="1" ht="24.75" customHeight="1" outlineLevel="2" x14ac:dyDescent="0.25">
      <c r="A631" s="57"/>
      <c r="B631" s="58" t="s">
        <v>948</v>
      </c>
      <c r="C631" s="57" t="s">
        <v>949</v>
      </c>
      <c r="D631" s="52">
        <v>3</v>
      </c>
      <c r="E631" s="608">
        <f t="shared" si="9"/>
        <v>3</v>
      </c>
      <c r="F631" s="607"/>
    </row>
    <row r="632" spans="1:6" s="14" customFormat="1" ht="24.75" customHeight="1" outlineLevel="2" x14ac:dyDescent="0.25">
      <c r="A632" s="57"/>
      <c r="B632" s="76" t="s">
        <v>941</v>
      </c>
      <c r="C632" s="62" t="s">
        <v>77</v>
      </c>
      <c r="D632" s="49">
        <v>3.372E-2</v>
      </c>
      <c r="E632" s="608">
        <f t="shared" si="9"/>
        <v>3.372E-2</v>
      </c>
      <c r="F632" s="607"/>
    </row>
    <row r="633" spans="1:6" s="14" customFormat="1" ht="24.75" customHeight="1" outlineLevel="2" x14ac:dyDescent="0.25">
      <c r="A633" s="57"/>
      <c r="B633" s="76" t="s">
        <v>928</v>
      </c>
      <c r="C633" s="62" t="s">
        <v>77</v>
      </c>
      <c r="D633" s="49">
        <v>0.29675999999999997</v>
      </c>
      <c r="E633" s="608">
        <f t="shared" si="9"/>
        <v>0.29675999999999997</v>
      </c>
      <c r="F633" s="607"/>
    </row>
    <row r="634" spans="1:6" s="14" customFormat="1" ht="24.75" customHeight="1" outlineLevel="2" x14ac:dyDescent="0.25">
      <c r="A634" s="57"/>
      <c r="B634" s="76" t="s">
        <v>950</v>
      </c>
      <c r="C634" s="62" t="s">
        <v>77</v>
      </c>
      <c r="D634" s="49">
        <v>4.8135300000000001</v>
      </c>
      <c r="E634" s="608">
        <f t="shared" si="9"/>
        <v>4.8135300000000001</v>
      </c>
      <c r="F634" s="607"/>
    </row>
    <row r="635" spans="1:6" s="14" customFormat="1" ht="24.75" customHeight="1" outlineLevel="2" x14ac:dyDescent="0.25">
      <c r="A635" s="57"/>
      <c r="B635" s="76" t="s">
        <v>951</v>
      </c>
      <c r="C635" s="62" t="s">
        <v>77</v>
      </c>
      <c r="D635" s="49">
        <v>7.6692</v>
      </c>
      <c r="E635" s="608">
        <f t="shared" si="9"/>
        <v>7.6692</v>
      </c>
      <c r="F635" s="607"/>
    </row>
    <row r="636" spans="1:6" s="14" customFormat="1" ht="24.75" customHeight="1" outlineLevel="2" x14ac:dyDescent="0.25">
      <c r="A636" s="57"/>
      <c r="B636" s="76" t="s">
        <v>106</v>
      </c>
      <c r="C636" s="63" t="s">
        <v>10</v>
      </c>
      <c r="D636" s="49">
        <v>31.62</v>
      </c>
      <c r="E636" s="608">
        <f t="shared" si="9"/>
        <v>31.62</v>
      </c>
      <c r="F636" s="607"/>
    </row>
    <row r="637" spans="1:6" s="14" customFormat="1" ht="24.75" customHeight="1" outlineLevel="2" x14ac:dyDescent="0.25">
      <c r="A637" s="57"/>
      <c r="B637" s="76" t="s">
        <v>952</v>
      </c>
      <c r="C637" s="62" t="s">
        <v>68</v>
      </c>
      <c r="D637" s="49">
        <v>65.25</v>
      </c>
      <c r="E637" s="608">
        <f t="shared" si="9"/>
        <v>65.25</v>
      </c>
      <c r="F637" s="607"/>
    </row>
    <row r="638" spans="1:6" s="14" customFormat="1" ht="24.75" customHeight="1" outlineLevel="2" x14ac:dyDescent="0.25">
      <c r="A638" s="57"/>
      <c r="B638" s="76" t="s">
        <v>102</v>
      </c>
      <c r="C638" s="62" t="s">
        <v>66</v>
      </c>
      <c r="D638" s="49">
        <v>0.21179999999999999</v>
      </c>
      <c r="E638" s="608">
        <f t="shared" si="9"/>
        <v>0.21179999999999999</v>
      </c>
      <c r="F638" s="607"/>
    </row>
    <row r="639" spans="1:6" s="14" customFormat="1" ht="24.75" customHeight="1" outlineLevel="2" x14ac:dyDescent="0.25">
      <c r="A639" s="57"/>
      <c r="B639" s="58" t="s">
        <v>953</v>
      </c>
      <c r="C639" s="59" t="s">
        <v>134</v>
      </c>
      <c r="D639" s="52">
        <v>1</v>
      </c>
      <c r="E639" s="608">
        <f t="shared" si="9"/>
        <v>1</v>
      </c>
      <c r="F639" s="607"/>
    </row>
    <row r="640" spans="1:6" s="14" customFormat="1" ht="24.75" customHeight="1" outlineLevel="2" x14ac:dyDescent="0.25">
      <c r="A640" s="57"/>
      <c r="B640" s="76" t="s">
        <v>954</v>
      </c>
      <c r="C640" s="63" t="s">
        <v>68</v>
      </c>
      <c r="D640" s="49"/>
      <c r="E640" s="608">
        <f t="shared" si="9"/>
        <v>0</v>
      </c>
      <c r="F640" s="607"/>
    </row>
    <row r="641" spans="1:6" s="14" customFormat="1" ht="24.75" customHeight="1" outlineLevel="2" x14ac:dyDescent="0.25">
      <c r="A641" s="57"/>
      <c r="B641" s="76" t="s">
        <v>955</v>
      </c>
      <c r="C641" s="63" t="s">
        <v>66</v>
      </c>
      <c r="D641" s="49"/>
      <c r="E641" s="608">
        <f t="shared" si="9"/>
        <v>0</v>
      </c>
      <c r="F641" s="607"/>
    </row>
    <row r="642" spans="1:6" s="14" customFormat="1" ht="24.75" customHeight="1" outlineLevel="2" x14ac:dyDescent="0.25">
      <c r="A642" s="57"/>
      <c r="B642" s="76" t="s">
        <v>956</v>
      </c>
      <c r="C642" s="62" t="s">
        <v>68</v>
      </c>
      <c r="D642" s="49">
        <v>1534</v>
      </c>
      <c r="E642" s="608">
        <f t="shared" si="9"/>
        <v>1534</v>
      </c>
      <c r="F642" s="607"/>
    </row>
    <row r="643" spans="1:6" s="14" customFormat="1" ht="24.75" customHeight="1" outlineLevel="2" x14ac:dyDescent="0.25">
      <c r="A643" s="57"/>
      <c r="B643" s="58" t="s">
        <v>957</v>
      </c>
      <c r="C643" s="57" t="s">
        <v>918</v>
      </c>
      <c r="D643" s="52">
        <v>2</v>
      </c>
      <c r="E643" s="608">
        <f t="shared" si="9"/>
        <v>2</v>
      </c>
      <c r="F643" s="607"/>
    </row>
    <row r="644" spans="1:6" s="14" customFormat="1" ht="24.75" customHeight="1" outlineLevel="2" x14ac:dyDescent="0.25">
      <c r="A644" s="57"/>
      <c r="B644" s="76" t="s">
        <v>83</v>
      </c>
      <c r="C644" s="62" t="s">
        <v>77</v>
      </c>
      <c r="D644" s="49">
        <v>1.0204800000000001</v>
      </c>
      <c r="E644" s="608">
        <f t="shared" si="9"/>
        <v>1.0204800000000001</v>
      </c>
      <c r="F644" s="607"/>
    </row>
    <row r="645" spans="1:6" s="14" customFormat="1" ht="24.75" customHeight="1" outlineLevel="2" x14ac:dyDescent="0.25">
      <c r="A645" s="57"/>
      <c r="B645" s="76" t="s">
        <v>958</v>
      </c>
      <c r="C645" s="62" t="s">
        <v>68</v>
      </c>
      <c r="D645" s="49">
        <v>14.72</v>
      </c>
      <c r="E645" s="608">
        <f t="shared" si="9"/>
        <v>14.72</v>
      </c>
      <c r="F645" s="607"/>
    </row>
    <row r="646" spans="1:6" s="14" customFormat="1" ht="24.75" customHeight="1" outlineLevel="2" x14ac:dyDescent="0.25">
      <c r="A646" s="77"/>
      <c r="B646" s="112" t="s">
        <v>959</v>
      </c>
      <c r="C646" s="107" t="s">
        <v>124</v>
      </c>
      <c r="D646" s="51">
        <v>23.2</v>
      </c>
      <c r="E646" s="608">
        <f t="shared" si="9"/>
        <v>23.2</v>
      </c>
      <c r="F646" s="607"/>
    </row>
    <row r="647" spans="1:6" s="14" customFormat="1" ht="24.75" customHeight="1" outlineLevel="2" x14ac:dyDescent="0.25">
      <c r="A647" s="57"/>
      <c r="B647" s="76" t="s">
        <v>960</v>
      </c>
      <c r="C647" s="62" t="s">
        <v>10</v>
      </c>
      <c r="D647" s="49">
        <v>0.94</v>
      </c>
      <c r="E647" s="608">
        <f t="shared" si="9"/>
        <v>0.94</v>
      </c>
      <c r="F647" s="607"/>
    </row>
    <row r="648" spans="1:6" s="14" customFormat="1" ht="24.75" customHeight="1" outlineLevel="2" x14ac:dyDescent="0.25">
      <c r="A648" s="57"/>
      <c r="B648" s="76" t="s">
        <v>961</v>
      </c>
      <c r="C648" s="62" t="s">
        <v>10</v>
      </c>
      <c r="D648" s="49">
        <v>2.1500000000000004</v>
      </c>
      <c r="E648" s="608">
        <f t="shared" si="9"/>
        <v>2.1500000000000004</v>
      </c>
      <c r="F648" s="607"/>
    </row>
    <row r="649" spans="1:6" s="14" customFormat="1" ht="24.75" customHeight="1" outlineLevel="1" x14ac:dyDescent="0.25">
      <c r="A649" s="57">
        <v>7</v>
      </c>
      <c r="B649" s="58" t="s">
        <v>1049</v>
      </c>
      <c r="C649" s="59"/>
      <c r="D649" s="49"/>
      <c r="E649" s="608">
        <f t="shared" si="9"/>
        <v>0</v>
      </c>
      <c r="F649" s="607"/>
    </row>
    <row r="650" spans="1:6" s="14" customFormat="1" ht="24.75" customHeight="1" outlineLevel="1" x14ac:dyDescent="0.25">
      <c r="A650" s="57"/>
      <c r="B650" s="58" t="s">
        <v>1050</v>
      </c>
      <c r="C650" s="59" t="s">
        <v>134</v>
      </c>
      <c r="D650" s="52">
        <v>1</v>
      </c>
      <c r="E650" s="608">
        <f t="shared" si="9"/>
        <v>1</v>
      </c>
      <c r="F650" s="607"/>
    </row>
    <row r="651" spans="1:6" s="14" customFormat="1" ht="24.75" customHeight="1" outlineLevel="1" x14ac:dyDescent="0.25">
      <c r="A651" s="57"/>
      <c r="B651" s="76" t="s">
        <v>105</v>
      </c>
      <c r="C651" s="62" t="s">
        <v>77</v>
      </c>
      <c r="D651" s="49">
        <v>17.584295999999998</v>
      </c>
      <c r="E651" s="608">
        <f t="shared" si="9"/>
        <v>17.584295999999998</v>
      </c>
      <c r="F651" s="607"/>
    </row>
    <row r="652" spans="1:6" s="14" customFormat="1" ht="24.75" customHeight="1" outlineLevel="1" x14ac:dyDescent="0.25">
      <c r="A652" s="57"/>
      <c r="B652" s="76" t="s">
        <v>88</v>
      </c>
      <c r="C652" s="63" t="s">
        <v>10</v>
      </c>
      <c r="D652" s="49">
        <v>126.774</v>
      </c>
      <c r="E652" s="608">
        <f t="shared" si="9"/>
        <v>126.774</v>
      </c>
      <c r="F652" s="607"/>
    </row>
    <row r="653" spans="1:6" s="14" customFormat="1" ht="24.75" customHeight="1" outlineLevel="1" x14ac:dyDescent="0.25">
      <c r="A653" s="57"/>
      <c r="B653" s="76" t="s">
        <v>102</v>
      </c>
      <c r="C653" s="62" t="s">
        <v>66</v>
      </c>
      <c r="D653" s="49">
        <v>11.43662</v>
      </c>
      <c r="E653" s="608">
        <f t="shared" si="9"/>
        <v>11.43662</v>
      </c>
      <c r="F653" s="607"/>
    </row>
    <row r="654" spans="1:6" s="14" customFormat="1" ht="24.75" customHeight="1" outlineLevel="1" x14ac:dyDescent="0.25">
      <c r="A654" s="57"/>
      <c r="B654" s="76" t="s">
        <v>1051</v>
      </c>
      <c r="C654" s="62" t="s">
        <v>57</v>
      </c>
      <c r="D654" s="49"/>
      <c r="E654" s="608">
        <f t="shared" si="9"/>
        <v>0</v>
      </c>
      <c r="F654" s="607"/>
    </row>
    <row r="655" spans="1:6" s="14" customFormat="1" ht="24.75" customHeight="1" outlineLevel="1" x14ac:dyDescent="0.25">
      <c r="A655" s="57"/>
      <c r="B655" s="58" t="s">
        <v>1052</v>
      </c>
      <c r="C655" s="59" t="s">
        <v>134</v>
      </c>
      <c r="D655" s="52">
        <v>1</v>
      </c>
      <c r="E655" s="608">
        <f t="shared" si="9"/>
        <v>1</v>
      </c>
      <c r="F655" s="607"/>
    </row>
    <row r="656" spans="1:6" s="14" customFormat="1" ht="24.75" customHeight="1" outlineLevel="1" x14ac:dyDescent="0.25">
      <c r="A656" s="57"/>
      <c r="B656" s="76" t="s">
        <v>105</v>
      </c>
      <c r="C656" s="62" t="s">
        <v>77</v>
      </c>
      <c r="D656" s="49">
        <v>0.16768</v>
      </c>
      <c r="E656" s="608">
        <f t="shared" si="9"/>
        <v>0.16768</v>
      </c>
      <c r="F656" s="607"/>
    </row>
    <row r="657" spans="1:6" s="14" customFormat="1" ht="24.75" customHeight="1" outlineLevel="1" x14ac:dyDescent="0.25">
      <c r="A657" s="57"/>
      <c r="B657" s="76" t="s">
        <v>83</v>
      </c>
      <c r="C657" s="62" t="s">
        <v>77</v>
      </c>
      <c r="D657" s="49">
        <v>0.28160000000000002</v>
      </c>
      <c r="E657" s="608">
        <f t="shared" ref="E657:E705" si="10">D657</f>
        <v>0.28160000000000002</v>
      </c>
      <c r="F657" s="607"/>
    </row>
    <row r="658" spans="1:6" s="14" customFormat="1" ht="24.75" customHeight="1" outlineLevel="1" x14ac:dyDescent="0.25">
      <c r="A658" s="57"/>
      <c r="B658" s="76" t="s">
        <v>88</v>
      </c>
      <c r="C658" s="63" t="s">
        <v>10</v>
      </c>
      <c r="D658" s="49">
        <v>2.72</v>
      </c>
      <c r="E658" s="608">
        <f t="shared" si="10"/>
        <v>2.72</v>
      </c>
      <c r="F658" s="607"/>
    </row>
    <row r="659" spans="1:6" s="14" customFormat="1" ht="24.75" customHeight="1" outlineLevel="1" x14ac:dyDescent="0.25">
      <c r="A659" s="57"/>
      <c r="B659" s="76" t="s">
        <v>102</v>
      </c>
      <c r="C659" s="62" t="s">
        <v>66</v>
      </c>
      <c r="D659" s="49">
        <v>0.18559999999999999</v>
      </c>
      <c r="E659" s="608">
        <f t="shared" si="10"/>
        <v>0.18559999999999999</v>
      </c>
      <c r="F659" s="607"/>
    </row>
    <row r="660" spans="1:6" s="14" customFormat="1" ht="24.75" customHeight="1" outlineLevel="1" x14ac:dyDescent="0.25">
      <c r="A660" s="57"/>
      <c r="B660" s="58" t="s">
        <v>1053</v>
      </c>
      <c r="C660" s="59" t="s">
        <v>134</v>
      </c>
      <c r="D660" s="52">
        <v>1</v>
      </c>
      <c r="E660" s="608">
        <f t="shared" si="10"/>
        <v>1</v>
      </c>
      <c r="F660" s="607"/>
    </row>
    <row r="661" spans="1:6" s="14" customFormat="1" ht="24.75" customHeight="1" outlineLevel="1" x14ac:dyDescent="0.25">
      <c r="A661" s="57"/>
      <c r="B661" s="76" t="s">
        <v>1054</v>
      </c>
      <c r="C661" s="63" t="s">
        <v>77</v>
      </c>
      <c r="D661" s="49">
        <v>7.3078799999999999</v>
      </c>
      <c r="E661" s="608">
        <f t="shared" si="10"/>
        <v>7.3078799999999999</v>
      </c>
      <c r="F661" s="607"/>
    </row>
    <row r="662" spans="1:6" s="14" customFormat="1" ht="24.75" customHeight="1" outlineLevel="1" x14ac:dyDescent="0.25">
      <c r="A662" s="57"/>
      <c r="B662" s="76" t="s">
        <v>1055</v>
      </c>
      <c r="C662" s="63" t="s">
        <v>77</v>
      </c>
      <c r="D662" s="49">
        <v>5.2701000000000002</v>
      </c>
      <c r="E662" s="608">
        <f t="shared" si="10"/>
        <v>5.2701000000000002</v>
      </c>
      <c r="F662" s="607"/>
    </row>
    <row r="663" spans="1:6" s="14" customFormat="1" ht="24.75" customHeight="1" outlineLevel="1" x14ac:dyDescent="0.25">
      <c r="A663" s="57"/>
      <c r="B663" s="76" t="s">
        <v>1056</v>
      </c>
      <c r="C663" s="63" t="s">
        <v>77</v>
      </c>
      <c r="D663" s="49">
        <v>7.6435700000000004</v>
      </c>
      <c r="E663" s="608">
        <f t="shared" si="10"/>
        <v>7.6435700000000004</v>
      </c>
      <c r="F663" s="607"/>
    </row>
    <row r="664" spans="1:6" s="14" customFormat="1" ht="24.75" customHeight="1" outlineLevel="1" x14ac:dyDescent="0.25">
      <c r="A664" s="57"/>
      <c r="B664" s="76" t="s">
        <v>1057</v>
      </c>
      <c r="C664" s="63" t="s">
        <v>77</v>
      </c>
      <c r="D664" s="49">
        <v>0.54910000000000003</v>
      </c>
      <c r="E664" s="608">
        <f t="shared" si="10"/>
        <v>0.54910000000000003</v>
      </c>
      <c r="F664" s="607"/>
    </row>
    <row r="665" spans="1:6" s="14" customFormat="1" ht="24.75" customHeight="1" outlineLevel="1" x14ac:dyDescent="0.25">
      <c r="A665" s="57"/>
      <c r="B665" s="76" t="s">
        <v>1058</v>
      </c>
      <c r="C665" s="63" t="s">
        <v>77</v>
      </c>
      <c r="D665" s="49">
        <v>0.47142000000000001</v>
      </c>
      <c r="E665" s="608">
        <f t="shared" si="10"/>
        <v>0.47142000000000001</v>
      </c>
      <c r="F665" s="607"/>
    </row>
    <row r="666" spans="1:6" s="14" customFormat="1" ht="24.75" customHeight="1" outlineLevel="1" x14ac:dyDescent="0.25">
      <c r="A666" s="57"/>
      <c r="B666" s="76" t="s">
        <v>1059</v>
      </c>
      <c r="C666" s="62" t="s">
        <v>78</v>
      </c>
      <c r="D666" s="49">
        <v>968</v>
      </c>
      <c r="E666" s="608">
        <f t="shared" si="10"/>
        <v>968</v>
      </c>
      <c r="F666" s="607"/>
    </row>
    <row r="667" spans="1:6" s="14" customFormat="1" ht="24.75" customHeight="1" outlineLevel="1" x14ac:dyDescent="0.25">
      <c r="A667" s="57"/>
      <c r="B667" s="76" t="s">
        <v>1060</v>
      </c>
      <c r="C667" s="62" t="s">
        <v>78</v>
      </c>
      <c r="D667" s="49">
        <v>484</v>
      </c>
      <c r="E667" s="608">
        <f t="shared" si="10"/>
        <v>484</v>
      </c>
      <c r="F667" s="607"/>
    </row>
    <row r="668" spans="1:6" s="14" customFormat="1" ht="24.75" customHeight="1" outlineLevel="1" x14ac:dyDescent="0.25">
      <c r="A668" s="57"/>
      <c r="B668" s="76" t="s">
        <v>1061</v>
      </c>
      <c r="C668" s="63" t="s">
        <v>77</v>
      </c>
      <c r="D668" s="589">
        <v>5.2199999999999998E-3</v>
      </c>
      <c r="E668" s="608">
        <f t="shared" si="10"/>
        <v>5.2199999999999998E-3</v>
      </c>
      <c r="F668" s="607"/>
    </row>
    <row r="669" spans="1:6" s="14" customFormat="1" ht="24.75" customHeight="1" outlineLevel="1" x14ac:dyDescent="0.25">
      <c r="A669" s="57"/>
      <c r="B669" s="76" t="s">
        <v>1062</v>
      </c>
      <c r="C669" s="63" t="s">
        <v>77</v>
      </c>
      <c r="D669" s="589">
        <v>3.8899999999999998E-3</v>
      </c>
      <c r="E669" s="608">
        <f t="shared" si="10"/>
        <v>3.8899999999999998E-3</v>
      </c>
      <c r="F669" s="607"/>
    </row>
    <row r="670" spans="1:6" s="14" customFormat="1" ht="24.75" customHeight="1" outlineLevel="1" x14ac:dyDescent="0.25">
      <c r="A670" s="57"/>
      <c r="B670" s="58" t="s">
        <v>1063</v>
      </c>
      <c r="C670" s="59" t="s">
        <v>134</v>
      </c>
      <c r="D670" s="52">
        <v>1</v>
      </c>
      <c r="E670" s="608">
        <f t="shared" si="10"/>
        <v>1</v>
      </c>
      <c r="F670" s="607"/>
    </row>
    <row r="671" spans="1:6" s="14" customFormat="1" ht="24.75" customHeight="1" outlineLevel="1" x14ac:dyDescent="0.25">
      <c r="A671" s="57"/>
      <c r="B671" s="76" t="s">
        <v>1064</v>
      </c>
      <c r="C671" s="62" t="s">
        <v>57</v>
      </c>
      <c r="D671" s="49">
        <v>0.13500000000000001</v>
      </c>
      <c r="E671" s="608">
        <f t="shared" si="10"/>
        <v>0.13500000000000001</v>
      </c>
      <c r="F671" s="607"/>
    </row>
    <row r="672" spans="1:6" s="14" customFormat="1" ht="24.75" customHeight="1" outlineLevel="1" x14ac:dyDescent="0.25">
      <c r="A672" s="57"/>
      <c r="B672" s="76" t="s">
        <v>1065</v>
      </c>
      <c r="C672" s="62" t="s">
        <v>57</v>
      </c>
      <c r="D672" s="49">
        <v>0.26190000000000002</v>
      </c>
      <c r="E672" s="608">
        <f t="shared" si="10"/>
        <v>0.26190000000000002</v>
      </c>
      <c r="F672" s="607"/>
    </row>
    <row r="673" spans="1:6" s="14" customFormat="1" ht="24.75" customHeight="1" outlineLevel="1" x14ac:dyDescent="0.25">
      <c r="A673" s="57"/>
      <c r="B673" s="76" t="s">
        <v>1066</v>
      </c>
      <c r="C673" s="62" t="s">
        <v>57</v>
      </c>
      <c r="D673" s="49">
        <v>0.30399999999999999</v>
      </c>
      <c r="E673" s="608">
        <f t="shared" si="10"/>
        <v>0.30399999999999999</v>
      </c>
      <c r="F673" s="607"/>
    </row>
    <row r="674" spans="1:6" s="14" customFormat="1" ht="24.75" customHeight="1" outlineLevel="1" x14ac:dyDescent="0.25">
      <c r="A674" s="57"/>
      <c r="B674" s="76" t="s">
        <v>1067</v>
      </c>
      <c r="C674" s="62" t="s">
        <v>77</v>
      </c>
      <c r="D674" s="49">
        <v>0.34469</v>
      </c>
      <c r="E674" s="608">
        <f t="shared" si="10"/>
        <v>0.34469</v>
      </c>
      <c r="F674" s="607"/>
    </row>
    <row r="675" spans="1:6" s="14" customFormat="1" ht="24.75" customHeight="1" outlineLevel="1" x14ac:dyDescent="0.25">
      <c r="A675" s="57"/>
      <c r="B675" s="76" t="s">
        <v>1068</v>
      </c>
      <c r="C675" s="62" t="s">
        <v>79</v>
      </c>
      <c r="D675" s="49">
        <v>2</v>
      </c>
      <c r="E675" s="608">
        <f t="shared" si="10"/>
        <v>2</v>
      </c>
      <c r="F675" s="607"/>
    </row>
    <row r="676" spans="1:6" s="14" customFormat="1" ht="24.75" customHeight="1" outlineLevel="1" x14ac:dyDescent="0.25">
      <c r="A676" s="57"/>
      <c r="B676" s="76" t="s">
        <v>1068</v>
      </c>
      <c r="C676" s="62" t="s">
        <v>79</v>
      </c>
      <c r="D676" s="49">
        <v>1</v>
      </c>
      <c r="E676" s="608">
        <f t="shared" si="10"/>
        <v>1</v>
      </c>
      <c r="F676" s="607"/>
    </row>
    <row r="677" spans="1:6" s="14" customFormat="1" ht="24.75" customHeight="1" outlineLevel="1" x14ac:dyDescent="0.25">
      <c r="A677" s="57"/>
      <c r="B677" s="76" t="s">
        <v>1069</v>
      </c>
      <c r="C677" s="62" t="s">
        <v>79</v>
      </c>
      <c r="D677" s="49">
        <v>1</v>
      </c>
      <c r="E677" s="608">
        <f t="shared" si="10"/>
        <v>1</v>
      </c>
      <c r="F677" s="607"/>
    </row>
    <row r="678" spans="1:6" s="14" customFormat="1" ht="24.75" customHeight="1" outlineLevel="1" x14ac:dyDescent="0.25">
      <c r="A678" s="57"/>
      <c r="B678" s="76" t="s">
        <v>1069</v>
      </c>
      <c r="C678" s="62" t="s">
        <v>79</v>
      </c>
      <c r="D678" s="49">
        <v>1</v>
      </c>
      <c r="E678" s="608">
        <f t="shared" si="10"/>
        <v>1</v>
      </c>
      <c r="F678" s="607"/>
    </row>
    <row r="679" spans="1:6" s="14" customFormat="1" ht="24.75" customHeight="1" outlineLevel="1" x14ac:dyDescent="0.25">
      <c r="A679" s="57"/>
      <c r="B679" s="76" t="s">
        <v>1070</v>
      </c>
      <c r="C679" s="62" t="s">
        <v>79</v>
      </c>
      <c r="D679" s="49">
        <v>27</v>
      </c>
      <c r="E679" s="608">
        <f t="shared" si="10"/>
        <v>27</v>
      </c>
      <c r="F679" s="607"/>
    </row>
    <row r="680" spans="1:6" s="14" customFormat="1" ht="24.75" customHeight="1" outlineLevel="1" x14ac:dyDescent="0.25">
      <c r="A680" s="57"/>
      <c r="B680" s="76" t="s">
        <v>963</v>
      </c>
      <c r="C680" s="62" t="s">
        <v>79</v>
      </c>
      <c r="D680" s="49">
        <v>168</v>
      </c>
      <c r="E680" s="608">
        <f t="shared" si="10"/>
        <v>168</v>
      </c>
      <c r="F680" s="607"/>
    </row>
    <row r="681" spans="1:6" s="14" customFormat="1" ht="24.75" customHeight="1" x14ac:dyDescent="0.25">
      <c r="A681" s="73" t="s">
        <v>964</v>
      </c>
      <c r="B681" s="74" t="s">
        <v>1071</v>
      </c>
      <c r="C681" s="75"/>
      <c r="D681" s="53"/>
      <c r="E681" s="608">
        <f t="shared" si="10"/>
        <v>0</v>
      </c>
      <c r="F681" s="607"/>
    </row>
    <row r="682" spans="1:6" s="14" customFormat="1" ht="24.75" customHeight="1" outlineLevel="1" x14ac:dyDescent="0.25">
      <c r="A682" s="57">
        <v>1</v>
      </c>
      <c r="B682" s="58" t="s">
        <v>1072</v>
      </c>
      <c r="C682" s="59" t="s">
        <v>134</v>
      </c>
      <c r="D682" s="49"/>
      <c r="E682" s="608">
        <f t="shared" si="10"/>
        <v>0</v>
      </c>
      <c r="F682" s="607"/>
    </row>
    <row r="683" spans="1:6" s="14" customFormat="1" ht="24.75" customHeight="1" outlineLevel="1" x14ac:dyDescent="0.25">
      <c r="A683" s="57"/>
      <c r="B683" s="58" t="s">
        <v>1073</v>
      </c>
      <c r="C683" s="59" t="s">
        <v>971</v>
      </c>
      <c r="D683" s="49"/>
      <c r="E683" s="608">
        <f t="shared" si="10"/>
        <v>0</v>
      </c>
      <c r="F683" s="607"/>
    </row>
    <row r="684" spans="1:6" s="14" customFormat="1" ht="24.75" customHeight="1" outlineLevel="1" x14ac:dyDescent="0.25">
      <c r="A684" s="57"/>
      <c r="B684" s="58" t="s">
        <v>1074</v>
      </c>
      <c r="C684" s="59" t="s">
        <v>972</v>
      </c>
      <c r="D684" s="49"/>
      <c r="E684" s="608">
        <f t="shared" si="10"/>
        <v>0</v>
      </c>
      <c r="F684" s="607"/>
    </row>
    <row r="685" spans="1:6" s="14" customFormat="1" ht="24.75" customHeight="1" outlineLevel="1" x14ac:dyDescent="0.25">
      <c r="A685" s="57"/>
      <c r="B685" s="76" t="s">
        <v>1075</v>
      </c>
      <c r="C685" s="63" t="s">
        <v>77</v>
      </c>
      <c r="D685" s="49"/>
      <c r="E685" s="608">
        <f t="shared" si="10"/>
        <v>0</v>
      </c>
      <c r="F685" s="607"/>
    </row>
    <row r="686" spans="1:6" s="14" customFormat="1" ht="24.75" customHeight="1" outlineLevel="1" x14ac:dyDescent="0.25">
      <c r="A686" s="57"/>
      <c r="B686" s="76" t="s">
        <v>1076</v>
      </c>
      <c r="C686" s="63" t="s">
        <v>77</v>
      </c>
      <c r="D686" s="49"/>
      <c r="E686" s="608">
        <f t="shared" si="10"/>
        <v>0</v>
      </c>
      <c r="F686" s="607"/>
    </row>
    <row r="687" spans="1:6" s="14" customFormat="1" ht="24.75" customHeight="1" outlineLevel="1" x14ac:dyDescent="0.25">
      <c r="A687" s="57"/>
      <c r="B687" s="58" t="s">
        <v>1077</v>
      </c>
      <c r="C687" s="59" t="s">
        <v>972</v>
      </c>
      <c r="D687" s="52"/>
      <c r="E687" s="608">
        <f t="shared" si="10"/>
        <v>0</v>
      </c>
      <c r="F687" s="607"/>
    </row>
    <row r="688" spans="1:6" s="14" customFormat="1" ht="24.75" customHeight="1" outlineLevel="1" x14ac:dyDescent="0.25">
      <c r="A688" s="57"/>
      <c r="B688" s="76" t="s">
        <v>1078</v>
      </c>
      <c r="C688" s="63" t="s">
        <v>77</v>
      </c>
      <c r="D688" s="49"/>
      <c r="E688" s="608">
        <f t="shared" si="10"/>
        <v>0</v>
      </c>
      <c r="F688" s="607"/>
    </row>
    <row r="689" spans="1:6" s="14" customFormat="1" ht="24.75" customHeight="1" outlineLevel="1" x14ac:dyDescent="0.25">
      <c r="A689" s="57"/>
      <c r="B689" s="76" t="s">
        <v>1076</v>
      </c>
      <c r="C689" s="63" t="s">
        <v>77</v>
      </c>
      <c r="D689" s="49"/>
      <c r="E689" s="608">
        <f t="shared" si="10"/>
        <v>0</v>
      </c>
      <c r="F689" s="607"/>
    </row>
    <row r="690" spans="1:6" s="14" customFormat="1" ht="24.75" customHeight="1" outlineLevel="1" x14ac:dyDescent="0.25">
      <c r="A690" s="57"/>
      <c r="B690" s="58" t="s">
        <v>1079</v>
      </c>
      <c r="C690" s="59" t="s">
        <v>973</v>
      </c>
      <c r="D690" s="52"/>
      <c r="E690" s="608">
        <f t="shared" si="10"/>
        <v>0</v>
      </c>
      <c r="F690" s="607"/>
    </row>
    <row r="691" spans="1:6" s="14" customFormat="1" ht="24.75" customHeight="1" outlineLevel="1" x14ac:dyDescent="0.25">
      <c r="A691" s="57"/>
      <c r="B691" s="76" t="s">
        <v>1080</v>
      </c>
      <c r="C691" s="63" t="s">
        <v>77</v>
      </c>
      <c r="D691" s="49"/>
      <c r="E691" s="608">
        <f t="shared" si="10"/>
        <v>0</v>
      </c>
      <c r="F691" s="607"/>
    </row>
    <row r="692" spans="1:6" s="14" customFormat="1" ht="24.75" customHeight="1" outlineLevel="1" x14ac:dyDescent="0.25">
      <c r="A692" s="57"/>
      <c r="B692" s="76" t="s">
        <v>1075</v>
      </c>
      <c r="C692" s="63" t="s">
        <v>77</v>
      </c>
      <c r="D692" s="49"/>
      <c r="E692" s="608">
        <f t="shared" si="10"/>
        <v>0</v>
      </c>
      <c r="F692" s="607"/>
    </row>
    <row r="693" spans="1:6" s="14" customFormat="1" ht="24.75" customHeight="1" outlineLevel="1" x14ac:dyDescent="0.25">
      <c r="A693" s="57"/>
      <c r="B693" s="58" t="s">
        <v>1081</v>
      </c>
      <c r="C693" s="59"/>
      <c r="D693" s="49"/>
      <c r="E693" s="608">
        <f t="shared" si="10"/>
        <v>0</v>
      </c>
      <c r="F693" s="607"/>
    </row>
    <row r="694" spans="1:6" s="14" customFormat="1" ht="24.75" customHeight="1" outlineLevel="1" x14ac:dyDescent="0.25">
      <c r="A694" s="57"/>
      <c r="B694" s="58" t="s">
        <v>1082</v>
      </c>
      <c r="C694" s="59" t="s">
        <v>972</v>
      </c>
      <c r="D694" s="49"/>
      <c r="E694" s="608">
        <f t="shared" si="10"/>
        <v>0</v>
      </c>
      <c r="F694" s="607"/>
    </row>
    <row r="695" spans="1:6" s="14" customFormat="1" ht="24.75" customHeight="1" outlineLevel="1" x14ac:dyDescent="0.25">
      <c r="A695" s="57"/>
      <c r="B695" s="76" t="s">
        <v>1075</v>
      </c>
      <c r="C695" s="63" t="s">
        <v>77</v>
      </c>
      <c r="D695" s="49"/>
      <c r="E695" s="608">
        <f t="shared" si="10"/>
        <v>0</v>
      </c>
      <c r="F695" s="607"/>
    </row>
    <row r="696" spans="1:6" s="14" customFormat="1" ht="24.75" customHeight="1" outlineLevel="1" x14ac:dyDescent="0.25">
      <c r="A696" s="57"/>
      <c r="B696" s="76" t="s">
        <v>1076</v>
      </c>
      <c r="C696" s="63" t="s">
        <v>77</v>
      </c>
      <c r="D696" s="49"/>
      <c r="E696" s="608">
        <f t="shared" si="10"/>
        <v>0</v>
      </c>
      <c r="F696" s="607"/>
    </row>
    <row r="697" spans="1:6" s="14" customFormat="1" ht="24.75" customHeight="1" outlineLevel="1" x14ac:dyDescent="0.25">
      <c r="A697" s="57"/>
      <c r="B697" s="58" t="s">
        <v>1077</v>
      </c>
      <c r="C697" s="59" t="s">
        <v>972</v>
      </c>
      <c r="D697" s="49"/>
      <c r="E697" s="608">
        <f t="shared" si="10"/>
        <v>0</v>
      </c>
      <c r="F697" s="607"/>
    </row>
    <row r="698" spans="1:6" s="14" customFormat="1" ht="24.75" customHeight="1" outlineLevel="1" x14ac:dyDescent="0.25">
      <c r="A698" s="57"/>
      <c r="B698" s="76" t="s">
        <v>1078</v>
      </c>
      <c r="C698" s="63" t="s">
        <v>77</v>
      </c>
      <c r="D698" s="49"/>
      <c r="E698" s="608">
        <f t="shared" si="10"/>
        <v>0</v>
      </c>
      <c r="F698" s="607"/>
    </row>
    <row r="699" spans="1:6" s="14" customFormat="1" ht="24.75" customHeight="1" outlineLevel="1" x14ac:dyDescent="0.25">
      <c r="A699" s="57"/>
      <c r="B699" s="76" t="s">
        <v>1076</v>
      </c>
      <c r="C699" s="63" t="s">
        <v>77</v>
      </c>
      <c r="D699" s="49"/>
      <c r="E699" s="608">
        <f t="shared" si="10"/>
        <v>0</v>
      </c>
      <c r="F699" s="607"/>
    </row>
    <row r="700" spans="1:6" s="14" customFormat="1" ht="24.75" customHeight="1" outlineLevel="1" x14ac:dyDescent="0.25">
      <c r="A700" s="57"/>
      <c r="B700" s="58" t="s">
        <v>1083</v>
      </c>
      <c r="C700" s="59" t="s">
        <v>973</v>
      </c>
      <c r="D700" s="49"/>
      <c r="E700" s="608">
        <f t="shared" si="10"/>
        <v>0</v>
      </c>
      <c r="F700" s="607"/>
    </row>
    <row r="701" spans="1:6" s="14" customFormat="1" ht="24.75" customHeight="1" outlineLevel="1" x14ac:dyDescent="0.25">
      <c r="A701" s="57"/>
      <c r="B701" s="76" t="s">
        <v>1080</v>
      </c>
      <c r="C701" s="63" t="s">
        <v>77</v>
      </c>
      <c r="D701" s="49"/>
      <c r="E701" s="608">
        <f t="shared" si="10"/>
        <v>0</v>
      </c>
      <c r="F701" s="607"/>
    </row>
    <row r="702" spans="1:6" s="14" customFormat="1" ht="24.75" customHeight="1" outlineLevel="1" x14ac:dyDescent="0.25">
      <c r="A702" s="57"/>
      <c r="B702" s="76" t="s">
        <v>1075</v>
      </c>
      <c r="C702" s="63" t="s">
        <v>77</v>
      </c>
      <c r="D702" s="49"/>
      <c r="E702" s="608">
        <f t="shared" si="10"/>
        <v>0</v>
      </c>
      <c r="F702" s="607"/>
    </row>
    <row r="703" spans="1:6" s="14" customFormat="1" ht="24.75" customHeight="1" outlineLevel="1" x14ac:dyDescent="0.25">
      <c r="A703" s="57"/>
      <c r="B703" s="58" t="s">
        <v>1084</v>
      </c>
      <c r="C703" s="59" t="s">
        <v>1085</v>
      </c>
      <c r="D703" s="52"/>
      <c r="E703" s="608">
        <f t="shared" si="10"/>
        <v>0</v>
      </c>
      <c r="F703" s="607"/>
    </row>
    <row r="704" spans="1:6" s="14" customFormat="1" ht="24.75" customHeight="1" outlineLevel="1" x14ac:dyDescent="0.25">
      <c r="A704" s="57"/>
      <c r="B704" s="76" t="s">
        <v>1086</v>
      </c>
      <c r="C704" s="62" t="s">
        <v>1085</v>
      </c>
      <c r="D704" s="49"/>
      <c r="E704" s="608">
        <f t="shared" si="10"/>
        <v>0</v>
      </c>
      <c r="F704" s="607"/>
    </row>
    <row r="705" spans="1:6" s="14" customFormat="1" ht="24.75" customHeight="1" x14ac:dyDescent="0.25">
      <c r="A705" s="73" t="s">
        <v>965</v>
      </c>
      <c r="B705" s="74" t="s">
        <v>1087</v>
      </c>
      <c r="C705" s="75"/>
      <c r="D705" s="53"/>
      <c r="E705" s="608">
        <f t="shared" si="10"/>
        <v>0</v>
      </c>
      <c r="F705" s="607"/>
    </row>
    <row r="706" spans="1:6" s="14" customFormat="1" ht="36" customHeight="1" outlineLevel="1" x14ac:dyDescent="0.25">
      <c r="A706" s="77">
        <v>1</v>
      </c>
      <c r="B706" s="78" t="s">
        <v>663</v>
      </c>
      <c r="C706" s="83" t="s">
        <v>134</v>
      </c>
      <c r="D706" s="54">
        <v>1</v>
      </c>
      <c r="E706" s="631">
        <f>D706</f>
        <v>1</v>
      </c>
      <c r="F706" s="607"/>
    </row>
    <row r="707" spans="1:6" s="14" customFormat="1" ht="31.5" customHeight="1" outlineLevel="2" x14ac:dyDescent="0.25">
      <c r="A707" s="57"/>
      <c r="B707" s="64" t="s">
        <v>267</v>
      </c>
      <c r="C707" s="60" t="s">
        <v>76</v>
      </c>
      <c r="D707" s="49" t="s">
        <v>662</v>
      </c>
      <c r="E707" s="631" t="str">
        <f t="shared" ref="E707:E766" si="11">D707</f>
        <v>16/1238,88</v>
      </c>
      <c r="F707" s="607"/>
    </row>
    <row r="708" spans="1:6" s="14" customFormat="1" ht="24.75" customHeight="1" outlineLevel="2" x14ac:dyDescent="0.25">
      <c r="A708" s="77"/>
      <c r="B708" s="79" t="s">
        <v>81</v>
      </c>
      <c r="C708" s="81" t="s">
        <v>77</v>
      </c>
      <c r="D708" s="55">
        <v>19.84</v>
      </c>
      <c r="E708" s="631">
        <f t="shared" si="11"/>
        <v>19.84</v>
      </c>
      <c r="F708" s="607"/>
    </row>
    <row r="709" spans="1:6" s="14" customFormat="1" ht="24.75" customHeight="1" outlineLevel="2" x14ac:dyDescent="0.25">
      <c r="A709" s="77"/>
      <c r="B709" s="79" t="s">
        <v>85</v>
      </c>
      <c r="C709" s="81" t="s">
        <v>77</v>
      </c>
      <c r="D709" s="55">
        <v>20.342400000000001</v>
      </c>
      <c r="E709" s="631">
        <f t="shared" si="11"/>
        <v>20.342400000000001</v>
      </c>
      <c r="F709" s="607"/>
    </row>
    <row r="710" spans="1:6" s="14" customFormat="1" ht="24.75" customHeight="1" outlineLevel="2" x14ac:dyDescent="0.25">
      <c r="A710" s="77"/>
      <c r="B710" s="79" t="s">
        <v>86</v>
      </c>
      <c r="C710" s="81" t="s">
        <v>77</v>
      </c>
      <c r="D710" s="55">
        <v>17.851199999999999</v>
      </c>
      <c r="E710" s="631">
        <f t="shared" si="11"/>
        <v>17.851199999999999</v>
      </c>
      <c r="F710" s="607"/>
    </row>
    <row r="711" spans="1:6" s="14" customFormat="1" ht="24.75" customHeight="1" outlineLevel="2" x14ac:dyDescent="0.25">
      <c r="A711" s="77"/>
      <c r="B711" s="79" t="s">
        <v>87</v>
      </c>
      <c r="C711" s="81" t="s">
        <v>77</v>
      </c>
      <c r="D711" s="55">
        <v>45.944000000000003</v>
      </c>
      <c r="E711" s="631">
        <f t="shared" si="11"/>
        <v>45.944000000000003</v>
      </c>
      <c r="F711" s="607"/>
    </row>
    <row r="712" spans="1:6" s="14" customFormat="1" ht="24.75" customHeight="1" outlineLevel="2" x14ac:dyDescent="0.25">
      <c r="A712" s="77"/>
      <c r="B712" s="79" t="s">
        <v>143</v>
      </c>
      <c r="C712" s="81" t="s">
        <v>77</v>
      </c>
      <c r="D712" s="55">
        <v>28.9344</v>
      </c>
      <c r="E712" s="631">
        <f t="shared" si="11"/>
        <v>28.9344</v>
      </c>
      <c r="F712" s="607"/>
    </row>
    <row r="713" spans="1:6" s="14" customFormat="1" ht="24.75" customHeight="1" outlineLevel="2" x14ac:dyDescent="0.25">
      <c r="A713" s="77"/>
      <c r="B713" s="79" t="s">
        <v>109</v>
      </c>
      <c r="C713" s="81" t="s">
        <v>77</v>
      </c>
      <c r="D713" s="55">
        <v>222.66079999999999</v>
      </c>
      <c r="E713" s="631">
        <f t="shared" si="11"/>
        <v>222.66079999999999</v>
      </c>
      <c r="F713" s="607"/>
    </row>
    <row r="714" spans="1:6" s="14" customFormat="1" ht="24.75" customHeight="1" outlineLevel="2" x14ac:dyDescent="0.25">
      <c r="A714" s="77"/>
      <c r="B714" s="79" t="s">
        <v>88</v>
      </c>
      <c r="C714" s="80" t="s">
        <v>10</v>
      </c>
      <c r="D714" s="55">
        <v>2176.64</v>
      </c>
      <c r="E714" s="631">
        <f t="shared" si="11"/>
        <v>2176.64</v>
      </c>
      <c r="F714" s="607"/>
    </row>
    <row r="715" spans="1:6" s="14" customFormat="1" ht="24.75" customHeight="1" outlineLevel="2" x14ac:dyDescent="0.25">
      <c r="A715" s="77"/>
      <c r="B715" s="79" t="s">
        <v>89</v>
      </c>
      <c r="C715" s="81" t="s">
        <v>10</v>
      </c>
      <c r="D715" s="55">
        <v>23.04</v>
      </c>
      <c r="E715" s="631">
        <f t="shared" si="11"/>
        <v>23.04</v>
      </c>
      <c r="F715" s="607"/>
    </row>
    <row r="716" spans="1:6" s="14" customFormat="1" ht="24.75" customHeight="1" outlineLevel="2" x14ac:dyDescent="0.25">
      <c r="A716" s="77"/>
      <c r="B716" s="79" t="s">
        <v>664</v>
      </c>
      <c r="C716" s="81" t="s">
        <v>10</v>
      </c>
      <c r="D716" s="55">
        <v>31.64</v>
      </c>
      <c r="E716" s="631">
        <f t="shared" si="11"/>
        <v>31.64</v>
      </c>
      <c r="F716" s="607"/>
    </row>
    <row r="717" spans="1:6" s="14" customFormat="1" ht="24.75" customHeight="1" outlineLevel="2" x14ac:dyDescent="0.25">
      <c r="A717" s="77"/>
      <c r="B717" s="79" t="s">
        <v>90</v>
      </c>
      <c r="C717" s="80" t="s">
        <v>77</v>
      </c>
      <c r="D717" s="55">
        <v>6.7232000000000003</v>
      </c>
      <c r="E717" s="631">
        <f t="shared" si="11"/>
        <v>6.7232000000000003</v>
      </c>
      <c r="F717" s="607"/>
    </row>
    <row r="718" spans="1:6" s="14" customFormat="1" ht="24.75" customHeight="1" outlineLevel="2" x14ac:dyDescent="0.25">
      <c r="A718" s="77"/>
      <c r="B718" s="79" t="s">
        <v>665</v>
      </c>
      <c r="C718" s="81" t="s">
        <v>78</v>
      </c>
      <c r="D718" s="55">
        <v>3192</v>
      </c>
      <c r="E718" s="631">
        <f t="shared" si="11"/>
        <v>3192</v>
      </c>
      <c r="F718" s="607"/>
    </row>
    <row r="719" spans="1:6" s="14" customFormat="1" ht="24.75" customHeight="1" outlineLevel="2" x14ac:dyDescent="0.25">
      <c r="A719" s="77"/>
      <c r="B719" s="79" t="s">
        <v>666</v>
      </c>
      <c r="C719" s="81" t="s">
        <v>78</v>
      </c>
      <c r="D719" s="55">
        <v>1596</v>
      </c>
      <c r="E719" s="631">
        <f t="shared" si="11"/>
        <v>1596</v>
      </c>
      <c r="F719" s="607"/>
    </row>
    <row r="720" spans="1:6" s="14" customFormat="1" ht="24.75" customHeight="1" outlineLevel="2" x14ac:dyDescent="0.25">
      <c r="A720" s="77"/>
      <c r="B720" s="79" t="s">
        <v>146</v>
      </c>
      <c r="C720" s="81" t="s">
        <v>78</v>
      </c>
      <c r="D720" s="55">
        <v>1596</v>
      </c>
      <c r="E720" s="631">
        <f t="shared" si="11"/>
        <v>1596</v>
      </c>
      <c r="F720" s="607"/>
    </row>
    <row r="721" spans="1:6" s="14" customFormat="1" ht="24.75" customHeight="1" outlineLevel="2" x14ac:dyDescent="0.25">
      <c r="A721" s="77"/>
      <c r="B721" s="79" t="s">
        <v>667</v>
      </c>
      <c r="C721" s="81" t="s">
        <v>78</v>
      </c>
      <c r="D721" s="55">
        <v>1596</v>
      </c>
      <c r="E721" s="631">
        <f t="shared" si="11"/>
        <v>1596</v>
      </c>
      <c r="F721" s="607"/>
    </row>
    <row r="722" spans="1:6" s="14" customFormat="1" ht="24.75" customHeight="1" outlineLevel="2" x14ac:dyDescent="0.25">
      <c r="A722" s="77"/>
      <c r="B722" s="79" t="s">
        <v>148</v>
      </c>
      <c r="C722" s="81" t="s">
        <v>78</v>
      </c>
      <c r="D722" s="55">
        <v>1064</v>
      </c>
      <c r="E722" s="631">
        <f t="shared" si="11"/>
        <v>1064</v>
      </c>
      <c r="F722" s="607"/>
    </row>
    <row r="723" spans="1:6" s="14" customFormat="1" ht="24.75" customHeight="1" outlineLevel="2" x14ac:dyDescent="0.25">
      <c r="A723" s="77"/>
      <c r="B723" s="79" t="s">
        <v>149</v>
      </c>
      <c r="C723" s="81" t="s">
        <v>78</v>
      </c>
      <c r="D723" s="55">
        <v>1064</v>
      </c>
      <c r="E723" s="631">
        <f t="shared" si="11"/>
        <v>1064</v>
      </c>
      <c r="F723" s="607"/>
    </row>
    <row r="724" spans="1:6" s="14" customFormat="1" ht="24.75" customHeight="1" outlineLevel="2" x14ac:dyDescent="0.25">
      <c r="A724" s="77"/>
      <c r="B724" s="79" t="s">
        <v>150</v>
      </c>
      <c r="C724" s="81" t="s">
        <v>57</v>
      </c>
      <c r="D724" s="55">
        <v>39.622</v>
      </c>
      <c r="E724" s="631">
        <f t="shared" si="11"/>
        <v>39.622</v>
      </c>
      <c r="F724" s="607"/>
    </row>
    <row r="725" spans="1:6" s="14" customFormat="1" ht="24.75" customHeight="1" outlineLevel="2" x14ac:dyDescent="0.25">
      <c r="A725" s="77"/>
      <c r="B725" s="79" t="s">
        <v>151</v>
      </c>
      <c r="C725" s="81" t="s">
        <v>57</v>
      </c>
      <c r="D725" s="55">
        <v>13.08</v>
      </c>
      <c r="E725" s="631">
        <f t="shared" si="11"/>
        <v>13.08</v>
      </c>
      <c r="F725" s="607"/>
    </row>
    <row r="726" spans="1:6" s="14" customFormat="1" ht="24.75" customHeight="1" outlineLevel="2" x14ac:dyDescent="0.25">
      <c r="A726" s="77"/>
      <c r="B726" s="79" t="s">
        <v>97</v>
      </c>
      <c r="C726" s="81" t="s">
        <v>79</v>
      </c>
      <c r="D726" s="55">
        <v>96</v>
      </c>
      <c r="E726" s="631">
        <f t="shared" si="11"/>
        <v>96</v>
      </c>
      <c r="F726" s="607"/>
    </row>
    <row r="727" spans="1:6" s="14" customFormat="1" ht="24.75" customHeight="1" outlineLevel="2" x14ac:dyDescent="0.25">
      <c r="A727" s="77"/>
      <c r="B727" s="79" t="s">
        <v>98</v>
      </c>
      <c r="C727" s="81" t="s">
        <v>79</v>
      </c>
      <c r="D727" s="55">
        <v>32</v>
      </c>
      <c r="E727" s="631">
        <f t="shared" si="11"/>
        <v>32</v>
      </c>
      <c r="F727" s="607"/>
    </row>
    <row r="728" spans="1:6" s="14" customFormat="1" ht="24.75" customHeight="1" outlineLevel="2" x14ac:dyDescent="0.25">
      <c r="A728" s="57"/>
      <c r="B728" s="64" t="s">
        <v>99</v>
      </c>
      <c r="C728" s="57" t="s">
        <v>135</v>
      </c>
      <c r="D728" s="49">
        <v>1</v>
      </c>
      <c r="E728" s="631"/>
      <c r="F728" s="607"/>
    </row>
    <row r="729" spans="1:6" s="14" customFormat="1" ht="24.75" customHeight="1" outlineLevel="2" x14ac:dyDescent="0.25">
      <c r="A729" s="77"/>
      <c r="B729" s="79" t="s">
        <v>83</v>
      </c>
      <c r="C729" s="81" t="s">
        <v>77</v>
      </c>
      <c r="D729" s="55"/>
      <c r="E729" s="631"/>
      <c r="F729" s="607"/>
    </row>
    <row r="730" spans="1:6" s="14" customFormat="1" ht="24.75" customHeight="1" outlineLevel="2" x14ac:dyDescent="0.25">
      <c r="A730" s="77"/>
      <c r="B730" s="79" t="s">
        <v>85</v>
      </c>
      <c r="C730" s="81" t="s">
        <v>77</v>
      </c>
      <c r="D730" s="55">
        <v>26.493099999999998</v>
      </c>
      <c r="E730" s="631"/>
      <c r="F730" s="607"/>
    </row>
    <row r="731" spans="1:6" s="14" customFormat="1" ht="24.75" customHeight="1" outlineLevel="2" x14ac:dyDescent="0.25">
      <c r="A731" s="77"/>
      <c r="B731" s="79" t="s">
        <v>87</v>
      </c>
      <c r="C731" s="81" t="s">
        <v>77</v>
      </c>
      <c r="D731" s="55">
        <v>12.243880000000001</v>
      </c>
      <c r="E731" s="631"/>
      <c r="F731" s="607"/>
    </row>
    <row r="732" spans="1:6" s="14" customFormat="1" ht="24.75" customHeight="1" outlineLevel="2" x14ac:dyDescent="0.25">
      <c r="A732" s="77"/>
      <c r="B732" s="79" t="s">
        <v>109</v>
      </c>
      <c r="C732" s="81" t="s">
        <v>77</v>
      </c>
      <c r="D732" s="55">
        <v>92.989660000000001</v>
      </c>
      <c r="E732" s="631"/>
      <c r="F732" s="607"/>
    </row>
    <row r="733" spans="1:6" s="14" customFormat="1" ht="24.75" customHeight="1" outlineLevel="2" x14ac:dyDescent="0.25">
      <c r="A733" s="77"/>
      <c r="B733" s="79" t="s">
        <v>1088</v>
      </c>
      <c r="C733" s="80" t="s">
        <v>10</v>
      </c>
      <c r="D733" s="55">
        <v>811.26</v>
      </c>
      <c r="E733" s="631"/>
      <c r="F733" s="607"/>
    </row>
    <row r="734" spans="1:6" s="14" customFormat="1" ht="24.75" customHeight="1" outlineLevel="2" x14ac:dyDescent="0.25">
      <c r="A734" s="77"/>
      <c r="B734" s="79" t="s">
        <v>102</v>
      </c>
      <c r="C734" s="81" t="s">
        <v>66</v>
      </c>
      <c r="D734" s="55">
        <v>4.4400000000000004</v>
      </c>
      <c r="E734" s="631"/>
      <c r="F734" s="607"/>
    </row>
    <row r="735" spans="1:6" s="14" customFormat="1" ht="24.75" customHeight="1" outlineLevel="2" x14ac:dyDescent="0.25">
      <c r="A735" s="57"/>
      <c r="B735" s="64" t="s">
        <v>104</v>
      </c>
      <c r="C735" s="57" t="s">
        <v>136</v>
      </c>
      <c r="D735" s="49">
        <v>1</v>
      </c>
      <c r="E735" s="631"/>
      <c r="F735" s="607"/>
    </row>
    <row r="736" spans="1:6" s="14" customFormat="1" ht="24.75" customHeight="1" outlineLevel="2" x14ac:dyDescent="0.25">
      <c r="A736" s="57"/>
      <c r="B736" s="61" t="s">
        <v>83</v>
      </c>
      <c r="C736" s="62" t="s">
        <v>77</v>
      </c>
      <c r="D736" s="49">
        <v>0.27021000000000001</v>
      </c>
      <c r="E736" s="631"/>
      <c r="F736" s="607"/>
    </row>
    <row r="737" spans="1:6" s="14" customFormat="1" ht="24.75" customHeight="1" outlineLevel="2" x14ac:dyDescent="0.25">
      <c r="A737" s="77"/>
      <c r="B737" s="79" t="s">
        <v>85</v>
      </c>
      <c r="C737" s="81" t="s">
        <v>77</v>
      </c>
      <c r="D737" s="55">
        <v>19.951160000000002</v>
      </c>
      <c r="E737" s="631"/>
      <c r="F737" s="607"/>
    </row>
    <row r="738" spans="1:6" s="14" customFormat="1" ht="24.75" customHeight="1" outlineLevel="2" x14ac:dyDescent="0.25">
      <c r="A738" s="57"/>
      <c r="B738" s="61" t="s">
        <v>87</v>
      </c>
      <c r="C738" s="62" t="s">
        <v>77</v>
      </c>
      <c r="D738" s="49">
        <v>1.15743</v>
      </c>
      <c r="E738" s="631"/>
      <c r="F738" s="607"/>
    </row>
    <row r="739" spans="1:6" s="14" customFormat="1" ht="24.75" customHeight="1" outlineLevel="2" x14ac:dyDescent="0.25">
      <c r="A739" s="77"/>
      <c r="B739" s="79" t="s">
        <v>109</v>
      </c>
      <c r="C739" s="81" t="s">
        <v>77</v>
      </c>
      <c r="D739" s="55">
        <v>30.29608</v>
      </c>
      <c r="E739" s="631"/>
      <c r="F739" s="607"/>
    </row>
    <row r="740" spans="1:6" s="14" customFormat="1" ht="24.75" customHeight="1" outlineLevel="2" x14ac:dyDescent="0.25">
      <c r="A740" s="77"/>
      <c r="B740" s="79" t="s">
        <v>1088</v>
      </c>
      <c r="C740" s="80" t="s">
        <v>10</v>
      </c>
      <c r="D740" s="55">
        <v>221.14</v>
      </c>
      <c r="E740" s="631"/>
      <c r="F740" s="607"/>
    </row>
    <row r="741" spans="1:6" s="14" customFormat="1" ht="24.75" customHeight="1" outlineLevel="2" x14ac:dyDescent="0.25">
      <c r="A741" s="77"/>
      <c r="B741" s="79" t="s">
        <v>102</v>
      </c>
      <c r="C741" s="81" t="s">
        <v>66</v>
      </c>
      <c r="D741" s="55">
        <v>2.0449999999999999</v>
      </c>
      <c r="E741" s="631"/>
      <c r="F741" s="607"/>
    </row>
    <row r="742" spans="1:6" s="14" customFormat="1" ht="24.75" customHeight="1" outlineLevel="2" x14ac:dyDescent="0.25">
      <c r="A742" s="57"/>
      <c r="B742" s="64" t="s">
        <v>1089</v>
      </c>
      <c r="C742" s="59" t="s">
        <v>134</v>
      </c>
      <c r="D742" s="49"/>
      <c r="E742" s="631"/>
      <c r="F742" s="607"/>
    </row>
    <row r="743" spans="1:6" s="14" customFormat="1" ht="24.75" customHeight="1" outlineLevel="2" x14ac:dyDescent="0.25">
      <c r="A743" s="57"/>
      <c r="B743" s="592" t="s">
        <v>924</v>
      </c>
      <c r="C743" s="593" t="s">
        <v>77</v>
      </c>
      <c r="D743" s="49"/>
      <c r="E743" s="631"/>
      <c r="F743" s="607"/>
    </row>
    <row r="744" spans="1:6" s="14" customFormat="1" ht="24.75" customHeight="1" outlineLevel="2" x14ac:dyDescent="0.25">
      <c r="A744" s="57"/>
      <c r="B744" s="592" t="s">
        <v>987</v>
      </c>
      <c r="C744" s="593" t="s">
        <v>124</v>
      </c>
      <c r="D744" s="49"/>
      <c r="E744" s="631"/>
      <c r="F744" s="607"/>
    </row>
    <row r="745" spans="1:6" s="14" customFormat="1" ht="24.75" customHeight="1" outlineLevel="2" x14ac:dyDescent="0.25">
      <c r="A745" s="57"/>
      <c r="B745" s="592" t="s">
        <v>1090</v>
      </c>
      <c r="C745" s="593" t="s">
        <v>78</v>
      </c>
      <c r="D745" s="49"/>
      <c r="E745" s="631"/>
      <c r="F745" s="607"/>
    </row>
    <row r="746" spans="1:6" s="14" customFormat="1" ht="24.75" customHeight="1" outlineLevel="2" x14ac:dyDescent="0.25">
      <c r="A746" s="57"/>
      <c r="B746" s="592" t="s">
        <v>990</v>
      </c>
      <c r="C746" s="593" t="s">
        <v>78</v>
      </c>
      <c r="D746" s="49"/>
      <c r="E746" s="631"/>
      <c r="F746" s="607"/>
    </row>
    <row r="747" spans="1:6" s="14" customFormat="1" ht="24.75" customHeight="1" outlineLevel="2" x14ac:dyDescent="0.25">
      <c r="A747" s="57"/>
      <c r="B747" s="592" t="s">
        <v>1091</v>
      </c>
      <c r="C747" s="593" t="s">
        <v>57</v>
      </c>
      <c r="D747" s="49"/>
      <c r="E747" s="631"/>
      <c r="F747" s="607"/>
    </row>
    <row r="748" spans="1:6" s="14" customFormat="1" ht="24.75" customHeight="1" outlineLevel="2" x14ac:dyDescent="0.25">
      <c r="A748" s="57"/>
      <c r="B748" s="592" t="s">
        <v>932</v>
      </c>
      <c r="C748" s="593" t="s">
        <v>10</v>
      </c>
      <c r="D748" s="49"/>
      <c r="E748" s="631"/>
      <c r="F748" s="607"/>
    </row>
    <row r="749" spans="1:6" s="14" customFormat="1" ht="24.75" customHeight="1" outlineLevel="2" x14ac:dyDescent="0.25">
      <c r="A749" s="57"/>
      <c r="B749" s="592" t="s">
        <v>1092</v>
      </c>
      <c r="C749" s="593" t="s">
        <v>10</v>
      </c>
      <c r="D749" s="49"/>
      <c r="E749" s="631"/>
      <c r="F749" s="607"/>
    </row>
    <row r="750" spans="1:6" s="14" customFormat="1" ht="24.75" customHeight="1" outlineLevel="2" x14ac:dyDescent="0.25">
      <c r="A750" s="57"/>
      <c r="B750" s="592" t="s">
        <v>929</v>
      </c>
      <c r="C750" s="593" t="s">
        <v>77</v>
      </c>
      <c r="D750" s="49"/>
      <c r="E750" s="631"/>
      <c r="F750" s="607"/>
    </row>
    <row r="751" spans="1:6" s="14" customFormat="1" ht="24.75" customHeight="1" outlineLevel="2" x14ac:dyDescent="0.25">
      <c r="A751" s="57"/>
      <c r="B751" s="594" t="s">
        <v>1093</v>
      </c>
      <c r="C751" s="66"/>
      <c r="D751" s="49"/>
      <c r="E751" s="631"/>
      <c r="F751" s="607"/>
    </row>
    <row r="752" spans="1:6" s="14" customFormat="1" ht="24.75" customHeight="1" outlineLevel="2" x14ac:dyDescent="0.25">
      <c r="A752" s="57"/>
      <c r="B752" s="68" t="s">
        <v>1094</v>
      </c>
      <c r="C752" s="66" t="s">
        <v>77</v>
      </c>
      <c r="D752" s="49">
        <v>2.5893099999999998</v>
      </c>
      <c r="E752" s="631"/>
      <c r="F752" s="607"/>
    </row>
    <row r="753" spans="1:16" s="14" customFormat="1" ht="24.75" customHeight="1" outlineLevel="2" x14ac:dyDescent="0.25">
      <c r="A753" s="57"/>
      <c r="B753" s="68" t="s">
        <v>987</v>
      </c>
      <c r="C753" s="66" t="s">
        <v>124</v>
      </c>
      <c r="D753" s="49">
        <v>80</v>
      </c>
      <c r="E753" s="631"/>
      <c r="F753" s="607"/>
    </row>
    <row r="754" spans="1:16" s="14" customFormat="1" ht="24.75" customHeight="1" outlineLevel="2" x14ac:dyDescent="0.25">
      <c r="A754" s="57"/>
      <c r="B754" s="68" t="s">
        <v>1090</v>
      </c>
      <c r="C754" s="66" t="s">
        <v>78</v>
      </c>
      <c r="D754" s="49">
        <v>16</v>
      </c>
      <c r="E754" s="631"/>
      <c r="F754" s="607"/>
    </row>
    <row r="755" spans="1:16" s="14" customFormat="1" ht="24.75" customHeight="1" outlineLevel="2" x14ac:dyDescent="0.25">
      <c r="A755" s="57"/>
      <c r="B755" s="68" t="s">
        <v>990</v>
      </c>
      <c r="C755" s="66" t="s">
        <v>78</v>
      </c>
      <c r="D755" s="49">
        <v>16</v>
      </c>
      <c r="E755" s="631"/>
      <c r="F755" s="607"/>
    </row>
    <row r="756" spans="1:16" s="14" customFormat="1" ht="24.75" customHeight="1" outlineLevel="2" x14ac:dyDescent="0.25">
      <c r="A756" s="57"/>
      <c r="B756" s="68" t="s">
        <v>1091</v>
      </c>
      <c r="C756" s="66" t="s">
        <v>57</v>
      </c>
      <c r="D756" s="49">
        <v>0.99120000000000008</v>
      </c>
      <c r="E756" s="631"/>
      <c r="F756" s="607"/>
    </row>
    <row r="757" spans="1:16" s="14" customFormat="1" ht="24.75" customHeight="1" outlineLevel="2" x14ac:dyDescent="0.25">
      <c r="A757" s="57"/>
      <c r="B757" s="68" t="s">
        <v>932</v>
      </c>
      <c r="C757" s="66" t="s">
        <v>10</v>
      </c>
      <c r="D757" s="49">
        <v>0.34</v>
      </c>
      <c r="E757" s="631"/>
      <c r="F757" s="607"/>
    </row>
    <row r="758" spans="1:16" s="14" customFormat="1" ht="24.75" customHeight="1" outlineLevel="2" x14ac:dyDescent="0.25">
      <c r="A758" s="57"/>
      <c r="B758" s="68" t="s">
        <v>1092</v>
      </c>
      <c r="C758" s="66" t="s">
        <v>10</v>
      </c>
      <c r="D758" s="49">
        <v>0.22</v>
      </c>
      <c r="E758" s="631"/>
      <c r="F758" s="607"/>
    </row>
    <row r="759" spans="1:16" s="14" customFormat="1" ht="24.75" customHeight="1" outlineLevel="2" x14ac:dyDescent="0.25">
      <c r="A759" s="57"/>
      <c r="B759" s="68" t="s">
        <v>929</v>
      </c>
      <c r="C759" s="66" t="s">
        <v>77</v>
      </c>
      <c r="D759" s="49">
        <v>0.45961000000000002</v>
      </c>
      <c r="E759" s="631"/>
      <c r="F759" s="607"/>
    </row>
    <row r="760" spans="1:16" s="14" customFormat="1" ht="24.75" customHeight="1" outlineLevel="2" x14ac:dyDescent="0.25">
      <c r="A760" s="57"/>
      <c r="B760" s="65" t="s">
        <v>153</v>
      </c>
      <c r="C760" s="66"/>
      <c r="D760" s="49"/>
      <c r="E760" s="631"/>
      <c r="F760" s="607"/>
    </row>
    <row r="761" spans="1:16" s="14" customFormat="1" ht="24.75" customHeight="1" outlineLevel="2" x14ac:dyDescent="0.25">
      <c r="A761" s="57"/>
      <c r="B761" s="67" t="s">
        <v>85</v>
      </c>
      <c r="C761" s="66" t="s">
        <v>77</v>
      </c>
      <c r="D761" s="49">
        <v>0.183</v>
      </c>
      <c r="E761" s="631"/>
      <c r="F761" s="607"/>
    </row>
    <row r="762" spans="1:16" s="14" customFormat="1" ht="24.75" customHeight="1" outlineLevel="2" x14ac:dyDescent="0.25">
      <c r="A762" s="57"/>
      <c r="B762" s="67" t="s">
        <v>150</v>
      </c>
      <c r="C762" s="66" t="s">
        <v>57</v>
      </c>
      <c r="D762" s="49">
        <v>4.2000000000000003E-2</v>
      </c>
      <c r="E762" s="631"/>
      <c r="F762" s="607"/>
    </row>
    <row r="763" spans="1:16" s="14" customFormat="1" ht="24.75" customHeight="1" outlineLevel="2" x14ac:dyDescent="0.25">
      <c r="A763" s="57"/>
      <c r="B763" s="67" t="s">
        <v>151</v>
      </c>
      <c r="C763" s="66" t="s">
        <v>57</v>
      </c>
      <c r="D763" s="49">
        <v>1.4E-2</v>
      </c>
      <c r="E763" s="631"/>
      <c r="F763" s="607"/>
    </row>
    <row r="764" spans="1:16" s="14" customFormat="1" ht="24.75" customHeight="1" outlineLevel="2" x14ac:dyDescent="0.25">
      <c r="A764" s="57"/>
      <c r="B764" s="68" t="s">
        <v>1095</v>
      </c>
      <c r="C764" s="66" t="s">
        <v>78</v>
      </c>
      <c r="D764" s="49">
        <v>18</v>
      </c>
      <c r="E764" s="631"/>
      <c r="F764" s="607"/>
    </row>
    <row r="765" spans="1:16" s="14" customFormat="1" ht="39" customHeight="1" outlineLevel="1" x14ac:dyDescent="0.25">
      <c r="A765" s="57">
        <v>3</v>
      </c>
      <c r="B765" s="58" t="s">
        <v>141</v>
      </c>
      <c r="C765" s="59" t="s">
        <v>134</v>
      </c>
      <c r="D765" s="49">
        <v>1</v>
      </c>
      <c r="E765" s="608">
        <f t="shared" si="11"/>
        <v>1</v>
      </c>
      <c r="F765" s="607"/>
      <c r="K765" s="14" t="s">
        <v>414</v>
      </c>
      <c r="L765" s="14">
        <v>65.5</v>
      </c>
      <c r="N765" s="14" t="s">
        <v>118</v>
      </c>
      <c r="O765" s="14">
        <f>PI()*1.5^2*L765/4-PI()*(119.5*10^-3)^2*64.43/4-PI()*(65.9*10^-3)^2*195.69/4</f>
        <v>114.35796163076779</v>
      </c>
      <c r="P765" s="14">
        <f>O765*6</f>
        <v>686.14776978460668</v>
      </c>
    </row>
    <row r="766" spans="1:16" s="14" customFormat="1" ht="33.75" customHeight="1" outlineLevel="2" x14ac:dyDescent="0.25">
      <c r="A766" s="57"/>
      <c r="B766" s="58" t="s">
        <v>142</v>
      </c>
      <c r="C766" s="60" t="s">
        <v>76</v>
      </c>
      <c r="D766" s="49" t="s">
        <v>114</v>
      </c>
      <c r="E766" s="608" t="str">
        <f t="shared" si="11"/>
        <v>6/392,58</v>
      </c>
      <c r="F766" s="607"/>
    </row>
    <row r="767" spans="1:16" s="14" customFormat="1" ht="24.75" customHeight="1" outlineLevel="2" x14ac:dyDescent="0.25">
      <c r="A767" s="57"/>
      <c r="B767" s="61" t="s">
        <v>81</v>
      </c>
      <c r="C767" s="62" t="s">
        <v>77</v>
      </c>
      <c r="D767" s="49">
        <v>6.3647999999999998</v>
      </c>
      <c r="E767" s="609">
        <f>D767</f>
        <v>6.3647999999999998</v>
      </c>
      <c r="F767" s="607"/>
      <c r="H767" s="113">
        <f>D767/6</f>
        <v>1.0608</v>
      </c>
    </row>
    <row r="768" spans="1:16" s="14" customFormat="1" ht="24.75" customHeight="1" outlineLevel="2" x14ac:dyDescent="0.25">
      <c r="A768" s="57"/>
      <c r="B768" s="61" t="s">
        <v>85</v>
      </c>
      <c r="C768" s="62" t="s">
        <v>77</v>
      </c>
      <c r="D768" s="49">
        <v>10.468200000000001</v>
      </c>
      <c r="E768" s="609">
        <f t="shared" ref="E768:E772" si="12">D768</f>
        <v>10.468200000000001</v>
      </c>
      <c r="F768" s="607"/>
      <c r="H768" s="113">
        <f t="shared" ref="H768:H785" si="13">D768/6</f>
        <v>1.7447000000000001</v>
      </c>
    </row>
    <row r="769" spans="1:8" s="14" customFormat="1" ht="24.75" customHeight="1" outlineLevel="2" x14ac:dyDescent="0.25">
      <c r="A769" s="57"/>
      <c r="B769" s="61" t="s">
        <v>86</v>
      </c>
      <c r="C769" s="62" t="s">
        <v>77</v>
      </c>
      <c r="D769" s="49">
        <v>5.8571999999999997</v>
      </c>
      <c r="E769" s="609">
        <f t="shared" si="12"/>
        <v>5.8571999999999997</v>
      </c>
      <c r="F769" s="607"/>
      <c r="H769" s="113">
        <f t="shared" si="13"/>
        <v>0.97619999999999996</v>
      </c>
    </row>
    <row r="770" spans="1:8" s="14" customFormat="1" ht="24.75" customHeight="1" outlineLevel="2" x14ac:dyDescent="0.25">
      <c r="A770" s="57"/>
      <c r="B770" s="61" t="s">
        <v>87</v>
      </c>
      <c r="C770" s="62" t="s">
        <v>77</v>
      </c>
      <c r="D770" s="49">
        <v>14.9076</v>
      </c>
      <c r="E770" s="609">
        <f t="shared" si="12"/>
        <v>14.9076</v>
      </c>
      <c r="F770" s="607"/>
      <c r="H770" s="113">
        <f t="shared" si="13"/>
        <v>2.4845999999999999</v>
      </c>
    </row>
    <row r="771" spans="1:8" s="14" customFormat="1" ht="24.75" customHeight="1" outlineLevel="2" x14ac:dyDescent="0.25">
      <c r="A771" s="57"/>
      <c r="B771" s="61" t="s">
        <v>143</v>
      </c>
      <c r="C771" s="62" t="s">
        <v>77</v>
      </c>
      <c r="D771" s="49">
        <v>9.4937999999999985</v>
      </c>
      <c r="E771" s="609">
        <f t="shared" si="12"/>
        <v>9.4937999999999985</v>
      </c>
      <c r="F771" s="607"/>
      <c r="H771" s="113">
        <f t="shared" si="13"/>
        <v>1.5822999999999998</v>
      </c>
    </row>
    <row r="772" spans="1:8" s="14" customFormat="1" ht="24.75" customHeight="1" outlineLevel="2" x14ac:dyDescent="0.25">
      <c r="A772" s="57"/>
      <c r="B772" s="61" t="s">
        <v>109</v>
      </c>
      <c r="C772" s="62" t="s">
        <v>77</v>
      </c>
      <c r="D772" s="49">
        <v>11.724600000000001</v>
      </c>
      <c r="E772" s="609">
        <f t="shared" si="12"/>
        <v>11.724600000000001</v>
      </c>
      <c r="F772" s="607"/>
      <c r="H772" s="113">
        <f t="shared" si="13"/>
        <v>1.9541000000000002</v>
      </c>
    </row>
    <row r="773" spans="1:8" s="14" customFormat="1" ht="24.75" customHeight="1" outlineLevel="2" x14ac:dyDescent="0.25">
      <c r="A773" s="57"/>
      <c r="B773" s="61" t="s">
        <v>88</v>
      </c>
      <c r="C773" s="63" t="s">
        <v>10</v>
      </c>
      <c r="D773" s="49">
        <v>685.44</v>
      </c>
      <c r="E773" s="609">
        <f>D773</f>
        <v>685.44</v>
      </c>
      <c r="F773" s="607"/>
      <c r="H773" s="113">
        <f t="shared" si="13"/>
        <v>114.24000000000001</v>
      </c>
    </row>
    <row r="774" spans="1:8" s="14" customFormat="1" ht="24.75" customHeight="1" outlineLevel="2" x14ac:dyDescent="0.25">
      <c r="A774" s="57"/>
      <c r="B774" s="61" t="s">
        <v>89</v>
      </c>
      <c r="C774" s="62" t="s">
        <v>10</v>
      </c>
      <c r="D774" s="49">
        <v>7.14</v>
      </c>
      <c r="E774" s="609">
        <f>D774</f>
        <v>7.14</v>
      </c>
      <c r="F774" s="607"/>
      <c r="H774" s="113">
        <f t="shared" si="13"/>
        <v>1.19</v>
      </c>
    </row>
    <row r="775" spans="1:8" s="14" customFormat="1" ht="24.75" customHeight="1" outlineLevel="2" x14ac:dyDescent="0.25">
      <c r="A775" s="57"/>
      <c r="B775" s="61" t="s">
        <v>144</v>
      </c>
      <c r="C775" s="62" t="s">
        <v>10</v>
      </c>
      <c r="D775" s="49">
        <v>13.56</v>
      </c>
      <c r="E775" s="609">
        <f>D775</f>
        <v>13.56</v>
      </c>
      <c r="F775" s="607"/>
      <c r="H775" s="113">
        <f t="shared" si="13"/>
        <v>2.2600000000000002</v>
      </c>
    </row>
    <row r="776" spans="1:8" s="14" customFormat="1" ht="24.75" customHeight="1" outlineLevel="2" x14ac:dyDescent="0.25">
      <c r="A776" s="57"/>
      <c r="B776" s="61" t="s">
        <v>90</v>
      </c>
      <c r="C776" s="63" t="s">
        <v>77</v>
      </c>
      <c r="D776" s="49">
        <v>1.5569999999999999</v>
      </c>
      <c r="E776" s="609">
        <f>D776</f>
        <v>1.5569999999999999</v>
      </c>
      <c r="F776" s="607"/>
      <c r="H776" s="113">
        <f t="shared" si="13"/>
        <v>0.25950000000000001</v>
      </c>
    </row>
    <row r="777" spans="1:8" s="14" customFormat="1" ht="24.75" customHeight="1" outlineLevel="2" x14ac:dyDescent="0.25">
      <c r="A777" s="57"/>
      <c r="B777" s="61" t="s">
        <v>145</v>
      </c>
      <c r="C777" s="62" t="s">
        <v>78</v>
      </c>
      <c r="D777" s="49">
        <v>504</v>
      </c>
      <c r="E777" s="609">
        <f>D777</f>
        <v>504</v>
      </c>
      <c r="F777" s="607"/>
      <c r="H777" s="113">
        <f t="shared" si="13"/>
        <v>84</v>
      </c>
    </row>
    <row r="778" spans="1:8" s="14" customFormat="1" ht="24.75" customHeight="1" outlineLevel="2" x14ac:dyDescent="0.25">
      <c r="A778" s="57"/>
      <c r="B778" s="61" t="s">
        <v>146</v>
      </c>
      <c r="C778" s="62" t="s">
        <v>78</v>
      </c>
      <c r="D778" s="49">
        <v>504</v>
      </c>
      <c r="E778" s="609">
        <f t="shared" ref="E778:E785" si="14">D778</f>
        <v>504</v>
      </c>
      <c r="F778" s="607"/>
      <c r="H778" s="113">
        <f t="shared" si="13"/>
        <v>84</v>
      </c>
    </row>
    <row r="779" spans="1:8" s="14" customFormat="1" ht="24.75" customHeight="1" outlineLevel="2" x14ac:dyDescent="0.25">
      <c r="A779" s="57"/>
      <c r="B779" s="61" t="s">
        <v>147</v>
      </c>
      <c r="C779" s="62" t="s">
        <v>78</v>
      </c>
      <c r="D779" s="49">
        <v>504</v>
      </c>
      <c r="E779" s="609">
        <f t="shared" si="14"/>
        <v>504</v>
      </c>
      <c r="F779" s="607"/>
      <c r="H779" s="113">
        <f t="shared" si="13"/>
        <v>84</v>
      </c>
    </row>
    <row r="780" spans="1:8" s="14" customFormat="1" ht="24.75" customHeight="1" outlineLevel="2" x14ac:dyDescent="0.25">
      <c r="A780" s="57"/>
      <c r="B780" s="61" t="s">
        <v>148</v>
      </c>
      <c r="C780" s="62" t="s">
        <v>78</v>
      </c>
      <c r="D780" s="49">
        <v>336</v>
      </c>
      <c r="E780" s="609">
        <f t="shared" si="14"/>
        <v>336</v>
      </c>
      <c r="F780" s="607"/>
      <c r="H780" s="113">
        <f t="shared" si="13"/>
        <v>56</v>
      </c>
    </row>
    <row r="781" spans="1:8" s="14" customFormat="1" ht="24.75" customHeight="1" outlineLevel="2" x14ac:dyDescent="0.25">
      <c r="A781" s="57"/>
      <c r="B781" s="61" t="s">
        <v>149</v>
      </c>
      <c r="C781" s="62" t="s">
        <v>78</v>
      </c>
      <c r="D781" s="49">
        <v>672</v>
      </c>
      <c r="E781" s="609">
        <f t="shared" si="14"/>
        <v>672</v>
      </c>
      <c r="F781" s="607"/>
      <c r="H781" s="113">
        <f t="shared" si="13"/>
        <v>112</v>
      </c>
    </row>
    <row r="782" spans="1:8" s="14" customFormat="1" ht="24.75" customHeight="1" outlineLevel="2" x14ac:dyDescent="0.25">
      <c r="A782" s="57"/>
      <c r="B782" s="61" t="s">
        <v>150</v>
      </c>
      <c r="C782" s="62" t="s">
        <v>57</v>
      </c>
      <c r="D782" s="49">
        <v>11.741</v>
      </c>
      <c r="E782" s="609">
        <f t="shared" si="14"/>
        <v>11.741</v>
      </c>
      <c r="F782" s="607"/>
      <c r="H782" s="113">
        <f t="shared" si="13"/>
        <v>1.9568333333333332</v>
      </c>
    </row>
    <row r="783" spans="1:8" s="14" customFormat="1" ht="24.75" customHeight="1" outlineLevel="2" x14ac:dyDescent="0.25">
      <c r="A783" s="57"/>
      <c r="B783" s="61" t="s">
        <v>151</v>
      </c>
      <c r="C783" s="62" t="s">
        <v>57</v>
      </c>
      <c r="D783" s="49">
        <v>3.8660000000000001</v>
      </c>
      <c r="E783" s="609">
        <f t="shared" si="14"/>
        <v>3.8660000000000001</v>
      </c>
      <c r="F783" s="607"/>
      <c r="H783" s="113">
        <f t="shared" si="13"/>
        <v>0.64433333333333331</v>
      </c>
    </row>
    <row r="784" spans="1:8" s="14" customFormat="1" ht="24.75" customHeight="1" outlineLevel="2" x14ac:dyDescent="0.25">
      <c r="A784" s="57"/>
      <c r="B784" s="61" t="s">
        <v>97</v>
      </c>
      <c r="C784" s="62" t="s">
        <v>79</v>
      </c>
      <c r="D784" s="49">
        <v>36</v>
      </c>
      <c r="E784" s="609">
        <f t="shared" si="14"/>
        <v>36</v>
      </c>
      <c r="F784" s="607"/>
      <c r="H784" s="113">
        <f t="shared" si="13"/>
        <v>6</v>
      </c>
    </row>
    <row r="785" spans="1:8" s="14" customFormat="1" ht="24.75" customHeight="1" outlineLevel="2" x14ac:dyDescent="0.25">
      <c r="A785" s="57"/>
      <c r="B785" s="61" t="s">
        <v>98</v>
      </c>
      <c r="C785" s="62" t="s">
        <v>79</v>
      </c>
      <c r="D785" s="49">
        <v>12</v>
      </c>
      <c r="E785" s="609">
        <f t="shared" si="14"/>
        <v>12</v>
      </c>
      <c r="F785" s="607"/>
      <c r="H785" s="113">
        <f t="shared" si="13"/>
        <v>2</v>
      </c>
    </row>
    <row r="786" spans="1:8" s="14" customFormat="1" ht="24.75" customHeight="1" outlineLevel="2" x14ac:dyDescent="0.25">
      <c r="A786" s="57"/>
      <c r="B786" s="64" t="s">
        <v>99</v>
      </c>
      <c r="C786" s="57" t="s">
        <v>135</v>
      </c>
      <c r="D786" s="49">
        <v>1</v>
      </c>
      <c r="E786" s="609">
        <v>1</v>
      </c>
      <c r="F786" s="607"/>
    </row>
    <row r="787" spans="1:8" s="14" customFormat="1" ht="24.75" customHeight="1" outlineLevel="2" x14ac:dyDescent="0.25">
      <c r="A787" s="57"/>
      <c r="B787" s="61" t="s">
        <v>83</v>
      </c>
      <c r="C787" s="62" t="s">
        <v>77</v>
      </c>
      <c r="D787" s="49">
        <v>1.7738800000000001</v>
      </c>
      <c r="E787" s="609">
        <f>D787</f>
        <v>1.7738800000000001</v>
      </c>
      <c r="F787" s="607"/>
    </row>
    <row r="788" spans="1:8" s="14" customFormat="1" ht="24.75" customHeight="1" outlineLevel="2" x14ac:dyDescent="0.25">
      <c r="A788" s="57"/>
      <c r="B788" s="61" t="s">
        <v>84</v>
      </c>
      <c r="C788" s="62" t="s">
        <v>77</v>
      </c>
      <c r="D788" s="49">
        <v>0.89637999999999995</v>
      </c>
      <c r="E788" s="609">
        <f t="shared" ref="E788:E851" si="15">D788</f>
        <v>0.89637999999999995</v>
      </c>
      <c r="F788" s="607"/>
    </row>
    <row r="789" spans="1:8" s="14" customFormat="1" ht="24.75" customHeight="1" outlineLevel="2" x14ac:dyDescent="0.25">
      <c r="A789" s="57"/>
      <c r="B789" s="61" t="s">
        <v>143</v>
      </c>
      <c r="C789" s="62" t="s">
        <v>77</v>
      </c>
      <c r="D789" s="49">
        <v>16.487290000000002</v>
      </c>
      <c r="E789" s="609">
        <f t="shared" si="15"/>
        <v>16.487290000000002</v>
      </c>
      <c r="F789" s="607"/>
    </row>
    <row r="790" spans="1:8" s="14" customFormat="1" ht="24.75" customHeight="1" outlineLevel="2" x14ac:dyDescent="0.25">
      <c r="A790" s="57"/>
      <c r="B790" s="61" t="s">
        <v>106</v>
      </c>
      <c r="C790" s="63" t="s">
        <v>10</v>
      </c>
      <c r="D790" s="49">
        <v>204.13</v>
      </c>
      <c r="E790" s="609">
        <f t="shared" si="15"/>
        <v>204.13</v>
      </c>
      <c r="F790" s="607"/>
    </row>
    <row r="791" spans="1:8" s="14" customFormat="1" ht="24.75" customHeight="1" outlineLevel="2" x14ac:dyDescent="0.25">
      <c r="A791" s="57"/>
      <c r="B791" s="61" t="s">
        <v>101</v>
      </c>
      <c r="C791" s="62" t="s">
        <v>10</v>
      </c>
      <c r="D791" s="49">
        <v>7.56</v>
      </c>
      <c r="E791" s="609">
        <f t="shared" si="15"/>
        <v>7.56</v>
      </c>
      <c r="F791" s="607"/>
    </row>
    <row r="792" spans="1:8" s="14" customFormat="1" ht="24.75" customHeight="1" outlineLevel="2" x14ac:dyDescent="0.25">
      <c r="A792" s="57"/>
      <c r="B792" s="61" t="s">
        <v>102</v>
      </c>
      <c r="C792" s="62" t="s">
        <v>66</v>
      </c>
      <c r="D792" s="49">
        <v>0.92500000000000004</v>
      </c>
      <c r="E792" s="609">
        <f t="shared" si="15"/>
        <v>0.92500000000000004</v>
      </c>
      <c r="F792" s="607"/>
    </row>
    <row r="793" spans="1:8" s="14" customFormat="1" ht="24.75" customHeight="1" outlineLevel="2" x14ac:dyDescent="0.25">
      <c r="A793" s="57"/>
      <c r="B793" s="64" t="s">
        <v>104</v>
      </c>
      <c r="C793" s="57" t="s">
        <v>136</v>
      </c>
      <c r="D793" s="49">
        <v>1</v>
      </c>
      <c r="E793" s="609">
        <f t="shared" si="15"/>
        <v>1</v>
      </c>
      <c r="F793" s="607"/>
    </row>
    <row r="794" spans="1:8" s="14" customFormat="1" ht="24.75" customHeight="1" outlineLevel="2" x14ac:dyDescent="0.25">
      <c r="A794" s="57"/>
      <c r="B794" s="61" t="s">
        <v>83</v>
      </c>
      <c r="C794" s="62" t="s">
        <v>77</v>
      </c>
      <c r="D794" s="49">
        <v>2.9616500000000001</v>
      </c>
      <c r="E794" s="609">
        <f t="shared" si="15"/>
        <v>2.9616500000000001</v>
      </c>
      <c r="F794" s="607"/>
    </row>
    <row r="795" spans="1:8" s="14" customFormat="1" ht="24.75" customHeight="1" outlineLevel="2" x14ac:dyDescent="0.25">
      <c r="A795" s="57"/>
      <c r="B795" s="61" t="s">
        <v>109</v>
      </c>
      <c r="C795" s="62" t="s">
        <v>77</v>
      </c>
      <c r="D795" s="49">
        <v>12.69938</v>
      </c>
      <c r="E795" s="609">
        <f t="shared" si="15"/>
        <v>12.69938</v>
      </c>
      <c r="F795" s="607"/>
    </row>
    <row r="796" spans="1:8" s="14" customFormat="1" ht="24.75" customHeight="1" outlineLevel="2" x14ac:dyDescent="0.25">
      <c r="A796" s="57"/>
      <c r="B796" s="61" t="s">
        <v>106</v>
      </c>
      <c r="C796" s="63" t="s">
        <v>10</v>
      </c>
      <c r="D796" s="49">
        <v>83.56</v>
      </c>
      <c r="E796" s="609">
        <f t="shared" si="15"/>
        <v>83.56</v>
      </c>
      <c r="F796" s="607"/>
    </row>
    <row r="797" spans="1:8" s="14" customFormat="1" ht="24.75" customHeight="1" outlineLevel="2" x14ac:dyDescent="0.25">
      <c r="A797" s="57"/>
      <c r="B797" s="61" t="s">
        <v>102</v>
      </c>
      <c r="C797" s="62" t="s">
        <v>66</v>
      </c>
      <c r="D797" s="49">
        <v>1.0712000000000002</v>
      </c>
      <c r="E797" s="609">
        <f t="shared" si="15"/>
        <v>1.0712000000000002</v>
      </c>
      <c r="F797" s="607"/>
    </row>
    <row r="798" spans="1:8" s="14" customFormat="1" ht="24.75" customHeight="1" outlineLevel="2" x14ac:dyDescent="0.25">
      <c r="A798" s="57"/>
      <c r="B798" s="64" t="s">
        <v>107</v>
      </c>
      <c r="C798" s="59" t="s">
        <v>134</v>
      </c>
      <c r="D798" s="49">
        <v>1</v>
      </c>
      <c r="E798" s="609">
        <f t="shared" si="15"/>
        <v>1</v>
      </c>
      <c r="F798" s="607"/>
    </row>
    <row r="799" spans="1:8" s="14" customFormat="1" ht="24.75" customHeight="1" outlineLevel="2" x14ac:dyDescent="0.25">
      <c r="A799" s="57"/>
      <c r="B799" s="61" t="s">
        <v>108</v>
      </c>
      <c r="C799" s="62" t="s">
        <v>77</v>
      </c>
      <c r="D799" s="49">
        <v>3.13E-3</v>
      </c>
      <c r="E799" s="609">
        <f t="shared" si="15"/>
        <v>3.13E-3</v>
      </c>
      <c r="F799" s="607"/>
    </row>
    <row r="800" spans="1:8" s="14" customFormat="1" ht="24.75" customHeight="1" outlineLevel="2" x14ac:dyDescent="0.25">
      <c r="A800" s="57"/>
      <c r="B800" s="61" t="s">
        <v>81</v>
      </c>
      <c r="C800" s="62" t="s">
        <v>77</v>
      </c>
      <c r="D800" s="49">
        <v>0.35264999999999996</v>
      </c>
      <c r="E800" s="609">
        <f t="shared" si="15"/>
        <v>0.35264999999999996</v>
      </c>
      <c r="F800" s="607"/>
    </row>
    <row r="801" spans="1:6" s="14" customFormat="1" ht="24.75" customHeight="1" outlineLevel="2" x14ac:dyDescent="0.25">
      <c r="A801" s="57"/>
      <c r="B801" s="61" t="s">
        <v>83</v>
      </c>
      <c r="C801" s="62" t="s">
        <v>77</v>
      </c>
      <c r="D801" s="49">
        <v>2.0021499999999999</v>
      </c>
      <c r="E801" s="609">
        <f t="shared" si="15"/>
        <v>2.0021499999999999</v>
      </c>
      <c r="F801" s="607"/>
    </row>
    <row r="802" spans="1:6" s="14" customFormat="1" ht="24.75" customHeight="1" outlineLevel="2" x14ac:dyDescent="0.25">
      <c r="A802" s="57"/>
      <c r="B802" s="61" t="s">
        <v>87</v>
      </c>
      <c r="C802" s="62" t="s">
        <v>77</v>
      </c>
      <c r="D802" s="49">
        <v>3.7775700000000003</v>
      </c>
      <c r="E802" s="609">
        <f t="shared" si="15"/>
        <v>3.7775700000000003</v>
      </c>
      <c r="F802" s="607"/>
    </row>
    <row r="803" spans="1:6" s="14" customFormat="1" ht="24.75" customHeight="1" outlineLevel="2" x14ac:dyDescent="0.25">
      <c r="A803" s="57"/>
      <c r="B803" s="61" t="s">
        <v>143</v>
      </c>
      <c r="C803" s="62" t="s">
        <v>77</v>
      </c>
      <c r="D803" s="49">
        <v>1.30111</v>
      </c>
      <c r="E803" s="609">
        <f t="shared" si="15"/>
        <v>1.30111</v>
      </c>
      <c r="F803" s="607"/>
    </row>
    <row r="804" spans="1:6" s="14" customFormat="1" ht="24.75" customHeight="1" outlineLevel="2" x14ac:dyDescent="0.25">
      <c r="A804" s="57"/>
      <c r="B804" s="61" t="s">
        <v>109</v>
      </c>
      <c r="C804" s="62" t="s">
        <v>77</v>
      </c>
      <c r="D804" s="49">
        <v>2.7766500000000001</v>
      </c>
      <c r="E804" s="609">
        <f t="shared" si="15"/>
        <v>2.7766500000000001</v>
      </c>
      <c r="F804" s="607"/>
    </row>
    <row r="805" spans="1:6" s="14" customFormat="1" ht="24.75" customHeight="1" outlineLevel="2" x14ac:dyDescent="0.25">
      <c r="A805" s="57"/>
      <c r="B805" s="61" t="s">
        <v>152</v>
      </c>
      <c r="C805" s="63" t="s">
        <v>10</v>
      </c>
      <c r="D805" s="49">
        <v>46.97</v>
      </c>
      <c r="E805" s="609">
        <f t="shared" si="15"/>
        <v>46.97</v>
      </c>
      <c r="F805" s="607"/>
    </row>
    <row r="806" spans="1:6" s="14" customFormat="1" ht="24.75" customHeight="1" outlineLevel="2" x14ac:dyDescent="0.25">
      <c r="A806" s="57"/>
      <c r="B806" s="61" t="s">
        <v>110</v>
      </c>
      <c r="C806" s="62" t="s">
        <v>10</v>
      </c>
      <c r="D806" s="49">
        <v>0.18</v>
      </c>
      <c r="E806" s="609">
        <f t="shared" si="15"/>
        <v>0.18</v>
      </c>
      <c r="F806" s="607"/>
    </row>
    <row r="807" spans="1:6" s="14" customFormat="1" ht="24.75" customHeight="1" outlineLevel="2" x14ac:dyDescent="0.25">
      <c r="A807" s="57"/>
      <c r="B807" s="61" t="s">
        <v>102</v>
      </c>
      <c r="C807" s="62" t="s">
        <v>66</v>
      </c>
      <c r="D807" s="49">
        <v>0.78670000000000007</v>
      </c>
      <c r="E807" s="609">
        <f t="shared" si="15"/>
        <v>0.78670000000000007</v>
      </c>
      <c r="F807" s="607"/>
    </row>
    <row r="808" spans="1:6" s="14" customFormat="1" ht="24.75" customHeight="1" outlineLevel="2" x14ac:dyDescent="0.25">
      <c r="A808" s="50"/>
      <c r="B808" s="65" t="s">
        <v>153</v>
      </c>
      <c r="C808" s="66"/>
      <c r="D808" s="50"/>
      <c r="E808" s="609">
        <f t="shared" si="15"/>
        <v>0</v>
      </c>
      <c r="F808" s="607"/>
    </row>
    <row r="809" spans="1:6" s="14" customFormat="1" ht="24.75" customHeight="1" outlineLevel="2" x14ac:dyDescent="0.25">
      <c r="A809" s="50"/>
      <c r="B809" s="67" t="s">
        <v>85</v>
      </c>
      <c r="C809" s="66" t="s">
        <v>77</v>
      </c>
      <c r="D809" s="49">
        <v>0.115</v>
      </c>
      <c r="E809" s="609">
        <f t="shared" si="15"/>
        <v>0.115</v>
      </c>
      <c r="F809" s="607"/>
    </row>
    <row r="810" spans="1:6" s="14" customFormat="1" ht="24.75" customHeight="1" outlineLevel="2" x14ac:dyDescent="0.25">
      <c r="A810" s="50"/>
      <c r="B810" s="67" t="s">
        <v>150</v>
      </c>
      <c r="C810" s="66" t="s">
        <v>57</v>
      </c>
      <c r="D810" s="49">
        <v>9.4E-2</v>
      </c>
      <c r="E810" s="609">
        <f t="shared" si="15"/>
        <v>9.4E-2</v>
      </c>
      <c r="F810" s="607"/>
    </row>
    <row r="811" spans="1:6" s="14" customFormat="1" ht="24.75" customHeight="1" outlineLevel="2" x14ac:dyDescent="0.25">
      <c r="A811" s="50"/>
      <c r="B811" s="67" t="s">
        <v>151</v>
      </c>
      <c r="C811" s="66" t="s">
        <v>57</v>
      </c>
      <c r="D811" s="49">
        <v>3.1E-2</v>
      </c>
      <c r="E811" s="609">
        <f t="shared" si="15"/>
        <v>3.1E-2</v>
      </c>
      <c r="F811" s="607"/>
    </row>
    <row r="812" spans="1:6" s="14" customFormat="1" ht="24.75" customHeight="1" outlineLevel="2" x14ac:dyDescent="0.25">
      <c r="A812" s="50"/>
      <c r="B812" s="68" t="s">
        <v>154</v>
      </c>
      <c r="C812" s="66" t="s">
        <v>78</v>
      </c>
      <c r="D812" s="49">
        <v>18</v>
      </c>
      <c r="E812" s="609">
        <f t="shared" si="15"/>
        <v>18</v>
      </c>
      <c r="F812" s="607"/>
    </row>
    <row r="813" spans="1:6" s="14" customFormat="1" ht="48" customHeight="1" outlineLevel="1" x14ac:dyDescent="0.25">
      <c r="A813" s="57">
        <v>5</v>
      </c>
      <c r="B813" s="58" t="s">
        <v>155</v>
      </c>
      <c r="C813" s="59" t="s">
        <v>134</v>
      </c>
      <c r="D813" s="610"/>
      <c r="E813" s="609">
        <f t="shared" si="15"/>
        <v>0</v>
      </c>
      <c r="F813" s="611"/>
    </row>
    <row r="814" spans="1:6" s="14" customFormat="1" ht="30" customHeight="1" outlineLevel="2" x14ac:dyDescent="0.25">
      <c r="A814" s="612"/>
      <c r="B814" s="43" t="s">
        <v>80</v>
      </c>
      <c r="C814" s="44" t="s">
        <v>76</v>
      </c>
      <c r="D814" s="610" t="s">
        <v>111</v>
      </c>
      <c r="E814" s="609" t="str">
        <f t="shared" si="15"/>
        <v>4/248</v>
      </c>
      <c r="F814" s="613"/>
    </row>
    <row r="815" spans="1:6" s="14" customFormat="1" ht="23.25" customHeight="1" outlineLevel="2" x14ac:dyDescent="0.25">
      <c r="A815" s="612"/>
      <c r="B815" s="45" t="s">
        <v>81</v>
      </c>
      <c r="C815" s="46" t="s">
        <v>77</v>
      </c>
      <c r="D815" s="610">
        <v>2.996</v>
      </c>
      <c r="E815" s="609">
        <f t="shared" si="15"/>
        <v>2.996</v>
      </c>
      <c r="F815" s="613"/>
    </row>
    <row r="816" spans="1:6" s="14" customFormat="1" ht="23.25" customHeight="1" outlineLevel="2" x14ac:dyDescent="0.25">
      <c r="A816" s="612"/>
      <c r="B816" s="45" t="s">
        <v>82</v>
      </c>
      <c r="C816" s="46" t="s">
        <v>77</v>
      </c>
      <c r="D816" s="610">
        <v>0.20004</v>
      </c>
      <c r="E816" s="609">
        <f t="shared" si="15"/>
        <v>0.20004</v>
      </c>
      <c r="F816" s="613"/>
    </row>
    <row r="817" spans="1:6" s="14" customFormat="1" ht="23.25" customHeight="1" outlineLevel="2" x14ac:dyDescent="0.25">
      <c r="A817" s="612"/>
      <c r="B817" s="45" t="s">
        <v>83</v>
      </c>
      <c r="C817" s="46" t="s">
        <v>77</v>
      </c>
      <c r="D817" s="610">
        <v>1.384E-2</v>
      </c>
      <c r="E817" s="609">
        <f t="shared" si="15"/>
        <v>1.384E-2</v>
      </c>
      <c r="F817" s="613"/>
    </row>
    <row r="818" spans="1:6" s="14" customFormat="1" ht="23.25" customHeight="1" outlineLevel="2" x14ac:dyDescent="0.25">
      <c r="A818" s="612"/>
      <c r="B818" s="45" t="s">
        <v>84</v>
      </c>
      <c r="C818" s="46" t="s">
        <v>77</v>
      </c>
      <c r="D818" s="610">
        <v>4.6560000000000004E-2</v>
      </c>
      <c r="E818" s="609">
        <f t="shared" si="15"/>
        <v>4.6560000000000004E-2</v>
      </c>
      <c r="F818" s="613"/>
    </row>
    <row r="819" spans="1:6" s="14" customFormat="1" ht="23.25" customHeight="1" outlineLevel="2" x14ac:dyDescent="0.25">
      <c r="A819" s="612"/>
      <c r="B819" s="45" t="s">
        <v>85</v>
      </c>
      <c r="C819" s="46" t="s">
        <v>77</v>
      </c>
      <c r="D819" s="610">
        <v>10.555999999999999</v>
      </c>
      <c r="E819" s="609">
        <f t="shared" si="15"/>
        <v>10.555999999999999</v>
      </c>
      <c r="F819" s="613"/>
    </row>
    <row r="820" spans="1:6" s="14" customFormat="1" ht="23.25" customHeight="1" outlineLevel="2" x14ac:dyDescent="0.25">
      <c r="A820" s="612"/>
      <c r="B820" s="45" t="s">
        <v>86</v>
      </c>
      <c r="C820" s="46" t="s">
        <v>77</v>
      </c>
      <c r="D820" s="610">
        <v>3.347</v>
      </c>
      <c r="E820" s="609">
        <f t="shared" si="15"/>
        <v>3.347</v>
      </c>
      <c r="F820" s="613"/>
    </row>
    <row r="821" spans="1:6" s="14" customFormat="1" ht="23.25" customHeight="1" outlineLevel="2" x14ac:dyDescent="0.25">
      <c r="A821" s="612"/>
      <c r="B821" s="45" t="s">
        <v>87</v>
      </c>
      <c r="C821" s="46" t="s">
        <v>77</v>
      </c>
      <c r="D821" s="610">
        <v>5.6920000000000002</v>
      </c>
      <c r="E821" s="609">
        <f t="shared" si="15"/>
        <v>5.6920000000000002</v>
      </c>
      <c r="F821" s="613"/>
    </row>
    <row r="822" spans="1:6" s="14" customFormat="1" ht="23.25" customHeight="1" outlineLevel="2" x14ac:dyDescent="0.25">
      <c r="A822" s="612"/>
      <c r="B822" s="45" t="s">
        <v>88</v>
      </c>
      <c r="C822" s="47" t="s">
        <v>10</v>
      </c>
      <c r="D822" s="610">
        <v>281.2</v>
      </c>
      <c r="E822" s="609">
        <f t="shared" si="15"/>
        <v>281.2</v>
      </c>
      <c r="F822" s="613"/>
    </row>
    <row r="823" spans="1:6" s="14" customFormat="1" ht="23.25" customHeight="1" outlineLevel="2" x14ac:dyDescent="0.25">
      <c r="A823" s="612"/>
      <c r="B823" s="45" t="s">
        <v>89</v>
      </c>
      <c r="C823" s="46" t="s">
        <v>10</v>
      </c>
      <c r="D823" s="610">
        <v>3.72</v>
      </c>
      <c r="E823" s="609">
        <f t="shared" si="15"/>
        <v>3.72</v>
      </c>
      <c r="F823" s="613"/>
    </row>
    <row r="824" spans="1:6" s="14" customFormat="1" ht="23.25" customHeight="1" outlineLevel="2" x14ac:dyDescent="0.25">
      <c r="A824" s="612"/>
      <c r="B824" s="45" t="s">
        <v>90</v>
      </c>
      <c r="C824" s="47" t="s">
        <v>77</v>
      </c>
      <c r="D824" s="610">
        <v>1.67</v>
      </c>
      <c r="E824" s="609">
        <f t="shared" si="15"/>
        <v>1.67</v>
      </c>
      <c r="F824" s="613"/>
    </row>
    <row r="825" spans="1:6" s="14" customFormat="1" ht="23.25" customHeight="1" outlineLevel="2" x14ac:dyDescent="0.25">
      <c r="A825" s="612"/>
      <c r="B825" s="45" t="s">
        <v>91</v>
      </c>
      <c r="C825" s="46" t="s">
        <v>78</v>
      </c>
      <c r="D825" s="610">
        <v>0</v>
      </c>
      <c r="E825" s="609">
        <f t="shared" si="15"/>
        <v>0</v>
      </c>
      <c r="F825" s="613"/>
    </row>
    <row r="826" spans="1:6" s="14" customFormat="1" ht="23.25" customHeight="1" outlineLevel="2" x14ac:dyDescent="0.25">
      <c r="A826" s="612"/>
      <c r="B826" s="45" t="s">
        <v>92</v>
      </c>
      <c r="C826" s="46" t="s">
        <v>78</v>
      </c>
      <c r="D826" s="610">
        <v>0</v>
      </c>
      <c r="E826" s="609">
        <f t="shared" si="15"/>
        <v>0</v>
      </c>
      <c r="F826" s="613"/>
    </row>
    <row r="827" spans="1:6" s="14" customFormat="1" ht="23.25" customHeight="1" outlineLevel="2" x14ac:dyDescent="0.25">
      <c r="A827" s="612"/>
      <c r="B827" s="45" t="s">
        <v>93</v>
      </c>
      <c r="C827" s="46" t="s">
        <v>78</v>
      </c>
      <c r="D827" s="610">
        <v>288</v>
      </c>
      <c r="E827" s="609">
        <f t="shared" si="15"/>
        <v>288</v>
      </c>
      <c r="F827" s="613"/>
    </row>
    <row r="828" spans="1:6" s="14" customFormat="1" ht="23.25" customHeight="1" outlineLevel="2" x14ac:dyDescent="0.25">
      <c r="A828" s="612"/>
      <c r="B828" s="45" t="s">
        <v>94</v>
      </c>
      <c r="C828" s="46" t="s">
        <v>78</v>
      </c>
      <c r="D828" s="610">
        <v>1152</v>
      </c>
      <c r="E828" s="609">
        <f t="shared" si="15"/>
        <v>1152</v>
      </c>
      <c r="F828" s="613"/>
    </row>
    <row r="829" spans="1:6" s="14" customFormat="1" ht="23.25" customHeight="1" outlineLevel="2" x14ac:dyDescent="0.25">
      <c r="A829" s="612"/>
      <c r="B829" s="45" t="s">
        <v>95</v>
      </c>
      <c r="C829" s="46" t="s">
        <v>57</v>
      </c>
      <c r="D829" s="610">
        <v>7.56</v>
      </c>
      <c r="E829" s="609">
        <f t="shared" si="15"/>
        <v>7.56</v>
      </c>
      <c r="F829" s="613"/>
    </row>
    <row r="830" spans="1:6" s="14" customFormat="1" ht="23.25" customHeight="1" outlineLevel="2" x14ac:dyDescent="0.25">
      <c r="A830" s="612"/>
      <c r="B830" s="45" t="s">
        <v>96</v>
      </c>
      <c r="C830" s="46" t="s">
        <v>57</v>
      </c>
      <c r="D830" s="610">
        <v>2.4860000000000002</v>
      </c>
      <c r="E830" s="609">
        <f t="shared" si="15"/>
        <v>2.4860000000000002</v>
      </c>
      <c r="F830" s="613"/>
    </row>
    <row r="831" spans="1:6" s="14" customFormat="1" ht="23.25" customHeight="1" outlineLevel="2" x14ac:dyDescent="0.25">
      <c r="A831" s="612"/>
      <c r="B831" s="45" t="s">
        <v>97</v>
      </c>
      <c r="C831" s="46" t="s">
        <v>79</v>
      </c>
      <c r="D831" s="610">
        <v>8</v>
      </c>
      <c r="E831" s="609">
        <f t="shared" si="15"/>
        <v>8</v>
      </c>
      <c r="F831" s="613"/>
    </row>
    <row r="832" spans="1:6" s="14" customFormat="1" ht="23.25" customHeight="1" outlineLevel="2" x14ac:dyDescent="0.25">
      <c r="A832" s="612"/>
      <c r="B832" s="45" t="s">
        <v>98</v>
      </c>
      <c r="C832" s="46" t="s">
        <v>79</v>
      </c>
      <c r="D832" s="610">
        <v>24</v>
      </c>
      <c r="E832" s="609">
        <f t="shared" si="15"/>
        <v>24</v>
      </c>
      <c r="F832" s="613"/>
    </row>
    <row r="833" spans="1:6" s="14" customFormat="1" ht="23.25" customHeight="1" outlineLevel="2" x14ac:dyDescent="0.25">
      <c r="A833" s="612"/>
      <c r="B833" s="48" t="s">
        <v>99</v>
      </c>
      <c r="C833" s="47"/>
      <c r="D833" s="610"/>
      <c r="E833" s="609">
        <f t="shared" si="15"/>
        <v>0</v>
      </c>
      <c r="F833" s="613"/>
    </row>
    <row r="834" spans="1:6" s="14" customFormat="1" ht="23.25" customHeight="1" outlineLevel="2" x14ac:dyDescent="0.25">
      <c r="A834" s="612"/>
      <c r="B834" s="45" t="s">
        <v>83</v>
      </c>
      <c r="C834" s="46" t="s">
        <v>77</v>
      </c>
      <c r="D834" s="610">
        <v>1.13822</v>
      </c>
      <c r="E834" s="609">
        <f t="shared" si="15"/>
        <v>1.13822</v>
      </c>
      <c r="F834" s="613"/>
    </row>
    <row r="835" spans="1:6" s="14" customFormat="1" ht="23.25" customHeight="1" outlineLevel="2" x14ac:dyDescent="0.25">
      <c r="A835" s="612"/>
      <c r="B835" s="45" t="s">
        <v>84</v>
      </c>
      <c r="C835" s="46" t="s">
        <v>77</v>
      </c>
      <c r="D835" s="610">
        <v>0</v>
      </c>
      <c r="E835" s="609">
        <f t="shared" si="15"/>
        <v>0</v>
      </c>
      <c r="F835" s="613"/>
    </row>
    <row r="836" spans="1:6" s="14" customFormat="1" ht="23.25" customHeight="1" outlineLevel="2" x14ac:dyDescent="0.25">
      <c r="A836" s="612"/>
      <c r="B836" s="45" t="s">
        <v>85</v>
      </c>
      <c r="C836" s="46" t="s">
        <v>77</v>
      </c>
      <c r="D836" s="610">
        <v>1.423</v>
      </c>
      <c r="E836" s="609">
        <f t="shared" si="15"/>
        <v>1.423</v>
      </c>
      <c r="F836" s="613"/>
    </row>
    <row r="837" spans="1:6" s="14" customFormat="1" ht="23.25" customHeight="1" outlineLevel="2" x14ac:dyDescent="0.25">
      <c r="A837" s="612"/>
      <c r="B837" s="45" t="s">
        <v>86</v>
      </c>
      <c r="C837" s="46" t="s">
        <v>77</v>
      </c>
      <c r="D837" s="610">
        <v>0</v>
      </c>
      <c r="E837" s="609">
        <f t="shared" si="15"/>
        <v>0</v>
      </c>
      <c r="F837" s="613"/>
    </row>
    <row r="838" spans="1:6" s="14" customFormat="1" ht="23.25" customHeight="1" outlineLevel="2" x14ac:dyDescent="0.25">
      <c r="A838" s="612"/>
      <c r="B838" s="45" t="s">
        <v>87</v>
      </c>
      <c r="C838" s="46" t="s">
        <v>77</v>
      </c>
      <c r="D838" s="610">
        <v>2.218</v>
      </c>
      <c r="E838" s="609">
        <f t="shared" si="15"/>
        <v>2.218</v>
      </c>
      <c r="F838" s="613"/>
    </row>
    <row r="839" spans="1:6" s="14" customFormat="1" ht="23.25" customHeight="1" outlineLevel="2" x14ac:dyDescent="0.25">
      <c r="A839" s="612"/>
      <c r="B839" s="45" t="s">
        <v>100</v>
      </c>
      <c r="C839" s="47" t="s">
        <v>10</v>
      </c>
      <c r="D839" s="610">
        <v>83.32</v>
      </c>
      <c r="E839" s="609">
        <f t="shared" si="15"/>
        <v>83.32</v>
      </c>
      <c r="F839" s="613"/>
    </row>
    <row r="840" spans="1:6" s="14" customFormat="1" ht="23.25" customHeight="1" outlineLevel="2" x14ac:dyDescent="0.25">
      <c r="A840" s="612"/>
      <c r="B840" s="45" t="s">
        <v>101</v>
      </c>
      <c r="C840" s="46" t="s">
        <v>10</v>
      </c>
      <c r="D840" s="610">
        <v>4.01</v>
      </c>
      <c r="E840" s="609">
        <f t="shared" si="15"/>
        <v>4.01</v>
      </c>
      <c r="F840" s="613"/>
    </row>
    <row r="841" spans="1:6" s="14" customFormat="1" ht="23.25" customHeight="1" outlineLevel="2" x14ac:dyDescent="0.25">
      <c r="A841" s="612"/>
      <c r="B841" s="45" t="s">
        <v>102</v>
      </c>
      <c r="C841" s="46" t="s">
        <v>66</v>
      </c>
      <c r="D841" s="610">
        <v>0.52</v>
      </c>
      <c r="E841" s="609">
        <f t="shared" si="15"/>
        <v>0.52</v>
      </c>
      <c r="F841" s="613"/>
    </row>
    <row r="842" spans="1:6" s="14" customFormat="1" ht="23.25" customHeight="1" outlineLevel="2" x14ac:dyDescent="0.25">
      <c r="A842" s="612"/>
      <c r="B842" s="45" t="s">
        <v>103</v>
      </c>
      <c r="C842" s="46" t="s">
        <v>68</v>
      </c>
      <c r="D842" s="610">
        <v>84.95</v>
      </c>
      <c r="E842" s="609">
        <f t="shared" si="15"/>
        <v>84.95</v>
      </c>
      <c r="F842" s="613"/>
    </row>
    <row r="843" spans="1:6" s="14" customFormat="1" ht="23.25" customHeight="1" outlineLevel="2" x14ac:dyDescent="0.25">
      <c r="A843" s="612"/>
      <c r="B843" s="48" t="s">
        <v>104</v>
      </c>
      <c r="C843" s="47"/>
      <c r="D843" s="610"/>
      <c r="E843" s="609">
        <f t="shared" si="15"/>
        <v>0</v>
      </c>
      <c r="F843" s="613"/>
    </row>
    <row r="844" spans="1:6" s="14" customFormat="1" ht="23.25" customHeight="1" outlineLevel="2" x14ac:dyDescent="0.25">
      <c r="A844" s="612"/>
      <c r="B844" s="45" t="s">
        <v>105</v>
      </c>
      <c r="C844" s="46" t="s">
        <v>77</v>
      </c>
      <c r="D844" s="610">
        <v>0.189</v>
      </c>
      <c r="E844" s="609">
        <f t="shared" si="15"/>
        <v>0.189</v>
      </c>
      <c r="F844" s="613"/>
    </row>
    <row r="845" spans="1:6" s="14" customFormat="1" ht="23.25" customHeight="1" outlineLevel="2" x14ac:dyDescent="0.25">
      <c r="A845" s="612"/>
      <c r="B845" s="45" t="s">
        <v>83</v>
      </c>
      <c r="C845" s="46" t="s">
        <v>77</v>
      </c>
      <c r="D845" s="610">
        <v>1.7130000000000001</v>
      </c>
      <c r="E845" s="609">
        <f t="shared" si="15"/>
        <v>1.7130000000000001</v>
      </c>
      <c r="F845" s="613"/>
    </row>
    <row r="846" spans="1:6" s="14" customFormat="1" ht="23.25" customHeight="1" outlineLevel="2" x14ac:dyDescent="0.25">
      <c r="A846" s="612"/>
      <c r="B846" s="45" t="s">
        <v>86</v>
      </c>
      <c r="C846" s="46" t="s">
        <v>77</v>
      </c>
      <c r="D846" s="610">
        <v>2.0070000000000001</v>
      </c>
      <c r="E846" s="609">
        <f t="shared" si="15"/>
        <v>2.0070000000000001</v>
      </c>
      <c r="F846" s="613"/>
    </row>
    <row r="847" spans="1:6" s="14" customFormat="1" ht="23.25" customHeight="1" outlineLevel="2" x14ac:dyDescent="0.25">
      <c r="A847" s="612"/>
      <c r="B847" s="45" t="s">
        <v>106</v>
      </c>
      <c r="C847" s="47" t="s">
        <v>10</v>
      </c>
      <c r="D847" s="610">
        <v>40.729999999999997</v>
      </c>
      <c r="E847" s="609">
        <f t="shared" si="15"/>
        <v>40.729999999999997</v>
      </c>
      <c r="F847" s="613"/>
    </row>
    <row r="848" spans="1:6" s="14" customFormat="1" ht="23.25" customHeight="1" outlineLevel="2" x14ac:dyDescent="0.25">
      <c r="A848" s="612"/>
      <c r="B848" s="45" t="s">
        <v>102</v>
      </c>
      <c r="C848" s="46" t="s">
        <v>66</v>
      </c>
      <c r="D848" s="610">
        <v>0.622</v>
      </c>
      <c r="E848" s="609">
        <f t="shared" si="15"/>
        <v>0.622</v>
      </c>
      <c r="F848" s="613"/>
    </row>
    <row r="849" spans="1:6" s="14" customFormat="1" ht="23.25" customHeight="1" outlineLevel="2" x14ac:dyDescent="0.25">
      <c r="A849" s="612"/>
      <c r="B849" s="48" t="s">
        <v>107</v>
      </c>
      <c r="C849" s="46"/>
      <c r="D849" s="610"/>
      <c r="E849" s="609">
        <f t="shared" si="15"/>
        <v>0</v>
      </c>
      <c r="F849" s="613"/>
    </row>
    <row r="850" spans="1:6" s="14" customFormat="1" ht="23.25" customHeight="1" outlineLevel="2" x14ac:dyDescent="0.25">
      <c r="A850" s="612"/>
      <c r="B850" s="45" t="s">
        <v>108</v>
      </c>
      <c r="C850" s="46" t="s">
        <v>77</v>
      </c>
      <c r="D850" s="610">
        <v>1.91E-3</v>
      </c>
      <c r="E850" s="609">
        <f t="shared" si="15"/>
        <v>1.91E-3</v>
      </c>
      <c r="F850" s="613"/>
    </row>
    <row r="851" spans="1:6" s="14" customFormat="1" ht="23.25" customHeight="1" outlineLevel="2" x14ac:dyDescent="0.25">
      <c r="A851" s="612"/>
      <c r="B851" s="45" t="s">
        <v>81</v>
      </c>
      <c r="C851" s="46" t="s">
        <v>77</v>
      </c>
      <c r="D851" s="610">
        <v>0.24099999999999999</v>
      </c>
      <c r="E851" s="609">
        <f t="shared" si="15"/>
        <v>0.24099999999999999</v>
      </c>
      <c r="F851" s="613"/>
    </row>
    <row r="852" spans="1:6" s="14" customFormat="1" ht="23.25" customHeight="1" outlineLevel="2" x14ac:dyDescent="0.25">
      <c r="A852" s="612"/>
      <c r="B852" s="45" t="s">
        <v>83</v>
      </c>
      <c r="C852" s="46" t="s">
        <v>77</v>
      </c>
      <c r="D852" s="610">
        <v>1.325</v>
      </c>
      <c r="E852" s="609">
        <f t="shared" ref="E852:E915" si="16">D852</f>
        <v>1.325</v>
      </c>
      <c r="F852" s="613"/>
    </row>
    <row r="853" spans="1:6" s="14" customFormat="1" ht="23.25" customHeight="1" outlineLevel="2" x14ac:dyDescent="0.25">
      <c r="A853" s="612"/>
      <c r="B853" s="45" t="s">
        <v>87</v>
      </c>
      <c r="C853" s="46" t="s">
        <v>77</v>
      </c>
      <c r="D853" s="610">
        <v>0.94299999999999995</v>
      </c>
      <c r="E853" s="609">
        <f t="shared" si="16"/>
        <v>0.94299999999999995</v>
      </c>
      <c r="F853" s="613"/>
    </row>
    <row r="854" spans="1:6" s="14" customFormat="1" ht="23.25" customHeight="1" outlineLevel="2" x14ac:dyDescent="0.25">
      <c r="A854" s="612"/>
      <c r="B854" s="45" t="s">
        <v>109</v>
      </c>
      <c r="C854" s="46" t="s">
        <v>77</v>
      </c>
      <c r="D854" s="610">
        <v>1.829</v>
      </c>
      <c r="E854" s="609">
        <f t="shared" si="16"/>
        <v>1.829</v>
      </c>
      <c r="F854" s="613"/>
    </row>
    <row r="855" spans="1:6" s="14" customFormat="1" ht="23.25" customHeight="1" outlineLevel="2" x14ac:dyDescent="0.25">
      <c r="A855" s="612"/>
      <c r="B855" s="45" t="s">
        <v>106</v>
      </c>
      <c r="C855" s="47" t="s">
        <v>10</v>
      </c>
      <c r="D855" s="610">
        <v>31.07</v>
      </c>
      <c r="E855" s="609">
        <f t="shared" si="16"/>
        <v>31.07</v>
      </c>
      <c r="F855" s="613"/>
    </row>
    <row r="856" spans="1:6" s="14" customFormat="1" ht="23.25" customHeight="1" outlineLevel="2" x14ac:dyDescent="0.25">
      <c r="A856" s="612"/>
      <c r="B856" s="45" t="s">
        <v>110</v>
      </c>
      <c r="C856" s="46" t="s">
        <v>10</v>
      </c>
      <c r="D856" s="610">
        <v>0.25</v>
      </c>
      <c r="E856" s="609">
        <f t="shared" si="16"/>
        <v>0.25</v>
      </c>
      <c r="F856" s="613"/>
    </row>
    <row r="857" spans="1:6" s="14" customFormat="1" ht="23.25" customHeight="1" outlineLevel="2" x14ac:dyDescent="0.25">
      <c r="A857" s="612"/>
      <c r="B857" s="45" t="s">
        <v>102</v>
      </c>
      <c r="C857" s="46" t="s">
        <v>66</v>
      </c>
      <c r="D857" s="610">
        <v>0.57410000000000005</v>
      </c>
      <c r="E857" s="609">
        <f t="shared" si="16"/>
        <v>0.57410000000000005</v>
      </c>
      <c r="F857" s="613"/>
    </row>
    <row r="858" spans="1:6" s="14" customFormat="1" ht="30" customHeight="1" outlineLevel="1" x14ac:dyDescent="0.25">
      <c r="A858" s="57">
        <v>6</v>
      </c>
      <c r="B858" s="58" t="s">
        <v>156</v>
      </c>
      <c r="C858" s="59" t="s">
        <v>134</v>
      </c>
      <c r="D858" s="610"/>
      <c r="E858" s="609">
        <f t="shared" si="16"/>
        <v>0</v>
      </c>
      <c r="F858" s="613"/>
    </row>
    <row r="859" spans="1:6" s="14" customFormat="1" ht="30" customHeight="1" outlineLevel="2" x14ac:dyDescent="0.25">
      <c r="A859" s="612"/>
      <c r="B859" s="614" t="s">
        <v>39</v>
      </c>
      <c r="C859" s="615" t="s">
        <v>40</v>
      </c>
      <c r="D859" s="610" t="s">
        <v>112</v>
      </c>
      <c r="E859" s="609" t="str">
        <f t="shared" si="16"/>
        <v>4/232</v>
      </c>
      <c r="F859" s="613"/>
    </row>
    <row r="860" spans="1:6" s="14" customFormat="1" ht="30" customHeight="1" outlineLevel="2" x14ac:dyDescent="0.25">
      <c r="A860" s="612"/>
      <c r="B860" s="614" t="s">
        <v>41</v>
      </c>
      <c r="C860" s="615" t="s">
        <v>139</v>
      </c>
      <c r="D860" s="610">
        <v>2.831</v>
      </c>
      <c r="E860" s="609">
        <f t="shared" si="16"/>
        <v>2.831</v>
      </c>
      <c r="F860" s="613"/>
    </row>
    <row r="861" spans="1:6" s="14" customFormat="1" ht="30" customHeight="1" outlineLevel="2" x14ac:dyDescent="0.25">
      <c r="A861" s="612"/>
      <c r="B861" s="614" t="s">
        <v>42</v>
      </c>
      <c r="C861" s="615" t="s">
        <v>139</v>
      </c>
      <c r="D861" s="610">
        <v>0.187</v>
      </c>
      <c r="E861" s="609">
        <f t="shared" si="16"/>
        <v>0.187</v>
      </c>
      <c r="F861" s="613"/>
    </row>
    <row r="862" spans="1:6" s="14" customFormat="1" ht="30" customHeight="1" outlineLevel="2" x14ac:dyDescent="0.25">
      <c r="A862" s="612"/>
      <c r="B862" s="614" t="s">
        <v>43</v>
      </c>
      <c r="C862" s="615" t="s">
        <v>139</v>
      </c>
      <c r="D862" s="610">
        <v>1.384E-2</v>
      </c>
      <c r="E862" s="609">
        <f t="shared" si="16"/>
        <v>1.384E-2</v>
      </c>
      <c r="F862" s="613"/>
    </row>
    <row r="863" spans="1:6" s="14" customFormat="1" ht="30" customHeight="1" outlineLevel="2" x14ac:dyDescent="0.25">
      <c r="A863" s="612"/>
      <c r="B863" s="614" t="s">
        <v>44</v>
      </c>
      <c r="C863" s="615" t="s">
        <v>139</v>
      </c>
      <c r="D863" s="610">
        <v>4.6560000000000004E-2</v>
      </c>
      <c r="E863" s="609">
        <f t="shared" si="16"/>
        <v>4.6560000000000004E-2</v>
      </c>
      <c r="F863" s="613"/>
    </row>
    <row r="864" spans="1:6" s="14" customFormat="1" ht="30" customHeight="1" outlineLevel="2" x14ac:dyDescent="0.25">
      <c r="A864" s="612"/>
      <c r="B864" s="614" t="s">
        <v>45</v>
      </c>
      <c r="C864" s="615" t="s">
        <v>139</v>
      </c>
      <c r="D864" s="610">
        <v>9.6080000000000005</v>
      </c>
      <c r="E864" s="609">
        <f t="shared" si="16"/>
        <v>9.6080000000000005</v>
      </c>
      <c r="F864" s="613"/>
    </row>
    <row r="865" spans="1:6" s="14" customFormat="1" ht="30" customHeight="1" outlineLevel="2" x14ac:dyDescent="0.25">
      <c r="A865" s="612"/>
      <c r="B865" s="614" t="s">
        <v>46</v>
      </c>
      <c r="C865" s="615" t="s">
        <v>139</v>
      </c>
      <c r="D865" s="610">
        <v>3.347</v>
      </c>
      <c r="E865" s="609">
        <f t="shared" si="16"/>
        <v>3.347</v>
      </c>
      <c r="F865" s="613"/>
    </row>
    <row r="866" spans="1:6" s="14" customFormat="1" ht="30" customHeight="1" outlineLevel="2" x14ac:dyDescent="0.25">
      <c r="A866" s="612"/>
      <c r="B866" s="614" t="s">
        <v>47</v>
      </c>
      <c r="C866" s="615" t="s">
        <v>139</v>
      </c>
      <c r="D866" s="610">
        <v>5.5949999999999998</v>
      </c>
      <c r="E866" s="609">
        <f t="shared" si="16"/>
        <v>5.5949999999999998</v>
      </c>
      <c r="F866" s="613"/>
    </row>
    <row r="867" spans="1:6" s="14" customFormat="1" ht="30" customHeight="1" outlineLevel="2" x14ac:dyDescent="0.25">
      <c r="A867" s="612"/>
      <c r="B867" s="614" t="s">
        <v>48</v>
      </c>
      <c r="C867" s="615" t="s">
        <v>10</v>
      </c>
      <c r="D867" s="610">
        <v>263.39999999999998</v>
      </c>
      <c r="E867" s="609">
        <f t="shared" si="16"/>
        <v>263.39999999999998</v>
      </c>
      <c r="F867" s="613"/>
    </row>
    <row r="868" spans="1:6" s="14" customFormat="1" ht="30" customHeight="1" outlineLevel="2" x14ac:dyDescent="0.25">
      <c r="A868" s="612"/>
      <c r="B868" s="614" t="s">
        <v>49</v>
      </c>
      <c r="C868" s="615" t="s">
        <v>10</v>
      </c>
      <c r="D868" s="610">
        <v>3.48</v>
      </c>
      <c r="E868" s="609">
        <f t="shared" si="16"/>
        <v>3.48</v>
      </c>
      <c r="F868" s="613"/>
    </row>
    <row r="869" spans="1:6" s="14" customFormat="1" ht="30" customHeight="1" outlineLevel="2" x14ac:dyDescent="0.25">
      <c r="A869" s="612"/>
      <c r="B869" s="614" t="s">
        <v>50</v>
      </c>
      <c r="C869" s="615" t="s">
        <v>139</v>
      </c>
      <c r="D869" s="610">
        <v>1.625</v>
      </c>
      <c r="E869" s="609">
        <f t="shared" si="16"/>
        <v>1.625</v>
      </c>
      <c r="F869" s="613"/>
    </row>
    <row r="870" spans="1:6" s="14" customFormat="1" ht="30" customHeight="1" outlineLevel="2" x14ac:dyDescent="0.25">
      <c r="A870" s="612"/>
      <c r="B870" s="614" t="s">
        <v>51</v>
      </c>
      <c r="C870" s="615" t="s">
        <v>52</v>
      </c>
      <c r="D870" s="610">
        <v>0</v>
      </c>
      <c r="E870" s="609">
        <f t="shared" si="16"/>
        <v>0</v>
      </c>
      <c r="F870" s="613"/>
    </row>
    <row r="871" spans="1:6" s="14" customFormat="1" ht="30" customHeight="1" outlineLevel="2" x14ac:dyDescent="0.25">
      <c r="A871" s="612"/>
      <c r="B871" s="614" t="s">
        <v>53</v>
      </c>
      <c r="C871" s="615" t="s">
        <v>52</v>
      </c>
      <c r="D871" s="610">
        <v>0</v>
      </c>
      <c r="E871" s="609">
        <f t="shared" si="16"/>
        <v>0</v>
      </c>
      <c r="F871" s="613"/>
    </row>
    <row r="872" spans="1:6" s="14" customFormat="1" ht="30" customHeight="1" outlineLevel="2" x14ac:dyDescent="0.25">
      <c r="A872" s="612"/>
      <c r="B872" s="614" t="s">
        <v>54</v>
      </c>
      <c r="C872" s="615" t="s">
        <v>52</v>
      </c>
      <c r="D872" s="610">
        <v>288</v>
      </c>
      <c r="E872" s="609">
        <f t="shared" si="16"/>
        <v>288</v>
      </c>
      <c r="F872" s="613"/>
    </row>
    <row r="873" spans="1:6" s="14" customFormat="1" ht="30" customHeight="1" outlineLevel="2" x14ac:dyDescent="0.25">
      <c r="A873" s="612"/>
      <c r="B873" s="614" t="s">
        <v>55</v>
      </c>
      <c r="C873" s="615" t="s">
        <v>52</v>
      </c>
      <c r="D873" s="610">
        <v>1152</v>
      </c>
      <c r="E873" s="609">
        <f t="shared" si="16"/>
        <v>1152</v>
      </c>
      <c r="F873" s="613"/>
    </row>
    <row r="874" spans="1:6" s="14" customFormat="1" ht="30" customHeight="1" outlineLevel="2" x14ac:dyDescent="0.25">
      <c r="A874" s="612"/>
      <c r="B874" s="614" t="s">
        <v>56</v>
      </c>
      <c r="C874" s="615" t="s">
        <v>57</v>
      </c>
      <c r="D874" s="610">
        <v>7.0860000000000003</v>
      </c>
      <c r="E874" s="609">
        <f t="shared" si="16"/>
        <v>7.0860000000000003</v>
      </c>
      <c r="F874" s="613"/>
    </row>
    <row r="875" spans="1:6" s="14" customFormat="1" ht="30" customHeight="1" outlineLevel="2" x14ac:dyDescent="0.25">
      <c r="A875" s="612"/>
      <c r="B875" s="614" t="s">
        <v>58</v>
      </c>
      <c r="C875" s="615" t="s">
        <v>57</v>
      </c>
      <c r="D875" s="610">
        <v>2.3199999999999998</v>
      </c>
      <c r="E875" s="609">
        <f t="shared" si="16"/>
        <v>2.3199999999999998</v>
      </c>
      <c r="F875" s="613"/>
    </row>
    <row r="876" spans="1:6" s="14" customFormat="1" ht="30" customHeight="1" outlineLevel="2" x14ac:dyDescent="0.25">
      <c r="A876" s="612"/>
      <c r="B876" s="614" t="s">
        <v>59</v>
      </c>
      <c r="C876" s="615" t="s">
        <v>60</v>
      </c>
      <c r="D876" s="610">
        <v>8</v>
      </c>
      <c r="E876" s="609">
        <f t="shared" si="16"/>
        <v>8</v>
      </c>
      <c r="F876" s="613"/>
    </row>
    <row r="877" spans="1:6" s="14" customFormat="1" ht="30" customHeight="1" outlineLevel="2" x14ac:dyDescent="0.25">
      <c r="A877" s="612"/>
      <c r="B877" s="614" t="s">
        <v>61</v>
      </c>
      <c r="C877" s="615" t="s">
        <v>60</v>
      </c>
      <c r="D877" s="610">
        <v>24</v>
      </c>
      <c r="E877" s="609">
        <f t="shared" si="16"/>
        <v>24</v>
      </c>
      <c r="F877" s="613"/>
    </row>
    <row r="878" spans="1:6" s="14" customFormat="1" ht="30" customHeight="1" outlineLevel="2" x14ac:dyDescent="0.25">
      <c r="A878" s="612"/>
      <c r="B878" s="614" t="s">
        <v>62</v>
      </c>
      <c r="C878" s="615"/>
      <c r="D878" s="610"/>
      <c r="E878" s="609">
        <f t="shared" si="16"/>
        <v>0</v>
      </c>
      <c r="F878" s="613"/>
    </row>
    <row r="879" spans="1:6" s="14" customFormat="1" ht="30" customHeight="1" outlineLevel="2" x14ac:dyDescent="0.25">
      <c r="A879" s="612"/>
      <c r="B879" s="614" t="s">
        <v>43</v>
      </c>
      <c r="C879" s="615" t="s">
        <v>139</v>
      </c>
      <c r="D879" s="610">
        <v>1.1379999999999999</v>
      </c>
      <c r="E879" s="609">
        <f t="shared" si="16"/>
        <v>1.1379999999999999</v>
      </c>
      <c r="F879" s="613"/>
    </row>
    <row r="880" spans="1:6" s="14" customFormat="1" ht="30" customHeight="1" outlineLevel="2" x14ac:dyDescent="0.25">
      <c r="A880" s="612"/>
      <c r="B880" s="614" t="s">
        <v>44</v>
      </c>
      <c r="C880" s="615" t="s">
        <v>139</v>
      </c>
      <c r="D880" s="610">
        <v>0</v>
      </c>
      <c r="E880" s="609">
        <f t="shared" si="16"/>
        <v>0</v>
      </c>
      <c r="F880" s="613"/>
    </row>
    <row r="881" spans="1:6" s="14" customFormat="1" ht="30" customHeight="1" outlineLevel="2" x14ac:dyDescent="0.25">
      <c r="A881" s="612"/>
      <c r="B881" s="614" t="s">
        <v>45</v>
      </c>
      <c r="C881" s="615" t="s">
        <v>139</v>
      </c>
      <c r="D881" s="610">
        <v>1.423</v>
      </c>
      <c r="E881" s="609">
        <f t="shared" si="16"/>
        <v>1.423</v>
      </c>
      <c r="F881" s="613"/>
    </row>
    <row r="882" spans="1:6" s="14" customFormat="1" ht="30" customHeight="1" outlineLevel="2" x14ac:dyDescent="0.25">
      <c r="A882" s="612"/>
      <c r="B882" s="614" t="s">
        <v>46</v>
      </c>
      <c r="C882" s="615" t="s">
        <v>139</v>
      </c>
      <c r="D882" s="610">
        <v>0</v>
      </c>
      <c r="E882" s="609">
        <f t="shared" si="16"/>
        <v>0</v>
      </c>
      <c r="F882" s="613"/>
    </row>
    <row r="883" spans="1:6" s="14" customFormat="1" ht="30" customHeight="1" outlineLevel="2" x14ac:dyDescent="0.25">
      <c r="A883" s="612"/>
      <c r="B883" s="614" t="s">
        <v>47</v>
      </c>
      <c r="C883" s="615" t="s">
        <v>139</v>
      </c>
      <c r="D883" s="610">
        <v>2.2183999999999999</v>
      </c>
      <c r="E883" s="609">
        <f t="shared" si="16"/>
        <v>2.2183999999999999</v>
      </c>
      <c r="F883" s="613"/>
    </row>
    <row r="884" spans="1:6" s="14" customFormat="1" ht="30" customHeight="1" outlineLevel="2" x14ac:dyDescent="0.25">
      <c r="A884" s="612"/>
      <c r="B884" s="614" t="s">
        <v>63</v>
      </c>
      <c r="C884" s="615" t="s">
        <v>10</v>
      </c>
      <c r="D884" s="610">
        <v>83.32</v>
      </c>
      <c r="E884" s="609">
        <f t="shared" si="16"/>
        <v>83.32</v>
      </c>
      <c r="F884" s="613"/>
    </row>
    <row r="885" spans="1:6" s="14" customFormat="1" ht="30" customHeight="1" outlineLevel="2" x14ac:dyDescent="0.25">
      <c r="A885" s="612"/>
      <c r="B885" s="614" t="s">
        <v>64</v>
      </c>
      <c r="C885" s="615" t="s">
        <v>10</v>
      </c>
      <c r="D885" s="610">
        <v>4.01</v>
      </c>
      <c r="E885" s="609">
        <f t="shared" si="16"/>
        <v>4.01</v>
      </c>
      <c r="F885" s="613"/>
    </row>
    <row r="886" spans="1:6" s="14" customFormat="1" ht="30" customHeight="1" outlineLevel="2" x14ac:dyDescent="0.25">
      <c r="A886" s="612"/>
      <c r="B886" s="614" t="s">
        <v>65</v>
      </c>
      <c r="C886" s="615" t="s">
        <v>66</v>
      </c>
      <c r="D886" s="610">
        <v>0.52</v>
      </c>
      <c r="E886" s="609">
        <f t="shared" si="16"/>
        <v>0.52</v>
      </c>
      <c r="F886" s="613"/>
    </row>
    <row r="887" spans="1:6" s="14" customFormat="1" ht="30" customHeight="1" outlineLevel="2" x14ac:dyDescent="0.25">
      <c r="A887" s="612"/>
      <c r="B887" s="614" t="s">
        <v>67</v>
      </c>
      <c r="C887" s="615" t="s">
        <v>68</v>
      </c>
      <c r="D887" s="610">
        <v>84.95</v>
      </c>
      <c r="E887" s="609">
        <f t="shared" si="16"/>
        <v>84.95</v>
      </c>
      <c r="F887" s="613"/>
    </row>
    <row r="888" spans="1:6" s="14" customFormat="1" ht="30" customHeight="1" outlineLevel="2" x14ac:dyDescent="0.25">
      <c r="A888" s="612"/>
      <c r="B888" s="614" t="s">
        <v>69</v>
      </c>
      <c r="C888" s="615"/>
      <c r="D888" s="610"/>
      <c r="E888" s="609">
        <f t="shared" si="16"/>
        <v>0</v>
      </c>
      <c r="F888" s="613"/>
    </row>
    <row r="889" spans="1:6" s="14" customFormat="1" ht="30" customHeight="1" outlineLevel="2" x14ac:dyDescent="0.25">
      <c r="A889" s="612"/>
      <c r="B889" s="614" t="s">
        <v>70</v>
      </c>
      <c r="C889" s="615" t="s">
        <v>139</v>
      </c>
      <c r="D889" s="610">
        <v>0.27100000000000002</v>
      </c>
      <c r="E889" s="609">
        <f t="shared" si="16"/>
        <v>0.27100000000000002</v>
      </c>
      <c r="F889" s="613"/>
    </row>
    <row r="890" spans="1:6" s="14" customFormat="1" ht="30" customHeight="1" outlineLevel="2" x14ac:dyDescent="0.25">
      <c r="A890" s="612"/>
      <c r="B890" s="614" t="s">
        <v>43</v>
      </c>
      <c r="C890" s="615" t="s">
        <v>139</v>
      </c>
      <c r="D890" s="610">
        <v>1.994</v>
      </c>
      <c r="E890" s="609">
        <f t="shared" si="16"/>
        <v>1.994</v>
      </c>
      <c r="F890" s="613"/>
    </row>
    <row r="891" spans="1:6" s="14" customFormat="1" ht="30" customHeight="1" outlineLevel="2" x14ac:dyDescent="0.25">
      <c r="A891" s="612"/>
      <c r="B891" s="614" t="s">
        <v>46</v>
      </c>
      <c r="C891" s="615" t="s">
        <v>139</v>
      </c>
      <c r="D891" s="610">
        <v>2.4009999999999998</v>
      </c>
      <c r="E891" s="609">
        <f t="shared" si="16"/>
        <v>2.4009999999999998</v>
      </c>
      <c r="F891" s="613"/>
    </row>
    <row r="892" spans="1:6" s="14" customFormat="1" ht="30" customHeight="1" outlineLevel="2" x14ac:dyDescent="0.25">
      <c r="A892" s="612"/>
      <c r="B892" s="614" t="s">
        <v>113</v>
      </c>
      <c r="C892" s="615" t="s">
        <v>10</v>
      </c>
      <c r="D892" s="610">
        <v>54.3</v>
      </c>
      <c r="E892" s="609">
        <f t="shared" si="16"/>
        <v>54.3</v>
      </c>
      <c r="F892" s="613"/>
    </row>
    <row r="893" spans="1:6" s="14" customFormat="1" ht="30" customHeight="1" outlineLevel="2" x14ac:dyDescent="0.25">
      <c r="A893" s="612"/>
      <c r="B893" s="614" t="s">
        <v>65</v>
      </c>
      <c r="C893" s="615" t="s">
        <v>66</v>
      </c>
      <c r="D893" s="610">
        <v>0.8296</v>
      </c>
      <c r="E893" s="609">
        <f t="shared" si="16"/>
        <v>0.8296</v>
      </c>
      <c r="F893" s="613"/>
    </row>
    <row r="894" spans="1:6" s="14" customFormat="1" ht="30" customHeight="1" outlineLevel="2" x14ac:dyDescent="0.25">
      <c r="A894" s="612"/>
      <c r="B894" s="614" t="s">
        <v>72</v>
      </c>
      <c r="C894" s="615"/>
      <c r="D894" s="610"/>
      <c r="E894" s="609">
        <f t="shared" si="16"/>
        <v>0</v>
      </c>
      <c r="F894" s="613"/>
    </row>
    <row r="895" spans="1:6" s="14" customFormat="1" ht="30" customHeight="1" outlineLevel="2" x14ac:dyDescent="0.25">
      <c r="A895" s="612"/>
      <c r="B895" s="614" t="s">
        <v>73</v>
      </c>
      <c r="C895" s="615" t="s">
        <v>139</v>
      </c>
      <c r="D895" s="610">
        <v>1.9099999999999999E-2</v>
      </c>
      <c r="E895" s="609">
        <f t="shared" si="16"/>
        <v>1.9099999999999999E-2</v>
      </c>
      <c r="F895" s="613"/>
    </row>
    <row r="896" spans="1:6" s="14" customFormat="1" ht="30" customHeight="1" outlineLevel="2" x14ac:dyDescent="0.25">
      <c r="A896" s="612"/>
      <c r="B896" s="614" t="s">
        <v>41</v>
      </c>
      <c r="C896" s="615" t="s">
        <v>139</v>
      </c>
      <c r="D896" s="610">
        <v>0.2409</v>
      </c>
      <c r="E896" s="609">
        <f t="shared" si="16"/>
        <v>0.2409</v>
      </c>
      <c r="F896" s="613"/>
    </row>
    <row r="897" spans="1:6" s="14" customFormat="1" ht="30" customHeight="1" outlineLevel="2" x14ac:dyDescent="0.25">
      <c r="A897" s="612"/>
      <c r="B897" s="614" t="s">
        <v>43</v>
      </c>
      <c r="C897" s="615" t="s">
        <v>139</v>
      </c>
      <c r="D897" s="610">
        <v>1.3248</v>
      </c>
      <c r="E897" s="609">
        <f t="shared" si="16"/>
        <v>1.3248</v>
      </c>
      <c r="F897" s="613"/>
    </row>
    <row r="898" spans="1:6" s="14" customFormat="1" ht="30" customHeight="1" outlineLevel="2" x14ac:dyDescent="0.25">
      <c r="A898" s="612"/>
      <c r="B898" s="614" t="s">
        <v>47</v>
      </c>
      <c r="C898" s="615" t="s">
        <v>139</v>
      </c>
      <c r="D898" s="610">
        <v>0.94299999999999995</v>
      </c>
      <c r="E898" s="609">
        <f t="shared" si="16"/>
        <v>0.94299999999999995</v>
      </c>
      <c r="F898" s="613"/>
    </row>
    <row r="899" spans="1:6" s="14" customFormat="1" ht="30" customHeight="1" outlineLevel="2" x14ac:dyDescent="0.25">
      <c r="A899" s="612"/>
      <c r="B899" s="614" t="s">
        <v>74</v>
      </c>
      <c r="C899" s="615" t="s">
        <v>139</v>
      </c>
      <c r="D899" s="610">
        <v>1.829</v>
      </c>
      <c r="E899" s="609">
        <f t="shared" si="16"/>
        <v>1.829</v>
      </c>
      <c r="F899" s="613"/>
    </row>
    <row r="900" spans="1:6" s="14" customFormat="1" ht="30" customHeight="1" outlineLevel="2" x14ac:dyDescent="0.25">
      <c r="A900" s="612"/>
      <c r="B900" s="614" t="s">
        <v>71</v>
      </c>
      <c r="C900" s="615" t="s">
        <v>10</v>
      </c>
      <c r="D900" s="610">
        <v>31.07</v>
      </c>
      <c r="E900" s="609">
        <f t="shared" si="16"/>
        <v>31.07</v>
      </c>
      <c r="F900" s="613"/>
    </row>
    <row r="901" spans="1:6" s="14" customFormat="1" ht="30" customHeight="1" outlineLevel="2" x14ac:dyDescent="0.25">
      <c r="A901" s="612"/>
      <c r="B901" s="614" t="s">
        <v>75</v>
      </c>
      <c r="C901" s="615" t="s">
        <v>10</v>
      </c>
      <c r="D901" s="610">
        <v>0.25</v>
      </c>
      <c r="E901" s="609">
        <f t="shared" si="16"/>
        <v>0.25</v>
      </c>
      <c r="F901" s="613"/>
    </row>
    <row r="902" spans="1:6" s="14" customFormat="1" ht="30" customHeight="1" outlineLevel="2" x14ac:dyDescent="0.25">
      <c r="A902" s="612"/>
      <c r="B902" s="614" t="s">
        <v>65</v>
      </c>
      <c r="C902" s="615" t="s">
        <v>66</v>
      </c>
      <c r="D902" s="610">
        <v>0.57410000000000005</v>
      </c>
      <c r="E902" s="609">
        <f t="shared" si="16"/>
        <v>0.57410000000000005</v>
      </c>
      <c r="F902" s="613"/>
    </row>
    <row r="903" spans="1:6" s="14" customFormat="1" ht="30" customHeight="1" outlineLevel="1" x14ac:dyDescent="0.25">
      <c r="A903" s="57">
        <v>7</v>
      </c>
      <c r="B903" s="58" t="s">
        <v>157</v>
      </c>
      <c r="C903" s="59" t="s">
        <v>134</v>
      </c>
      <c r="D903" s="49"/>
      <c r="E903" s="609">
        <f t="shared" si="16"/>
        <v>0</v>
      </c>
      <c r="F903" s="613"/>
    </row>
    <row r="904" spans="1:6" s="14" customFormat="1" ht="36" customHeight="1" outlineLevel="2" x14ac:dyDescent="0.25">
      <c r="A904" s="612"/>
      <c r="B904" s="614" t="s">
        <v>39</v>
      </c>
      <c r="C904" s="615" t="s">
        <v>40</v>
      </c>
      <c r="D904" s="610" t="s">
        <v>112</v>
      </c>
      <c r="E904" s="609" t="str">
        <f t="shared" si="16"/>
        <v>4/232</v>
      </c>
      <c r="F904" s="613"/>
    </row>
    <row r="905" spans="1:6" s="14" customFormat="1" ht="30" customHeight="1" outlineLevel="2" x14ac:dyDescent="0.25">
      <c r="A905" s="612"/>
      <c r="B905" s="614" t="s">
        <v>41</v>
      </c>
      <c r="C905" s="615" t="s">
        <v>139</v>
      </c>
      <c r="D905" s="610">
        <v>2.831</v>
      </c>
      <c r="E905" s="609">
        <f t="shared" si="16"/>
        <v>2.831</v>
      </c>
      <c r="F905" s="613"/>
    </row>
    <row r="906" spans="1:6" s="14" customFormat="1" ht="30" customHeight="1" outlineLevel="2" x14ac:dyDescent="0.25">
      <c r="A906" s="612"/>
      <c r="B906" s="614" t="s">
        <v>42</v>
      </c>
      <c r="C906" s="615" t="s">
        <v>139</v>
      </c>
      <c r="D906" s="610">
        <v>0.187</v>
      </c>
      <c r="E906" s="609">
        <f t="shared" si="16"/>
        <v>0.187</v>
      </c>
      <c r="F906" s="613"/>
    </row>
    <row r="907" spans="1:6" s="14" customFormat="1" ht="30" customHeight="1" outlineLevel="2" x14ac:dyDescent="0.25">
      <c r="A907" s="612"/>
      <c r="B907" s="614" t="s">
        <v>43</v>
      </c>
      <c r="C907" s="615" t="s">
        <v>139</v>
      </c>
      <c r="D907" s="610">
        <v>1.384E-2</v>
      </c>
      <c r="E907" s="609">
        <f t="shared" si="16"/>
        <v>1.384E-2</v>
      </c>
      <c r="F907" s="613"/>
    </row>
    <row r="908" spans="1:6" s="14" customFormat="1" ht="30" customHeight="1" outlineLevel="2" x14ac:dyDescent="0.25">
      <c r="A908" s="612"/>
      <c r="B908" s="614" t="s">
        <v>44</v>
      </c>
      <c r="C908" s="615" t="s">
        <v>139</v>
      </c>
      <c r="D908" s="610">
        <v>4.6560000000000004E-2</v>
      </c>
      <c r="E908" s="609">
        <f t="shared" si="16"/>
        <v>4.6560000000000004E-2</v>
      </c>
      <c r="F908" s="613"/>
    </row>
    <row r="909" spans="1:6" s="14" customFormat="1" ht="30" customHeight="1" outlineLevel="2" x14ac:dyDescent="0.25">
      <c r="A909" s="612"/>
      <c r="B909" s="614" t="s">
        <v>45</v>
      </c>
      <c r="C909" s="615" t="s">
        <v>139</v>
      </c>
      <c r="D909" s="610">
        <v>9.6080000000000005</v>
      </c>
      <c r="E909" s="609">
        <f t="shared" si="16"/>
        <v>9.6080000000000005</v>
      </c>
      <c r="F909" s="613"/>
    </row>
    <row r="910" spans="1:6" s="14" customFormat="1" ht="30" customHeight="1" outlineLevel="2" x14ac:dyDescent="0.25">
      <c r="A910" s="612"/>
      <c r="B910" s="614" t="s">
        <v>46</v>
      </c>
      <c r="C910" s="615" t="s">
        <v>139</v>
      </c>
      <c r="D910" s="610">
        <v>3.347</v>
      </c>
      <c r="E910" s="609">
        <f t="shared" si="16"/>
        <v>3.347</v>
      </c>
      <c r="F910" s="613"/>
    </row>
    <row r="911" spans="1:6" s="14" customFormat="1" ht="30" customHeight="1" outlineLevel="2" x14ac:dyDescent="0.25">
      <c r="A911" s="612"/>
      <c r="B911" s="614" t="s">
        <v>47</v>
      </c>
      <c r="C911" s="615" t="s">
        <v>139</v>
      </c>
      <c r="D911" s="610">
        <v>5.5949999999999998</v>
      </c>
      <c r="E911" s="609">
        <f t="shared" si="16"/>
        <v>5.5949999999999998</v>
      </c>
      <c r="F911" s="613"/>
    </row>
    <row r="912" spans="1:6" s="14" customFormat="1" ht="30" customHeight="1" outlineLevel="2" x14ac:dyDescent="0.25">
      <c r="A912" s="612"/>
      <c r="B912" s="614" t="s">
        <v>48</v>
      </c>
      <c r="C912" s="615" t="s">
        <v>10</v>
      </c>
      <c r="D912" s="610">
        <v>263.39999999999998</v>
      </c>
      <c r="E912" s="609">
        <f t="shared" si="16"/>
        <v>263.39999999999998</v>
      </c>
      <c r="F912" s="613"/>
    </row>
    <row r="913" spans="1:6" s="14" customFormat="1" ht="30" customHeight="1" outlineLevel="2" x14ac:dyDescent="0.25">
      <c r="A913" s="612"/>
      <c r="B913" s="614" t="s">
        <v>49</v>
      </c>
      <c r="C913" s="615" t="s">
        <v>10</v>
      </c>
      <c r="D913" s="610">
        <v>3.48</v>
      </c>
      <c r="E913" s="609">
        <f t="shared" si="16"/>
        <v>3.48</v>
      </c>
      <c r="F913" s="613"/>
    </row>
    <row r="914" spans="1:6" s="14" customFormat="1" ht="30" customHeight="1" outlineLevel="2" x14ac:dyDescent="0.25">
      <c r="A914" s="612"/>
      <c r="B914" s="614" t="s">
        <v>50</v>
      </c>
      <c r="C914" s="615" t="s">
        <v>139</v>
      </c>
      <c r="D914" s="610">
        <v>1.625</v>
      </c>
      <c r="E914" s="609">
        <f t="shared" si="16"/>
        <v>1.625</v>
      </c>
      <c r="F914" s="613"/>
    </row>
    <row r="915" spans="1:6" s="14" customFormat="1" ht="30" customHeight="1" outlineLevel="2" x14ac:dyDescent="0.25">
      <c r="A915" s="612"/>
      <c r="B915" s="614" t="s">
        <v>51</v>
      </c>
      <c r="C915" s="615" t="s">
        <v>52</v>
      </c>
      <c r="D915" s="610">
        <v>0</v>
      </c>
      <c r="E915" s="609">
        <f t="shared" si="16"/>
        <v>0</v>
      </c>
      <c r="F915" s="613"/>
    </row>
    <row r="916" spans="1:6" s="14" customFormat="1" ht="30" customHeight="1" outlineLevel="2" x14ac:dyDescent="0.25">
      <c r="A916" s="612"/>
      <c r="B916" s="614" t="s">
        <v>53</v>
      </c>
      <c r="C916" s="615" t="s">
        <v>52</v>
      </c>
      <c r="D916" s="610">
        <v>0</v>
      </c>
      <c r="E916" s="609">
        <f t="shared" ref="E916:E979" si="17">D916</f>
        <v>0</v>
      </c>
      <c r="F916" s="613"/>
    </row>
    <row r="917" spans="1:6" s="14" customFormat="1" ht="30" customHeight="1" outlineLevel="2" x14ac:dyDescent="0.25">
      <c r="A917" s="612"/>
      <c r="B917" s="614" t="s">
        <v>54</v>
      </c>
      <c r="C917" s="615" t="s">
        <v>52</v>
      </c>
      <c r="D917" s="610">
        <v>288</v>
      </c>
      <c r="E917" s="609">
        <f t="shared" si="17"/>
        <v>288</v>
      </c>
      <c r="F917" s="613"/>
    </row>
    <row r="918" spans="1:6" s="14" customFormat="1" ht="30" customHeight="1" outlineLevel="2" x14ac:dyDescent="0.25">
      <c r="A918" s="612"/>
      <c r="B918" s="614" t="s">
        <v>55</v>
      </c>
      <c r="C918" s="615" t="s">
        <v>52</v>
      </c>
      <c r="D918" s="610">
        <v>1152</v>
      </c>
      <c r="E918" s="609">
        <f t="shared" si="17"/>
        <v>1152</v>
      </c>
      <c r="F918" s="613"/>
    </row>
    <row r="919" spans="1:6" s="14" customFormat="1" ht="30" customHeight="1" outlineLevel="2" x14ac:dyDescent="0.25">
      <c r="A919" s="612"/>
      <c r="B919" s="614" t="s">
        <v>56</v>
      </c>
      <c r="C919" s="615" t="s">
        <v>57</v>
      </c>
      <c r="D919" s="610">
        <v>7.0860000000000003</v>
      </c>
      <c r="E919" s="609">
        <f t="shared" si="17"/>
        <v>7.0860000000000003</v>
      </c>
      <c r="F919" s="613"/>
    </row>
    <row r="920" spans="1:6" s="14" customFormat="1" ht="30" customHeight="1" outlineLevel="2" x14ac:dyDescent="0.25">
      <c r="A920" s="612"/>
      <c r="B920" s="614" t="s">
        <v>58</v>
      </c>
      <c r="C920" s="615" t="s">
        <v>57</v>
      </c>
      <c r="D920" s="610">
        <v>2.3199999999999998</v>
      </c>
      <c r="E920" s="609">
        <f t="shared" si="17"/>
        <v>2.3199999999999998</v>
      </c>
      <c r="F920" s="613"/>
    </row>
    <row r="921" spans="1:6" s="14" customFormat="1" ht="30" customHeight="1" outlineLevel="2" x14ac:dyDescent="0.25">
      <c r="A921" s="612"/>
      <c r="B921" s="614" t="s">
        <v>59</v>
      </c>
      <c r="C921" s="615" t="s">
        <v>60</v>
      </c>
      <c r="D921" s="610">
        <v>8</v>
      </c>
      <c r="E921" s="609">
        <f t="shared" si="17"/>
        <v>8</v>
      </c>
      <c r="F921" s="613"/>
    </row>
    <row r="922" spans="1:6" s="14" customFormat="1" ht="30" customHeight="1" outlineLevel="2" x14ac:dyDescent="0.25">
      <c r="A922" s="612"/>
      <c r="B922" s="614" t="s">
        <v>61</v>
      </c>
      <c r="C922" s="615" t="s">
        <v>60</v>
      </c>
      <c r="D922" s="610">
        <v>24</v>
      </c>
      <c r="E922" s="609">
        <f t="shared" si="17"/>
        <v>24</v>
      </c>
      <c r="F922" s="613"/>
    </row>
    <row r="923" spans="1:6" s="14" customFormat="1" ht="30" customHeight="1" outlineLevel="2" x14ac:dyDescent="0.25">
      <c r="A923" s="612"/>
      <c r="B923" s="614" t="s">
        <v>62</v>
      </c>
      <c r="C923" s="615"/>
      <c r="D923" s="610"/>
      <c r="E923" s="609">
        <f t="shared" si="17"/>
        <v>0</v>
      </c>
      <c r="F923" s="613"/>
    </row>
    <row r="924" spans="1:6" s="14" customFormat="1" ht="30" customHeight="1" outlineLevel="2" x14ac:dyDescent="0.25">
      <c r="A924" s="612"/>
      <c r="B924" s="614" t="s">
        <v>43</v>
      </c>
      <c r="C924" s="615" t="s">
        <v>139</v>
      </c>
      <c r="D924" s="610">
        <v>1.1379999999999999</v>
      </c>
      <c r="E924" s="609">
        <f t="shared" si="17"/>
        <v>1.1379999999999999</v>
      </c>
      <c r="F924" s="613"/>
    </row>
    <row r="925" spans="1:6" s="14" customFormat="1" ht="30" customHeight="1" outlineLevel="2" x14ac:dyDescent="0.25">
      <c r="A925" s="612"/>
      <c r="B925" s="614" t="s">
        <v>44</v>
      </c>
      <c r="C925" s="615" t="s">
        <v>139</v>
      </c>
      <c r="D925" s="610"/>
      <c r="E925" s="609">
        <f t="shared" si="17"/>
        <v>0</v>
      </c>
      <c r="F925" s="613"/>
    </row>
    <row r="926" spans="1:6" s="14" customFormat="1" ht="30" customHeight="1" outlineLevel="2" x14ac:dyDescent="0.25">
      <c r="A926" s="612"/>
      <c r="B926" s="614" t="s">
        <v>45</v>
      </c>
      <c r="C926" s="615" t="s">
        <v>139</v>
      </c>
      <c r="D926" s="610">
        <v>1.423</v>
      </c>
      <c r="E926" s="609">
        <f t="shared" si="17"/>
        <v>1.423</v>
      </c>
      <c r="F926" s="613"/>
    </row>
    <row r="927" spans="1:6" s="14" customFormat="1" ht="30" customHeight="1" outlineLevel="2" x14ac:dyDescent="0.25">
      <c r="A927" s="612"/>
      <c r="B927" s="614" t="s">
        <v>46</v>
      </c>
      <c r="C927" s="615" t="s">
        <v>139</v>
      </c>
      <c r="D927" s="610">
        <v>0</v>
      </c>
      <c r="E927" s="609">
        <f t="shared" si="17"/>
        <v>0</v>
      </c>
      <c r="F927" s="613"/>
    </row>
    <row r="928" spans="1:6" s="14" customFormat="1" ht="30" customHeight="1" outlineLevel="2" x14ac:dyDescent="0.25">
      <c r="A928" s="612"/>
      <c r="B928" s="614" t="s">
        <v>47</v>
      </c>
      <c r="C928" s="615" t="s">
        <v>139</v>
      </c>
      <c r="D928" s="610">
        <v>2.218</v>
      </c>
      <c r="E928" s="609">
        <f t="shared" si="17"/>
        <v>2.218</v>
      </c>
      <c r="F928" s="613"/>
    </row>
    <row r="929" spans="1:6" s="14" customFormat="1" ht="30" customHeight="1" outlineLevel="2" x14ac:dyDescent="0.25">
      <c r="A929" s="612"/>
      <c r="B929" s="614" t="s">
        <v>63</v>
      </c>
      <c r="C929" s="615" t="s">
        <v>10</v>
      </c>
      <c r="D929" s="610">
        <v>83.32</v>
      </c>
      <c r="E929" s="609">
        <f t="shared" si="17"/>
        <v>83.32</v>
      </c>
      <c r="F929" s="613"/>
    </row>
    <row r="930" spans="1:6" s="14" customFormat="1" ht="30" customHeight="1" outlineLevel="2" x14ac:dyDescent="0.25">
      <c r="A930" s="612"/>
      <c r="B930" s="614" t="s">
        <v>64</v>
      </c>
      <c r="C930" s="615" t="s">
        <v>10</v>
      </c>
      <c r="D930" s="610">
        <v>4.01</v>
      </c>
      <c r="E930" s="609">
        <f t="shared" si="17"/>
        <v>4.01</v>
      </c>
      <c r="F930" s="613"/>
    </row>
    <row r="931" spans="1:6" s="14" customFormat="1" ht="30" customHeight="1" outlineLevel="2" x14ac:dyDescent="0.25">
      <c r="A931" s="612"/>
      <c r="B931" s="614" t="s">
        <v>65</v>
      </c>
      <c r="C931" s="615" t="s">
        <v>66</v>
      </c>
      <c r="D931" s="610">
        <v>0.52</v>
      </c>
      <c r="E931" s="609">
        <f t="shared" si="17"/>
        <v>0.52</v>
      </c>
      <c r="F931" s="613"/>
    </row>
    <row r="932" spans="1:6" s="14" customFormat="1" ht="30" customHeight="1" outlineLevel="2" x14ac:dyDescent="0.25">
      <c r="A932" s="612"/>
      <c r="B932" s="614" t="s">
        <v>67</v>
      </c>
      <c r="C932" s="615" t="s">
        <v>68</v>
      </c>
      <c r="D932" s="610">
        <v>84.95</v>
      </c>
      <c r="E932" s="609">
        <f t="shared" si="17"/>
        <v>84.95</v>
      </c>
      <c r="F932" s="613"/>
    </row>
    <row r="933" spans="1:6" s="14" customFormat="1" ht="30" customHeight="1" outlineLevel="2" x14ac:dyDescent="0.25">
      <c r="A933" s="612"/>
      <c r="B933" s="614" t="s">
        <v>69</v>
      </c>
      <c r="C933" s="615"/>
      <c r="D933" s="610"/>
      <c r="E933" s="609">
        <f t="shared" si="17"/>
        <v>0</v>
      </c>
      <c r="F933" s="613"/>
    </row>
    <row r="934" spans="1:6" s="14" customFormat="1" ht="30" customHeight="1" outlineLevel="2" x14ac:dyDescent="0.25">
      <c r="A934" s="612"/>
      <c r="B934" s="614" t="s">
        <v>70</v>
      </c>
      <c r="C934" s="615" t="s">
        <v>139</v>
      </c>
      <c r="D934" s="610">
        <v>0.32500000000000001</v>
      </c>
      <c r="E934" s="609">
        <f t="shared" si="17"/>
        <v>0.32500000000000001</v>
      </c>
      <c r="F934" s="613"/>
    </row>
    <row r="935" spans="1:6" s="14" customFormat="1" ht="30" customHeight="1" outlineLevel="2" x14ac:dyDescent="0.25">
      <c r="A935" s="612"/>
      <c r="B935" s="614" t="s">
        <v>43</v>
      </c>
      <c r="C935" s="615" t="s">
        <v>139</v>
      </c>
      <c r="D935" s="610">
        <v>2.274</v>
      </c>
      <c r="E935" s="609">
        <f t="shared" si="17"/>
        <v>2.274</v>
      </c>
      <c r="F935" s="613"/>
    </row>
    <row r="936" spans="1:6" s="14" customFormat="1" ht="30" customHeight="1" outlineLevel="2" x14ac:dyDescent="0.25">
      <c r="A936" s="612"/>
      <c r="B936" s="614" t="s">
        <v>46</v>
      </c>
      <c r="C936" s="615" t="s">
        <v>139</v>
      </c>
      <c r="D936" s="610"/>
      <c r="E936" s="609">
        <f t="shared" si="17"/>
        <v>0</v>
      </c>
      <c r="F936" s="613"/>
    </row>
    <row r="937" spans="1:6" s="14" customFormat="1" ht="30" customHeight="1" outlineLevel="2" x14ac:dyDescent="0.25">
      <c r="A937" s="612"/>
      <c r="B937" s="614" t="s">
        <v>47</v>
      </c>
      <c r="C937" s="615" t="s">
        <v>139</v>
      </c>
      <c r="D937" s="610">
        <v>3.625</v>
      </c>
      <c r="E937" s="609">
        <f t="shared" si="17"/>
        <v>3.625</v>
      </c>
      <c r="F937" s="613"/>
    </row>
    <row r="938" spans="1:6" s="14" customFormat="1" ht="30" customHeight="1" outlineLevel="2" x14ac:dyDescent="0.25">
      <c r="A938" s="612"/>
      <c r="B938" s="614" t="s">
        <v>113</v>
      </c>
      <c r="C938" s="615" t="s">
        <v>10</v>
      </c>
      <c r="D938" s="610">
        <v>67.88</v>
      </c>
      <c r="E938" s="609">
        <f t="shared" si="17"/>
        <v>67.88</v>
      </c>
      <c r="F938" s="613"/>
    </row>
    <row r="939" spans="1:6" s="14" customFormat="1" ht="30" customHeight="1" outlineLevel="2" x14ac:dyDescent="0.25">
      <c r="A939" s="612"/>
      <c r="B939" s="614" t="s">
        <v>65</v>
      </c>
      <c r="C939" s="615" t="s">
        <v>66</v>
      </c>
      <c r="D939" s="610">
        <v>1.0369999999999999</v>
      </c>
      <c r="E939" s="609">
        <f t="shared" si="17"/>
        <v>1.0369999999999999</v>
      </c>
      <c r="F939" s="613"/>
    </row>
    <row r="940" spans="1:6" s="14" customFormat="1" ht="30" customHeight="1" outlineLevel="2" x14ac:dyDescent="0.25">
      <c r="A940" s="612"/>
      <c r="B940" s="614" t="s">
        <v>72</v>
      </c>
      <c r="C940" s="615"/>
      <c r="D940" s="610"/>
      <c r="E940" s="609">
        <f t="shared" si="17"/>
        <v>0</v>
      </c>
      <c r="F940" s="613"/>
    </row>
    <row r="941" spans="1:6" s="14" customFormat="1" ht="30" customHeight="1" outlineLevel="2" x14ac:dyDescent="0.25">
      <c r="A941" s="612"/>
      <c r="B941" s="614" t="s">
        <v>73</v>
      </c>
      <c r="C941" s="615" t="s">
        <v>139</v>
      </c>
      <c r="D941" s="610">
        <v>1.91E-3</v>
      </c>
      <c r="E941" s="609">
        <f t="shared" si="17"/>
        <v>1.91E-3</v>
      </c>
      <c r="F941" s="613"/>
    </row>
    <row r="942" spans="1:6" s="14" customFormat="1" ht="30" customHeight="1" outlineLevel="2" x14ac:dyDescent="0.25">
      <c r="A942" s="612"/>
      <c r="B942" s="614" t="s">
        <v>41</v>
      </c>
      <c r="C942" s="615" t="s">
        <v>139</v>
      </c>
      <c r="D942" s="610">
        <v>0.2409</v>
      </c>
      <c r="E942" s="609">
        <f t="shared" si="17"/>
        <v>0.2409</v>
      </c>
      <c r="F942" s="613"/>
    </row>
    <row r="943" spans="1:6" s="14" customFormat="1" ht="30" customHeight="1" outlineLevel="2" x14ac:dyDescent="0.25">
      <c r="A943" s="612"/>
      <c r="B943" s="614" t="s">
        <v>43</v>
      </c>
      <c r="C943" s="615" t="s">
        <v>139</v>
      </c>
      <c r="D943" s="610">
        <v>1.3248</v>
      </c>
      <c r="E943" s="609">
        <f t="shared" si="17"/>
        <v>1.3248</v>
      </c>
      <c r="F943" s="613"/>
    </row>
    <row r="944" spans="1:6" s="14" customFormat="1" ht="30" customHeight="1" outlineLevel="2" x14ac:dyDescent="0.25">
      <c r="A944" s="612"/>
      <c r="B944" s="614" t="s">
        <v>47</v>
      </c>
      <c r="C944" s="615" t="s">
        <v>139</v>
      </c>
      <c r="D944" s="610">
        <v>0.94350000000000001</v>
      </c>
      <c r="E944" s="609">
        <f t="shared" si="17"/>
        <v>0.94350000000000001</v>
      </c>
      <c r="F944" s="613"/>
    </row>
    <row r="945" spans="1:6" s="14" customFormat="1" ht="30" customHeight="1" outlineLevel="2" x14ac:dyDescent="0.25">
      <c r="A945" s="612"/>
      <c r="B945" s="614" t="s">
        <v>74</v>
      </c>
      <c r="C945" s="615" t="s">
        <v>139</v>
      </c>
      <c r="D945" s="610">
        <v>1.829</v>
      </c>
      <c r="E945" s="609">
        <f t="shared" si="17"/>
        <v>1.829</v>
      </c>
      <c r="F945" s="613"/>
    </row>
    <row r="946" spans="1:6" s="14" customFormat="1" ht="30" customHeight="1" outlineLevel="2" x14ac:dyDescent="0.25">
      <c r="A946" s="612"/>
      <c r="B946" s="614" t="s">
        <v>71</v>
      </c>
      <c r="C946" s="615" t="s">
        <v>10</v>
      </c>
      <c r="D946" s="610">
        <v>31.07</v>
      </c>
      <c r="E946" s="609">
        <f t="shared" si="17"/>
        <v>31.07</v>
      </c>
      <c r="F946" s="613"/>
    </row>
    <row r="947" spans="1:6" s="14" customFormat="1" ht="30" customHeight="1" outlineLevel="2" x14ac:dyDescent="0.25">
      <c r="A947" s="612"/>
      <c r="B947" s="614" t="s">
        <v>75</v>
      </c>
      <c r="C947" s="615" t="s">
        <v>10</v>
      </c>
      <c r="D947" s="610">
        <v>0.25</v>
      </c>
      <c r="E947" s="609">
        <f t="shared" si="17"/>
        <v>0.25</v>
      </c>
      <c r="F947" s="613"/>
    </row>
    <row r="948" spans="1:6" s="14" customFormat="1" ht="30" customHeight="1" outlineLevel="2" x14ac:dyDescent="0.25">
      <c r="A948" s="612"/>
      <c r="B948" s="614" t="s">
        <v>65</v>
      </c>
      <c r="C948" s="615" t="s">
        <v>66</v>
      </c>
      <c r="D948" s="610">
        <v>0.57410000000000005</v>
      </c>
      <c r="E948" s="609">
        <f t="shared" si="17"/>
        <v>0.57410000000000005</v>
      </c>
      <c r="F948" s="613"/>
    </row>
    <row r="949" spans="1:6" s="14" customFormat="1" ht="30" customHeight="1" outlineLevel="1" x14ac:dyDescent="0.25">
      <c r="A949" s="57">
        <v>12</v>
      </c>
      <c r="B949" s="58" t="s">
        <v>158</v>
      </c>
      <c r="C949" s="59" t="s">
        <v>134</v>
      </c>
      <c r="D949" s="49"/>
      <c r="E949" s="609">
        <f t="shared" si="17"/>
        <v>0</v>
      </c>
      <c r="F949" s="613"/>
    </row>
    <row r="950" spans="1:6" s="14" customFormat="1" ht="30" customHeight="1" outlineLevel="2" x14ac:dyDescent="0.25">
      <c r="A950" s="69"/>
      <c r="B950" s="70" t="s">
        <v>80</v>
      </c>
      <c r="C950" s="69" t="s">
        <v>76</v>
      </c>
      <c r="D950" s="51" t="s">
        <v>115</v>
      </c>
      <c r="E950" s="609" t="str">
        <f t="shared" si="17"/>
        <v>5/315,75</v>
      </c>
      <c r="F950" s="613"/>
    </row>
    <row r="951" spans="1:6" s="14" customFormat="1" ht="30" customHeight="1" outlineLevel="2" x14ac:dyDescent="0.25">
      <c r="A951" s="69"/>
      <c r="B951" s="71" t="s">
        <v>81</v>
      </c>
      <c r="C951" s="72" t="s">
        <v>77</v>
      </c>
      <c r="D951" s="51">
        <v>3.7243499999999998</v>
      </c>
      <c r="E951" s="609">
        <f t="shared" si="17"/>
        <v>3.7243499999999998</v>
      </c>
      <c r="F951" s="613"/>
    </row>
    <row r="952" spans="1:6" s="14" customFormat="1" ht="30" customHeight="1" outlineLevel="2" x14ac:dyDescent="0.25">
      <c r="A952" s="69"/>
      <c r="B952" s="71" t="s">
        <v>82</v>
      </c>
      <c r="C952" s="72" t="s">
        <v>77</v>
      </c>
      <c r="D952" s="51">
        <v>0.22664999999999999</v>
      </c>
      <c r="E952" s="609">
        <f t="shared" si="17"/>
        <v>0.22664999999999999</v>
      </c>
      <c r="F952" s="613"/>
    </row>
    <row r="953" spans="1:6" s="14" customFormat="1" ht="30" customHeight="1" outlineLevel="2" x14ac:dyDescent="0.25">
      <c r="A953" s="69"/>
      <c r="B953" s="71" t="s">
        <v>83</v>
      </c>
      <c r="C953" s="72" t="s">
        <v>77</v>
      </c>
      <c r="D953" s="51">
        <v>1.7299999999999999E-2</v>
      </c>
      <c r="E953" s="609">
        <f t="shared" si="17"/>
        <v>1.7299999999999999E-2</v>
      </c>
      <c r="F953" s="613"/>
    </row>
    <row r="954" spans="1:6" s="14" customFormat="1" ht="30" customHeight="1" outlineLevel="2" x14ac:dyDescent="0.25">
      <c r="A954" s="69"/>
      <c r="B954" s="71" t="s">
        <v>84</v>
      </c>
      <c r="C954" s="72" t="s">
        <v>77</v>
      </c>
      <c r="D954" s="51">
        <v>5.8200000000000002E-2</v>
      </c>
      <c r="E954" s="609">
        <f t="shared" si="17"/>
        <v>5.8200000000000002E-2</v>
      </c>
      <c r="F954" s="613"/>
    </row>
    <row r="955" spans="1:6" s="14" customFormat="1" ht="30" customHeight="1" outlineLevel="2" x14ac:dyDescent="0.25">
      <c r="A955" s="69"/>
      <c r="B955" s="71" t="s">
        <v>85</v>
      </c>
      <c r="C955" s="72" t="s">
        <v>77</v>
      </c>
      <c r="D955" s="51">
        <v>9.8404500000000006</v>
      </c>
      <c r="E955" s="609">
        <f t="shared" si="17"/>
        <v>9.8404500000000006</v>
      </c>
      <c r="F955" s="613"/>
    </row>
    <row r="956" spans="1:6" s="14" customFormat="1" ht="30" customHeight="1" outlineLevel="2" x14ac:dyDescent="0.25">
      <c r="A956" s="69"/>
      <c r="B956" s="71" t="s">
        <v>86</v>
      </c>
      <c r="C956" s="72" t="s">
        <v>77</v>
      </c>
      <c r="D956" s="51">
        <v>4.1840000000000002</v>
      </c>
      <c r="E956" s="609">
        <f t="shared" si="17"/>
        <v>4.1840000000000002</v>
      </c>
      <c r="F956" s="613"/>
    </row>
    <row r="957" spans="1:6" s="14" customFormat="1" ht="30" customHeight="1" outlineLevel="2" x14ac:dyDescent="0.25">
      <c r="A957" s="69"/>
      <c r="B957" s="71" t="s">
        <v>87</v>
      </c>
      <c r="C957" s="72" t="s">
        <v>77</v>
      </c>
      <c r="D957" s="51">
        <v>7.1609999999999996</v>
      </c>
      <c r="E957" s="609">
        <f t="shared" si="17"/>
        <v>7.1609999999999996</v>
      </c>
      <c r="F957" s="613"/>
    </row>
    <row r="958" spans="1:6" s="14" customFormat="1" ht="30" customHeight="1" outlineLevel="2" x14ac:dyDescent="0.25">
      <c r="A958" s="69"/>
      <c r="B958" s="71" t="s">
        <v>143</v>
      </c>
      <c r="C958" s="72" t="s">
        <v>77</v>
      </c>
      <c r="D958" s="51">
        <v>6.4569999999999999</v>
      </c>
      <c r="E958" s="609">
        <f t="shared" si="17"/>
        <v>6.4569999999999999</v>
      </c>
      <c r="F958" s="613"/>
    </row>
    <row r="959" spans="1:6" s="14" customFormat="1" ht="30" customHeight="1" outlineLevel="2" x14ac:dyDescent="0.25">
      <c r="A959" s="69"/>
      <c r="B959" s="71" t="s">
        <v>88</v>
      </c>
      <c r="C959" s="72" t="s">
        <v>10</v>
      </c>
      <c r="D959" s="51">
        <v>351.5</v>
      </c>
      <c r="E959" s="609">
        <f t="shared" si="17"/>
        <v>351.5</v>
      </c>
      <c r="F959" s="613"/>
    </row>
    <row r="960" spans="1:6" s="14" customFormat="1" ht="30" customHeight="1" outlineLevel="2" x14ac:dyDescent="0.25">
      <c r="A960" s="69"/>
      <c r="B960" s="71" t="s">
        <v>89</v>
      </c>
      <c r="C960" s="72" t="s">
        <v>10</v>
      </c>
      <c r="D960" s="51">
        <v>4.6500000000000004</v>
      </c>
      <c r="E960" s="609">
        <f t="shared" si="17"/>
        <v>4.6500000000000004</v>
      </c>
      <c r="F960" s="613"/>
    </row>
    <row r="961" spans="1:6" s="14" customFormat="1" ht="30" customHeight="1" outlineLevel="2" x14ac:dyDescent="0.25">
      <c r="A961" s="69"/>
      <c r="B961" s="71" t="s">
        <v>90</v>
      </c>
      <c r="C961" s="72" t="s">
        <v>77</v>
      </c>
      <c r="D961" s="51">
        <v>2.0186000000000002</v>
      </c>
      <c r="E961" s="609">
        <f t="shared" si="17"/>
        <v>2.0186000000000002</v>
      </c>
      <c r="F961" s="613"/>
    </row>
    <row r="962" spans="1:6" s="14" customFormat="1" ht="30" customHeight="1" outlineLevel="2" x14ac:dyDescent="0.25">
      <c r="A962" s="69"/>
      <c r="B962" s="71" t="s">
        <v>91</v>
      </c>
      <c r="C962" s="72" t="s">
        <v>78</v>
      </c>
      <c r="D962" s="51">
        <v>0</v>
      </c>
      <c r="E962" s="609">
        <f t="shared" si="17"/>
        <v>0</v>
      </c>
      <c r="F962" s="613"/>
    </row>
    <row r="963" spans="1:6" s="14" customFormat="1" ht="30" customHeight="1" outlineLevel="2" x14ac:dyDescent="0.25">
      <c r="A963" s="69"/>
      <c r="B963" s="71" t="s">
        <v>92</v>
      </c>
      <c r="C963" s="72" t="s">
        <v>78</v>
      </c>
      <c r="D963" s="51">
        <v>360</v>
      </c>
      <c r="E963" s="609">
        <f t="shared" si="17"/>
        <v>360</v>
      </c>
      <c r="F963" s="613"/>
    </row>
    <row r="964" spans="1:6" s="14" customFormat="1" ht="30" customHeight="1" outlineLevel="2" x14ac:dyDescent="0.25">
      <c r="A964" s="69"/>
      <c r="B964" s="71" t="s">
        <v>93</v>
      </c>
      <c r="C964" s="72" t="s">
        <v>78</v>
      </c>
      <c r="D964" s="51">
        <v>360</v>
      </c>
      <c r="E964" s="609">
        <f t="shared" si="17"/>
        <v>360</v>
      </c>
      <c r="F964" s="613"/>
    </row>
    <row r="965" spans="1:6" s="14" customFormat="1" ht="30" customHeight="1" outlineLevel="2" x14ac:dyDescent="0.25">
      <c r="A965" s="69"/>
      <c r="B965" s="71" t="s">
        <v>94</v>
      </c>
      <c r="C965" s="72" t="s">
        <v>78</v>
      </c>
      <c r="D965" s="51">
        <v>1080</v>
      </c>
      <c r="E965" s="609">
        <f t="shared" si="17"/>
        <v>1080</v>
      </c>
      <c r="F965" s="613"/>
    </row>
    <row r="966" spans="1:6" s="14" customFormat="1" ht="30" customHeight="1" outlineLevel="2" x14ac:dyDescent="0.25">
      <c r="A966" s="69"/>
      <c r="B966" s="71" t="s">
        <v>95</v>
      </c>
      <c r="C966" s="72" t="s">
        <v>57</v>
      </c>
      <c r="D966" s="51">
        <v>9.4580000000000002</v>
      </c>
      <c r="E966" s="609">
        <f t="shared" si="17"/>
        <v>9.4580000000000002</v>
      </c>
      <c r="F966" s="613"/>
    </row>
    <row r="967" spans="1:6" s="14" customFormat="1" ht="30" customHeight="1" outlineLevel="2" x14ac:dyDescent="0.25">
      <c r="A967" s="69"/>
      <c r="B967" s="71" t="s">
        <v>96</v>
      </c>
      <c r="C967" s="72" t="s">
        <v>57</v>
      </c>
      <c r="D967" s="51">
        <v>3.11</v>
      </c>
      <c r="E967" s="609">
        <f t="shared" si="17"/>
        <v>3.11</v>
      </c>
      <c r="F967" s="613"/>
    </row>
    <row r="968" spans="1:6" s="14" customFormat="1" ht="30" customHeight="1" outlineLevel="2" x14ac:dyDescent="0.25">
      <c r="A968" s="69"/>
      <c r="B968" s="71" t="s">
        <v>97</v>
      </c>
      <c r="C968" s="72" t="s">
        <v>79</v>
      </c>
      <c r="D968" s="51">
        <v>10</v>
      </c>
      <c r="E968" s="609">
        <f t="shared" si="17"/>
        <v>10</v>
      </c>
      <c r="F968" s="613"/>
    </row>
    <row r="969" spans="1:6" s="14" customFormat="1" ht="30" customHeight="1" outlineLevel="2" x14ac:dyDescent="0.25">
      <c r="A969" s="69"/>
      <c r="B969" s="71" t="s">
        <v>98</v>
      </c>
      <c r="C969" s="72" t="s">
        <v>79</v>
      </c>
      <c r="D969" s="51">
        <v>30</v>
      </c>
      <c r="E969" s="609">
        <f t="shared" si="17"/>
        <v>30</v>
      </c>
      <c r="F969" s="613"/>
    </row>
    <row r="970" spans="1:6" s="14" customFormat="1" ht="30" customHeight="1" outlineLevel="2" x14ac:dyDescent="0.25">
      <c r="A970" s="69"/>
      <c r="B970" s="70" t="s">
        <v>159</v>
      </c>
      <c r="C970" s="72"/>
      <c r="D970" s="51"/>
      <c r="E970" s="609">
        <f t="shared" si="17"/>
        <v>0</v>
      </c>
      <c r="F970" s="613"/>
    </row>
    <row r="971" spans="1:6" s="14" customFormat="1" ht="30" customHeight="1" outlineLevel="2" x14ac:dyDescent="0.25">
      <c r="A971" s="69"/>
      <c r="B971" s="71" t="s">
        <v>105</v>
      </c>
      <c r="C971" s="72" t="s">
        <v>77</v>
      </c>
      <c r="D971" s="51">
        <v>1.244</v>
      </c>
      <c r="E971" s="609">
        <f t="shared" si="17"/>
        <v>1.244</v>
      </c>
      <c r="F971" s="613"/>
    </row>
    <row r="972" spans="1:6" s="14" customFormat="1" ht="30" customHeight="1" outlineLevel="2" x14ac:dyDescent="0.25">
      <c r="A972" s="69"/>
      <c r="B972" s="71" t="s">
        <v>84</v>
      </c>
      <c r="C972" s="72" t="s">
        <v>77</v>
      </c>
      <c r="D972" s="51">
        <v>0.98599999999999999</v>
      </c>
      <c r="E972" s="609">
        <f t="shared" si="17"/>
        <v>0.98599999999999999</v>
      </c>
      <c r="F972" s="613"/>
    </row>
    <row r="973" spans="1:6" s="14" customFormat="1" ht="30" customHeight="1" outlineLevel="2" x14ac:dyDescent="0.25">
      <c r="A973" s="69"/>
      <c r="B973" s="71" t="s">
        <v>85</v>
      </c>
      <c r="C973" s="72" t="s">
        <v>77</v>
      </c>
      <c r="D973" s="51">
        <v>2.4260000000000002</v>
      </c>
      <c r="E973" s="609">
        <f t="shared" si="17"/>
        <v>2.4260000000000002</v>
      </c>
      <c r="F973" s="613"/>
    </row>
    <row r="974" spans="1:6" s="14" customFormat="1" ht="30" customHeight="1" outlineLevel="2" x14ac:dyDescent="0.25">
      <c r="A974" s="69"/>
      <c r="B974" s="71" t="s">
        <v>86</v>
      </c>
      <c r="C974" s="72" t="s">
        <v>77</v>
      </c>
      <c r="D974" s="51">
        <v>1.5001</v>
      </c>
      <c r="E974" s="609">
        <f t="shared" si="17"/>
        <v>1.5001</v>
      </c>
      <c r="F974" s="613"/>
    </row>
    <row r="975" spans="1:6" s="14" customFormat="1" ht="30" customHeight="1" outlineLevel="2" x14ac:dyDescent="0.25">
      <c r="A975" s="69"/>
      <c r="B975" s="71" t="s">
        <v>106</v>
      </c>
      <c r="C975" s="72" t="s">
        <v>10</v>
      </c>
      <c r="D975" s="51">
        <v>139.55000000000001</v>
      </c>
      <c r="E975" s="609">
        <f t="shared" si="17"/>
        <v>139.55000000000001</v>
      </c>
      <c r="F975" s="613"/>
    </row>
    <row r="976" spans="1:6" s="14" customFormat="1" ht="30" customHeight="1" outlineLevel="2" x14ac:dyDescent="0.25">
      <c r="A976" s="69"/>
      <c r="B976" s="71" t="s">
        <v>101</v>
      </c>
      <c r="C976" s="72" t="s">
        <v>10</v>
      </c>
      <c r="D976" s="51">
        <v>6.81</v>
      </c>
      <c r="E976" s="609">
        <f t="shared" si="17"/>
        <v>6.81</v>
      </c>
      <c r="F976" s="613"/>
    </row>
    <row r="977" spans="1:6" s="14" customFormat="1" ht="30" customHeight="1" outlineLevel="2" x14ac:dyDescent="0.25">
      <c r="A977" s="69"/>
      <c r="B977" s="71" t="s">
        <v>102</v>
      </c>
      <c r="C977" s="72" t="s">
        <v>66</v>
      </c>
      <c r="D977" s="51">
        <v>0.70899999999999996</v>
      </c>
      <c r="E977" s="609">
        <f t="shared" si="17"/>
        <v>0.70899999999999996</v>
      </c>
      <c r="F977" s="613"/>
    </row>
    <row r="978" spans="1:6" s="14" customFormat="1" ht="30" customHeight="1" outlineLevel="2" x14ac:dyDescent="0.25">
      <c r="A978" s="69"/>
      <c r="B978" s="71" t="s">
        <v>103</v>
      </c>
      <c r="C978" s="72" t="s">
        <v>68</v>
      </c>
      <c r="D978" s="51">
        <v>122.02</v>
      </c>
      <c r="E978" s="609">
        <f t="shared" si="17"/>
        <v>122.02</v>
      </c>
      <c r="F978" s="613"/>
    </row>
    <row r="979" spans="1:6" s="14" customFormat="1" ht="30" customHeight="1" outlineLevel="2" x14ac:dyDescent="0.25">
      <c r="A979" s="69"/>
      <c r="B979" s="70" t="s">
        <v>160</v>
      </c>
      <c r="C979" s="72"/>
      <c r="D979" s="51"/>
      <c r="E979" s="609">
        <f t="shared" si="17"/>
        <v>0</v>
      </c>
      <c r="F979" s="613"/>
    </row>
    <row r="980" spans="1:6" s="14" customFormat="1" ht="30" customHeight="1" outlineLevel="2" x14ac:dyDescent="0.25">
      <c r="A980" s="69"/>
      <c r="B980" s="71" t="s">
        <v>81</v>
      </c>
      <c r="C980" s="72" t="s">
        <v>77</v>
      </c>
      <c r="D980" s="51">
        <v>0</v>
      </c>
      <c r="E980" s="609">
        <f t="shared" ref="E980:E1043" si="18">D980</f>
        <v>0</v>
      </c>
      <c r="F980" s="613"/>
    </row>
    <row r="981" spans="1:6" s="14" customFormat="1" ht="30" customHeight="1" outlineLevel="2" x14ac:dyDescent="0.25">
      <c r="A981" s="69"/>
      <c r="B981" s="71" t="s">
        <v>82</v>
      </c>
      <c r="C981" s="72" t="s">
        <v>77</v>
      </c>
      <c r="D981" s="51">
        <v>1.01</v>
      </c>
      <c r="E981" s="609">
        <f t="shared" si="18"/>
        <v>1.01</v>
      </c>
      <c r="F981" s="613"/>
    </row>
    <row r="982" spans="1:6" s="14" customFormat="1" ht="30" customHeight="1" outlineLevel="2" x14ac:dyDescent="0.25">
      <c r="A982" s="69"/>
      <c r="B982" s="71" t="s">
        <v>105</v>
      </c>
      <c r="C982" s="72" t="s">
        <v>77</v>
      </c>
      <c r="D982" s="51">
        <v>0.26700000000000002</v>
      </c>
      <c r="E982" s="609">
        <f t="shared" si="18"/>
        <v>0.26700000000000002</v>
      </c>
      <c r="F982" s="613"/>
    </row>
    <row r="983" spans="1:6" s="14" customFormat="1" ht="30" customHeight="1" outlineLevel="2" x14ac:dyDescent="0.25">
      <c r="A983" s="69"/>
      <c r="B983" s="71" t="s">
        <v>83</v>
      </c>
      <c r="C983" s="72" t="s">
        <v>77</v>
      </c>
      <c r="D983" s="51">
        <v>1.421</v>
      </c>
      <c r="E983" s="609">
        <f t="shared" si="18"/>
        <v>1.421</v>
      </c>
      <c r="F983" s="613"/>
    </row>
    <row r="984" spans="1:6" s="14" customFormat="1" ht="30" customHeight="1" outlineLevel="2" x14ac:dyDescent="0.25">
      <c r="A984" s="69"/>
      <c r="B984" s="71" t="s">
        <v>86</v>
      </c>
      <c r="C984" s="72" t="s">
        <v>77</v>
      </c>
      <c r="D984" s="51">
        <v>1.2</v>
      </c>
      <c r="E984" s="609">
        <f t="shared" si="18"/>
        <v>1.2</v>
      </c>
      <c r="F984" s="613"/>
    </row>
    <row r="985" spans="1:6" s="14" customFormat="1" ht="30" customHeight="1" outlineLevel="2" x14ac:dyDescent="0.25">
      <c r="A985" s="69"/>
      <c r="B985" s="71" t="s">
        <v>106</v>
      </c>
      <c r="C985" s="72" t="s">
        <v>10</v>
      </c>
      <c r="D985" s="51">
        <v>62.75</v>
      </c>
      <c r="E985" s="609">
        <f t="shared" si="18"/>
        <v>62.75</v>
      </c>
      <c r="F985" s="613"/>
    </row>
    <row r="986" spans="1:6" s="14" customFormat="1" ht="30" customHeight="1" outlineLevel="2" x14ac:dyDescent="0.25">
      <c r="A986" s="69"/>
      <c r="B986" s="71" t="s">
        <v>102</v>
      </c>
      <c r="C986" s="72" t="s">
        <v>66</v>
      </c>
      <c r="D986" s="51">
        <v>1.2216</v>
      </c>
      <c r="E986" s="609">
        <f t="shared" si="18"/>
        <v>1.2216</v>
      </c>
      <c r="F986" s="613"/>
    </row>
    <row r="987" spans="1:6" s="14" customFormat="1" ht="30" customHeight="1" outlineLevel="2" x14ac:dyDescent="0.25">
      <c r="A987" s="69"/>
      <c r="B987" s="71" t="s">
        <v>103</v>
      </c>
      <c r="C987" s="72" t="s">
        <v>68</v>
      </c>
      <c r="D987" s="51">
        <v>55.18</v>
      </c>
      <c r="E987" s="609">
        <f t="shared" si="18"/>
        <v>55.18</v>
      </c>
      <c r="F987" s="613"/>
    </row>
    <row r="988" spans="1:6" s="14" customFormat="1" ht="30" customHeight="1" outlineLevel="2" x14ac:dyDescent="0.25">
      <c r="A988" s="69"/>
      <c r="B988" s="70" t="s">
        <v>161</v>
      </c>
      <c r="C988" s="72"/>
      <c r="D988" s="51"/>
      <c r="E988" s="609">
        <f t="shared" si="18"/>
        <v>0</v>
      </c>
      <c r="F988" s="613"/>
    </row>
    <row r="989" spans="1:6" s="14" customFormat="1" ht="30" customHeight="1" outlineLevel="2" x14ac:dyDescent="0.25">
      <c r="A989" s="69"/>
      <c r="B989" s="71" t="s">
        <v>82</v>
      </c>
      <c r="C989" s="72" t="s">
        <v>77</v>
      </c>
      <c r="D989" s="51">
        <v>0.19400000000000001</v>
      </c>
      <c r="E989" s="609">
        <f t="shared" si="18"/>
        <v>0.19400000000000001</v>
      </c>
      <c r="F989" s="613"/>
    </row>
    <row r="990" spans="1:6" s="14" customFormat="1" ht="30" customHeight="1" outlineLevel="2" x14ac:dyDescent="0.25">
      <c r="A990" s="69"/>
      <c r="B990" s="71" t="s">
        <v>105</v>
      </c>
      <c r="C990" s="72" t="s">
        <v>77</v>
      </c>
      <c r="D990" s="51">
        <v>0.42499999999999999</v>
      </c>
      <c r="E990" s="609">
        <f t="shared" si="18"/>
        <v>0.42499999999999999</v>
      </c>
      <c r="F990" s="613"/>
    </row>
    <row r="991" spans="1:6" s="14" customFormat="1" ht="30" customHeight="1" outlineLevel="2" x14ac:dyDescent="0.25">
      <c r="A991" s="69"/>
      <c r="B991" s="71" t="s">
        <v>83</v>
      </c>
      <c r="C991" s="72" t="s">
        <v>77</v>
      </c>
      <c r="D991" s="51">
        <v>0.89200000000000002</v>
      </c>
      <c r="E991" s="609">
        <f t="shared" si="18"/>
        <v>0.89200000000000002</v>
      </c>
      <c r="F991" s="613"/>
    </row>
    <row r="992" spans="1:6" s="14" customFormat="1" ht="30" customHeight="1" outlineLevel="2" x14ac:dyDescent="0.25">
      <c r="A992" s="69"/>
      <c r="B992" s="71" t="s">
        <v>85</v>
      </c>
      <c r="C992" s="72" t="s">
        <v>77</v>
      </c>
      <c r="D992" s="51">
        <v>1.3340000000000001</v>
      </c>
      <c r="E992" s="609">
        <f t="shared" si="18"/>
        <v>1.3340000000000001</v>
      </c>
      <c r="F992" s="613"/>
    </row>
    <row r="993" spans="1:6" s="14" customFormat="1" ht="30" customHeight="1" outlineLevel="2" x14ac:dyDescent="0.25">
      <c r="A993" s="69"/>
      <c r="B993" s="71" t="s">
        <v>106</v>
      </c>
      <c r="C993" s="72" t="s">
        <v>10</v>
      </c>
      <c r="D993" s="51">
        <v>20.81</v>
      </c>
      <c r="E993" s="609">
        <f t="shared" si="18"/>
        <v>20.81</v>
      </c>
      <c r="F993" s="613"/>
    </row>
    <row r="994" spans="1:6" s="14" customFormat="1" ht="30" customHeight="1" outlineLevel="2" x14ac:dyDescent="0.25">
      <c r="A994" s="69"/>
      <c r="B994" s="71" t="s">
        <v>102</v>
      </c>
      <c r="C994" s="72" t="s">
        <v>66</v>
      </c>
      <c r="D994" s="51">
        <v>0.97209999999999996</v>
      </c>
      <c r="E994" s="609">
        <f t="shared" si="18"/>
        <v>0.97209999999999996</v>
      </c>
      <c r="F994" s="613"/>
    </row>
    <row r="995" spans="1:6" s="14" customFormat="1" ht="30" customHeight="1" outlineLevel="2" x14ac:dyDescent="0.25">
      <c r="A995" s="69"/>
      <c r="B995" s="71" t="s">
        <v>103</v>
      </c>
      <c r="C995" s="72" t="s">
        <v>68</v>
      </c>
      <c r="D995" s="51">
        <v>58.69</v>
      </c>
      <c r="E995" s="609">
        <f t="shared" si="18"/>
        <v>58.69</v>
      </c>
      <c r="F995" s="613"/>
    </row>
    <row r="996" spans="1:6" s="14" customFormat="1" ht="30" customHeight="1" outlineLevel="2" x14ac:dyDescent="0.25">
      <c r="A996" s="69"/>
      <c r="B996" s="70" t="s">
        <v>162</v>
      </c>
      <c r="C996" s="72"/>
      <c r="D996" s="51"/>
      <c r="E996" s="609">
        <f t="shared" si="18"/>
        <v>0</v>
      </c>
      <c r="F996" s="613"/>
    </row>
    <row r="997" spans="1:6" s="14" customFormat="1" ht="30" customHeight="1" outlineLevel="2" x14ac:dyDescent="0.25">
      <c r="A997" s="69"/>
      <c r="B997" s="71" t="s">
        <v>110</v>
      </c>
      <c r="C997" s="72" t="s">
        <v>10</v>
      </c>
      <c r="D997" s="51">
        <v>0.09</v>
      </c>
      <c r="E997" s="609">
        <f t="shared" si="18"/>
        <v>0.09</v>
      </c>
      <c r="F997" s="613"/>
    </row>
    <row r="998" spans="1:6" s="14" customFormat="1" ht="30" customHeight="1" outlineLevel="2" x14ac:dyDescent="0.25">
      <c r="A998" s="69"/>
      <c r="B998" s="71" t="s">
        <v>163</v>
      </c>
      <c r="C998" s="72" t="s">
        <v>77</v>
      </c>
      <c r="D998" s="51">
        <v>1.6E-2</v>
      </c>
      <c r="E998" s="609">
        <f t="shared" si="18"/>
        <v>1.6E-2</v>
      </c>
      <c r="F998" s="613"/>
    </row>
    <row r="999" spans="1:6" s="14" customFormat="1" ht="30" customHeight="1" outlineLevel="2" x14ac:dyDescent="0.25">
      <c r="A999" s="69"/>
      <c r="B999" s="71" t="s">
        <v>81</v>
      </c>
      <c r="C999" s="72" t="s">
        <v>77</v>
      </c>
      <c r="D999" s="51">
        <v>0.158</v>
      </c>
      <c r="E999" s="609">
        <f t="shared" si="18"/>
        <v>0.158</v>
      </c>
      <c r="F999" s="613"/>
    </row>
    <row r="1000" spans="1:6" s="14" customFormat="1" ht="30" customHeight="1" outlineLevel="2" x14ac:dyDescent="0.25">
      <c r="A1000" s="69"/>
      <c r="B1000" s="71" t="s">
        <v>164</v>
      </c>
      <c r="C1000" s="72" t="s">
        <v>10</v>
      </c>
      <c r="D1000" s="51"/>
      <c r="E1000" s="609">
        <f t="shared" si="18"/>
        <v>0</v>
      </c>
      <c r="F1000" s="613"/>
    </row>
    <row r="1001" spans="1:6" s="14" customFormat="1" ht="30" customHeight="1" outlineLevel="2" x14ac:dyDescent="0.25">
      <c r="A1001" s="69"/>
      <c r="B1001" s="65" t="s">
        <v>153</v>
      </c>
      <c r="C1001" s="66"/>
      <c r="D1001" s="51"/>
      <c r="E1001" s="609">
        <f t="shared" si="18"/>
        <v>0</v>
      </c>
      <c r="F1001" s="613"/>
    </row>
    <row r="1002" spans="1:6" s="14" customFormat="1" ht="30" customHeight="1" outlineLevel="2" x14ac:dyDescent="0.25">
      <c r="A1002" s="69"/>
      <c r="B1002" s="67" t="s">
        <v>85</v>
      </c>
      <c r="C1002" s="66" t="s">
        <v>77</v>
      </c>
      <c r="D1002" s="51">
        <v>5.7000000000000002E-2</v>
      </c>
      <c r="E1002" s="609">
        <f t="shared" si="18"/>
        <v>5.7000000000000002E-2</v>
      </c>
      <c r="F1002" s="613"/>
    </row>
    <row r="1003" spans="1:6" s="14" customFormat="1" ht="30" customHeight="1" outlineLevel="2" x14ac:dyDescent="0.25">
      <c r="A1003" s="69"/>
      <c r="B1003" s="67" t="s">
        <v>150</v>
      </c>
      <c r="C1003" s="66" t="s">
        <v>57</v>
      </c>
      <c r="D1003" s="51">
        <v>4.2000000000000003E-2</v>
      </c>
      <c r="E1003" s="609">
        <f t="shared" si="18"/>
        <v>4.2000000000000003E-2</v>
      </c>
      <c r="F1003" s="613"/>
    </row>
    <row r="1004" spans="1:6" s="14" customFormat="1" ht="30" customHeight="1" outlineLevel="2" x14ac:dyDescent="0.25">
      <c r="A1004" s="69"/>
      <c r="B1004" s="67" t="s">
        <v>151</v>
      </c>
      <c r="C1004" s="66" t="s">
        <v>57</v>
      </c>
      <c r="D1004" s="51">
        <v>1.4E-2</v>
      </c>
      <c r="E1004" s="609">
        <f t="shared" si="18"/>
        <v>1.4E-2</v>
      </c>
      <c r="F1004" s="613"/>
    </row>
    <row r="1005" spans="1:6" s="14" customFormat="1" ht="30" customHeight="1" outlineLevel="2" x14ac:dyDescent="0.25">
      <c r="A1005" s="69"/>
      <c r="B1005" s="68" t="s">
        <v>165</v>
      </c>
      <c r="C1005" s="66" t="s">
        <v>78</v>
      </c>
      <c r="D1005" s="51">
        <v>18</v>
      </c>
      <c r="E1005" s="609">
        <f t="shared" si="18"/>
        <v>18</v>
      </c>
      <c r="F1005" s="613"/>
    </row>
    <row r="1006" spans="1:6" s="14" customFormat="1" ht="30" customHeight="1" outlineLevel="1" x14ac:dyDescent="0.25">
      <c r="A1006" s="57">
        <v>14</v>
      </c>
      <c r="B1006" s="58" t="s">
        <v>166</v>
      </c>
      <c r="C1006" s="59" t="s">
        <v>134</v>
      </c>
      <c r="D1006" s="52">
        <v>1</v>
      </c>
      <c r="E1006" s="609">
        <f t="shared" si="18"/>
        <v>1</v>
      </c>
      <c r="F1006" s="613"/>
    </row>
    <row r="1007" spans="1:6" s="14" customFormat="1" ht="30" customHeight="1" outlineLevel="1" x14ac:dyDescent="0.25">
      <c r="A1007" s="57"/>
      <c r="B1007" s="61" t="s">
        <v>108</v>
      </c>
      <c r="C1007" s="62" t="s">
        <v>77</v>
      </c>
      <c r="D1007" s="49">
        <v>3.524E-2</v>
      </c>
      <c r="E1007" s="609">
        <f t="shared" si="18"/>
        <v>3.524E-2</v>
      </c>
      <c r="F1007" s="613"/>
    </row>
    <row r="1008" spans="1:6" s="14" customFormat="1" ht="30" customHeight="1" outlineLevel="1" x14ac:dyDescent="0.25">
      <c r="A1008" s="57"/>
      <c r="B1008" s="61" t="s">
        <v>105</v>
      </c>
      <c r="C1008" s="62" t="s">
        <v>77</v>
      </c>
      <c r="D1008" s="49">
        <v>0.14742</v>
      </c>
      <c r="E1008" s="609">
        <f t="shared" si="18"/>
        <v>0.14742</v>
      </c>
      <c r="F1008" s="613"/>
    </row>
    <row r="1009" spans="1:6" s="14" customFormat="1" ht="30" customHeight="1" outlineLevel="1" x14ac:dyDescent="0.25">
      <c r="A1009" s="57"/>
      <c r="B1009" s="61" t="s">
        <v>83</v>
      </c>
      <c r="C1009" s="62" t="s">
        <v>77</v>
      </c>
      <c r="D1009" s="49">
        <v>0.45121999999999995</v>
      </c>
      <c r="E1009" s="609">
        <f t="shared" si="18"/>
        <v>0.45121999999999995</v>
      </c>
      <c r="F1009" s="613"/>
    </row>
    <row r="1010" spans="1:6" s="14" customFormat="1" ht="30" customHeight="1" outlineLevel="1" x14ac:dyDescent="0.25">
      <c r="A1010" s="57"/>
      <c r="B1010" s="61" t="s">
        <v>84</v>
      </c>
      <c r="C1010" s="62" t="s">
        <v>77</v>
      </c>
      <c r="D1010" s="49">
        <v>9.7379999999999994E-2</v>
      </c>
      <c r="E1010" s="609">
        <f t="shared" si="18"/>
        <v>9.7379999999999994E-2</v>
      </c>
      <c r="F1010" s="613"/>
    </row>
    <row r="1011" spans="1:6" s="14" customFormat="1" ht="30" customHeight="1" outlineLevel="1" x14ac:dyDescent="0.25">
      <c r="A1011" s="57"/>
      <c r="B1011" s="61" t="s">
        <v>167</v>
      </c>
      <c r="C1011" s="63" t="s">
        <v>116</v>
      </c>
      <c r="D1011" s="49">
        <v>0.12362000000000001</v>
      </c>
      <c r="E1011" s="609">
        <f t="shared" si="18"/>
        <v>0.12362000000000001</v>
      </c>
      <c r="F1011" s="613"/>
    </row>
    <row r="1012" spans="1:6" s="14" customFormat="1" ht="30" customHeight="1" outlineLevel="1" x14ac:dyDescent="0.25">
      <c r="A1012" s="57"/>
      <c r="B1012" s="61" t="s">
        <v>168</v>
      </c>
      <c r="C1012" s="63" t="s">
        <v>116</v>
      </c>
      <c r="D1012" s="49">
        <v>0.18940000000000001</v>
      </c>
      <c r="E1012" s="609">
        <f t="shared" si="18"/>
        <v>0.18940000000000001</v>
      </c>
      <c r="F1012" s="613"/>
    </row>
    <row r="1013" spans="1:6" s="14" customFormat="1" ht="30" customHeight="1" outlineLevel="1" x14ac:dyDescent="0.25">
      <c r="A1013" s="57"/>
      <c r="B1013" s="61" t="s">
        <v>169</v>
      </c>
      <c r="C1013" s="63" t="s">
        <v>116</v>
      </c>
      <c r="D1013" s="49">
        <v>8.6679999999999993E-2</v>
      </c>
      <c r="E1013" s="609">
        <f t="shared" si="18"/>
        <v>8.6679999999999993E-2</v>
      </c>
      <c r="F1013" s="613"/>
    </row>
    <row r="1014" spans="1:6" s="14" customFormat="1" ht="30" customHeight="1" outlineLevel="1" x14ac:dyDescent="0.25">
      <c r="A1014" s="57"/>
      <c r="B1014" s="61" t="s">
        <v>170</v>
      </c>
      <c r="C1014" s="62" t="s">
        <v>68</v>
      </c>
      <c r="D1014" s="49">
        <v>14.54</v>
      </c>
      <c r="E1014" s="609">
        <f t="shared" si="18"/>
        <v>14.54</v>
      </c>
      <c r="F1014" s="613"/>
    </row>
    <row r="1015" spans="1:6" s="14" customFormat="1" ht="30" customHeight="1" outlineLevel="1" x14ac:dyDescent="0.25">
      <c r="A1015" s="57"/>
      <c r="B1015" s="61" t="s">
        <v>117</v>
      </c>
      <c r="C1015" s="62" t="s">
        <v>10</v>
      </c>
      <c r="D1015" s="49">
        <v>0.05</v>
      </c>
      <c r="E1015" s="609">
        <f t="shared" si="18"/>
        <v>0.05</v>
      </c>
      <c r="F1015" s="613"/>
    </row>
    <row r="1016" spans="1:6" s="14" customFormat="1" ht="30" customHeight="1" outlineLevel="1" x14ac:dyDescent="0.25">
      <c r="A1016" s="57"/>
      <c r="B1016" s="61" t="s">
        <v>171</v>
      </c>
      <c r="C1016" s="63" t="s">
        <v>10</v>
      </c>
      <c r="D1016" s="49">
        <v>2.4799999999999995</v>
      </c>
      <c r="E1016" s="609">
        <f t="shared" si="18"/>
        <v>2.4799999999999995</v>
      </c>
      <c r="F1016" s="613"/>
    </row>
    <row r="1017" spans="1:6" s="14" customFormat="1" ht="30" customHeight="1" outlineLevel="1" x14ac:dyDescent="0.25">
      <c r="A1017" s="57"/>
      <c r="B1017" s="61" t="s">
        <v>172</v>
      </c>
      <c r="C1017" s="62" t="s">
        <v>66</v>
      </c>
      <c r="D1017" s="49">
        <v>0.16600000000000001</v>
      </c>
      <c r="E1017" s="609">
        <f t="shared" si="18"/>
        <v>0.16600000000000001</v>
      </c>
      <c r="F1017" s="613"/>
    </row>
    <row r="1018" spans="1:6" s="14" customFormat="1" ht="30" customHeight="1" x14ac:dyDescent="0.25">
      <c r="A1018" s="73" t="s">
        <v>118</v>
      </c>
      <c r="B1018" s="74" t="s">
        <v>173</v>
      </c>
      <c r="C1018" s="75"/>
      <c r="D1018" s="53"/>
      <c r="E1018" s="609">
        <f t="shared" si="18"/>
        <v>0</v>
      </c>
      <c r="F1018" s="613"/>
    </row>
    <row r="1019" spans="1:6" s="14" customFormat="1" ht="30" customHeight="1" outlineLevel="1" x14ac:dyDescent="0.25">
      <c r="A1019" s="57">
        <v>1</v>
      </c>
      <c r="B1019" s="58" t="s">
        <v>174</v>
      </c>
      <c r="C1019" s="59" t="s">
        <v>134</v>
      </c>
      <c r="D1019" s="52">
        <v>1</v>
      </c>
      <c r="E1019" s="609">
        <f t="shared" si="18"/>
        <v>1</v>
      </c>
      <c r="F1019" s="613"/>
    </row>
    <row r="1020" spans="1:6" s="14" customFormat="1" ht="30" customHeight="1" outlineLevel="2" x14ac:dyDescent="0.25">
      <c r="A1020" s="57"/>
      <c r="B1020" s="61" t="s">
        <v>175</v>
      </c>
      <c r="C1020" s="63" t="s">
        <v>116</v>
      </c>
      <c r="D1020" s="49">
        <v>0.84923999999999999</v>
      </c>
      <c r="E1020" s="609">
        <f t="shared" si="18"/>
        <v>0.84923999999999999</v>
      </c>
      <c r="F1020" s="613"/>
    </row>
    <row r="1021" spans="1:6" s="14" customFormat="1" ht="30" customHeight="1" outlineLevel="2" x14ac:dyDescent="0.25">
      <c r="A1021" s="57"/>
      <c r="B1021" s="61" t="s">
        <v>90</v>
      </c>
      <c r="C1021" s="63" t="s">
        <v>116</v>
      </c>
      <c r="D1021" s="49">
        <v>0.37101000000000001</v>
      </c>
      <c r="E1021" s="609">
        <f t="shared" si="18"/>
        <v>0.37101000000000001</v>
      </c>
      <c r="F1021" s="613"/>
    </row>
    <row r="1022" spans="1:6" s="14" customFormat="1" ht="30" customHeight="1" outlineLevel="2" x14ac:dyDescent="0.25">
      <c r="A1022" s="57"/>
      <c r="B1022" s="61" t="s">
        <v>176</v>
      </c>
      <c r="C1022" s="63" t="s">
        <v>116</v>
      </c>
      <c r="D1022" s="49">
        <v>1.9219999999999998E-2</v>
      </c>
      <c r="E1022" s="609">
        <f t="shared" si="18"/>
        <v>1.9219999999999998E-2</v>
      </c>
      <c r="F1022" s="613"/>
    </row>
    <row r="1023" spans="1:6" s="14" customFormat="1" ht="30" customHeight="1" outlineLevel="2" x14ac:dyDescent="0.25">
      <c r="A1023" s="57"/>
      <c r="B1023" s="61" t="s">
        <v>177</v>
      </c>
      <c r="C1023" s="63" t="s">
        <v>116</v>
      </c>
      <c r="D1023" s="49">
        <v>7.4099999999999999E-2</v>
      </c>
      <c r="E1023" s="609">
        <f t="shared" si="18"/>
        <v>7.4099999999999999E-2</v>
      </c>
      <c r="F1023" s="613"/>
    </row>
    <row r="1024" spans="1:6" s="14" customFormat="1" ht="30" customHeight="1" outlineLevel="2" x14ac:dyDescent="0.25">
      <c r="A1024" s="57"/>
      <c r="B1024" s="61" t="s">
        <v>119</v>
      </c>
      <c r="C1024" s="63" t="s">
        <v>78</v>
      </c>
      <c r="D1024" s="49">
        <v>12</v>
      </c>
      <c r="E1024" s="609">
        <f t="shared" si="18"/>
        <v>12</v>
      </c>
      <c r="F1024" s="613"/>
    </row>
    <row r="1025" spans="1:6" s="14" customFormat="1" ht="30" customHeight="1" outlineLevel="1" x14ac:dyDescent="0.25">
      <c r="A1025" s="57">
        <v>2</v>
      </c>
      <c r="B1025" s="58" t="s">
        <v>178</v>
      </c>
      <c r="C1025" s="59" t="s">
        <v>134</v>
      </c>
      <c r="D1025" s="52">
        <v>1</v>
      </c>
      <c r="E1025" s="609">
        <f t="shared" si="18"/>
        <v>1</v>
      </c>
      <c r="F1025" s="613"/>
    </row>
    <row r="1026" spans="1:6" s="14" customFormat="1" ht="30" customHeight="1" outlineLevel="1" x14ac:dyDescent="0.25">
      <c r="A1026" s="57"/>
      <c r="B1026" s="61" t="s">
        <v>175</v>
      </c>
      <c r="C1026" s="63" t="s">
        <v>116</v>
      </c>
      <c r="D1026" s="49">
        <v>0.15540999999999999</v>
      </c>
      <c r="E1026" s="609">
        <f t="shared" si="18"/>
        <v>0.15540999999999999</v>
      </c>
      <c r="F1026" s="613"/>
    </row>
    <row r="1027" spans="1:6" s="14" customFormat="1" ht="30" customHeight="1" outlineLevel="1" x14ac:dyDescent="0.25">
      <c r="A1027" s="57"/>
      <c r="B1027" s="61" t="s">
        <v>90</v>
      </c>
      <c r="C1027" s="63" t="s">
        <v>116</v>
      </c>
      <c r="D1027" s="49">
        <v>2.6460000000000001E-2</v>
      </c>
      <c r="E1027" s="609">
        <f t="shared" si="18"/>
        <v>2.6460000000000001E-2</v>
      </c>
      <c r="F1027" s="613"/>
    </row>
    <row r="1028" spans="1:6" s="14" customFormat="1" ht="30" customHeight="1" outlineLevel="1" x14ac:dyDescent="0.25">
      <c r="A1028" s="57"/>
      <c r="B1028" s="61" t="s">
        <v>179</v>
      </c>
      <c r="C1028" s="63" t="s">
        <v>116</v>
      </c>
      <c r="D1028" s="49">
        <v>3.16E-3</v>
      </c>
      <c r="E1028" s="609">
        <f t="shared" si="18"/>
        <v>3.16E-3</v>
      </c>
      <c r="F1028" s="613"/>
    </row>
    <row r="1029" spans="1:6" s="14" customFormat="1" ht="30" customHeight="1" outlineLevel="1" x14ac:dyDescent="0.25">
      <c r="A1029" s="57"/>
      <c r="B1029" s="76" t="s">
        <v>180</v>
      </c>
      <c r="C1029" s="63" t="s">
        <v>78</v>
      </c>
      <c r="D1029" s="49">
        <v>10</v>
      </c>
      <c r="E1029" s="609">
        <f t="shared" si="18"/>
        <v>10</v>
      </c>
      <c r="F1029" s="613"/>
    </row>
    <row r="1030" spans="1:6" s="14" customFormat="1" ht="30" customHeight="1" outlineLevel="1" x14ac:dyDescent="0.25">
      <c r="A1030" s="57"/>
      <c r="B1030" s="76" t="s">
        <v>181</v>
      </c>
      <c r="C1030" s="63" t="s">
        <v>78</v>
      </c>
      <c r="D1030" s="49">
        <v>1</v>
      </c>
      <c r="E1030" s="609">
        <f t="shared" si="18"/>
        <v>1</v>
      </c>
      <c r="F1030" s="613"/>
    </row>
    <row r="1031" spans="1:6" s="14" customFormat="1" ht="30" customHeight="1" outlineLevel="1" x14ac:dyDescent="0.25">
      <c r="A1031" s="57"/>
      <c r="B1031" s="76" t="s">
        <v>182</v>
      </c>
      <c r="C1031" s="63" t="s">
        <v>78</v>
      </c>
      <c r="D1031" s="49">
        <v>10</v>
      </c>
      <c r="E1031" s="609">
        <f t="shared" si="18"/>
        <v>10</v>
      </c>
      <c r="F1031" s="613"/>
    </row>
    <row r="1032" spans="1:6" s="14" customFormat="1" ht="30" customHeight="1" outlineLevel="1" x14ac:dyDescent="0.25">
      <c r="A1032" s="57"/>
      <c r="B1032" s="61" t="s">
        <v>183</v>
      </c>
      <c r="C1032" s="62" t="s">
        <v>68</v>
      </c>
      <c r="D1032" s="49">
        <v>1</v>
      </c>
      <c r="E1032" s="609">
        <f t="shared" si="18"/>
        <v>1</v>
      </c>
      <c r="F1032" s="613"/>
    </row>
    <row r="1033" spans="1:6" s="14" customFormat="1" ht="30" customHeight="1" x14ac:dyDescent="0.25">
      <c r="A1033" s="73" t="s">
        <v>120</v>
      </c>
      <c r="B1033" s="74" t="s">
        <v>184</v>
      </c>
      <c r="C1033" s="75"/>
      <c r="D1033" s="53"/>
      <c r="E1033" s="609">
        <f t="shared" si="18"/>
        <v>0</v>
      </c>
      <c r="F1033" s="613"/>
    </row>
    <row r="1034" spans="1:6" s="14" customFormat="1" ht="30" customHeight="1" outlineLevel="1" x14ac:dyDescent="0.25">
      <c r="A1034" s="77">
        <v>1</v>
      </c>
      <c r="B1034" s="78" t="s">
        <v>185</v>
      </c>
      <c r="C1034" s="77" t="s">
        <v>135</v>
      </c>
      <c r="D1034" s="54">
        <v>1</v>
      </c>
      <c r="E1034" s="609">
        <f t="shared" si="18"/>
        <v>1</v>
      </c>
      <c r="F1034" s="613"/>
    </row>
    <row r="1035" spans="1:6" s="14" customFormat="1" ht="30" customHeight="1" outlineLevel="2" x14ac:dyDescent="0.25">
      <c r="A1035" s="77"/>
      <c r="B1035" s="79" t="s">
        <v>186</v>
      </c>
      <c r="C1035" s="80" t="s">
        <v>10</v>
      </c>
      <c r="D1035" s="55">
        <v>0</v>
      </c>
      <c r="E1035" s="609">
        <f t="shared" si="18"/>
        <v>0</v>
      </c>
      <c r="F1035" s="613"/>
    </row>
    <row r="1036" spans="1:6" s="14" customFormat="1" ht="30" customHeight="1" outlineLevel="2" x14ac:dyDescent="0.25">
      <c r="A1036" s="77"/>
      <c r="B1036" s="79" t="s">
        <v>187</v>
      </c>
      <c r="C1036" s="80" t="s">
        <v>10</v>
      </c>
      <c r="D1036" s="55">
        <v>0</v>
      </c>
      <c r="E1036" s="609">
        <f t="shared" si="18"/>
        <v>0</v>
      </c>
      <c r="F1036" s="613"/>
    </row>
    <row r="1037" spans="1:6" s="14" customFormat="1" ht="30" customHeight="1" outlineLevel="2" x14ac:dyDescent="0.25">
      <c r="A1037" s="77"/>
      <c r="B1037" s="79" t="s">
        <v>188</v>
      </c>
      <c r="C1037" s="81" t="s">
        <v>68</v>
      </c>
      <c r="D1037" s="55">
        <v>0</v>
      </c>
      <c r="E1037" s="609">
        <f t="shared" si="18"/>
        <v>0</v>
      </c>
      <c r="F1037" s="613"/>
    </row>
    <row r="1038" spans="1:6" s="14" customFormat="1" ht="30" customHeight="1" outlineLevel="2" x14ac:dyDescent="0.25">
      <c r="A1038" s="77"/>
      <c r="B1038" s="79" t="s">
        <v>186</v>
      </c>
      <c r="C1038" s="80" t="s">
        <v>10</v>
      </c>
      <c r="D1038" s="55">
        <v>93</v>
      </c>
      <c r="E1038" s="609">
        <f t="shared" si="18"/>
        <v>93</v>
      </c>
      <c r="F1038" s="613"/>
    </row>
    <row r="1039" spans="1:6" s="14" customFormat="1" ht="30" customHeight="1" outlineLevel="2" x14ac:dyDescent="0.25">
      <c r="A1039" s="77"/>
      <c r="B1039" s="79" t="s">
        <v>189</v>
      </c>
      <c r="C1039" s="80" t="s">
        <v>66</v>
      </c>
      <c r="D1039" s="55">
        <v>1.694</v>
      </c>
      <c r="E1039" s="609">
        <f t="shared" si="18"/>
        <v>1.694</v>
      </c>
      <c r="F1039" s="613"/>
    </row>
    <row r="1040" spans="1:6" s="14" customFormat="1" ht="30" customHeight="1" outlineLevel="2" x14ac:dyDescent="0.25">
      <c r="A1040" s="77"/>
      <c r="B1040" s="79" t="s">
        <v>190</v>
      </c>
      <c r="C1040" s="81" t="s">
        <v>10</v>
      </c>
      <c r="D1040" s="55">
        <v>17.37</v>
      </c>
      <c r="E1040" s="609">
        <f t="shared" si="18"/>
        <v>17.37</v>
      </c>
      <c r="F1040" s="613"/>
    </row>
    <row r="1041" spans="1:6" s="14" customFormat="1" ht="30" customHeight="1" outlineLevel="2" x14ac:dyDescent="0.25">
      <c r="A1041" s="77"/>
      <c r="B1041" s="79" t="s">
        <v>191</v>
      </c>
      <c r="C1041" s="81" t="s">
        <v>137</v>
      </c>
      <c r="D1041" s="55">
        <v>4342</v>
      </c>
      <c r="E1041" s="609">
        <f t="shared" si="18"/>
        <v>4342</v>
      </c>
      <c r="F1041" s="613"/>
    </row>
    <row r="1042" spans="1:6" s="14" customFormat="1" ht="30" customHeight="1" outlineLevel="2" x14ac:dyDescent="0.25">
      <c r="A1042" s="77"/>
      <c r="B1042" s="82" t="s">
        <v>192</v>
      </c>
      <c r="C1042" s="81" t="s">
        <v>77</v>
      </c>
      <c r="D1042" s="55">
        <v>6.6296799999999996</v>
      </c>
      <c r="E1042" s="609">
        <f t="shared" si="18"/>
        <v>6.6296799999999996</v>
      </c>
      <c r="F1042" s="613"/>
    </row>
    <row r="1043" spans="1:6" s="14" customFormat="1" ht="30" customHeight="1" outlineLevel="2" x14ac:dyDescent="0.25">
      <c r="A1043" s="77"/>
      <c r="B1043" s="82" t="s">
        <v>193</v>
      </c>
      <c r="C1043" s="81" t="s">
        <v>77</v>
      </c>
      <c r="D1043" s="55">
        <v>3.1722199999999998</v>
      </c>
      <c r="E1043" s="609">
        <f t="shared" si="18"/>
        <v>3.1722199999999998</v>
      </c>
      <c r="F1043" s="613"/>
    </row>
    <row r="1044" spans="1:6" s="14" customFormat="1" ht="30" customHeight="1" outlineLevel="2" x14ac:dyDescent="0.25">
      <c r="A1044" s="77"/>
      <c r="B1044" s="79" t="s">
        <v>194</v>
      </c>
      <c r="C1044" s="81" t="s">
        <v>77</v>
      </c>
      <c r="D1044" s="55">
        <v>0.98</v>
      </c>
      <c r="E1044" s="609">
        <f t="shared" ref="E1044:E1107" si="19">D1044</f>
        <v>0.98</v>
      </c>
      <c r="F1044" s="613"/>
    </row>
    <row r="1045" spans="1:6" s="14" customFormat="1" ht="30" customHeight="1" outlineLevel="2" x14ac:dyDescent="0.25">
      <c r="A1045" s="77"/>
      <c r="B1045" s="79" t="s">
        <v>195</v>
      </c>
      <c r="C1045" s="81" t="s">
        <v>77</v>
      </c>
      <c r="D1045" s="55">
        <v>-7.5473299999999997</v>
      </c>
      <c r="E1045" s="609">
        <f t="shared" si="19"/>
        <v>-7.5473299999999997</v>
      </c>
      <c r="F1045" s="613"/>
    </row>
    <row r="1046" spans="1:6" s="14" customFormat="1" ht="30" customHeight="1" outlineLevel="1" x14ac:dyDescent="0.25">
      <c r="A1046" s="77">
        <v>2</v>
      </c>
      <c r="B1046" s="78" t="s">
        <v>196</v>
      </c>
      <c r="C1046" s="83" t="s">
        <v>134</v>
      </c>
      <c r="D1046" s="54"/>
      <c r="E1046" s="609">
        <f t="shared" si="19"/>
        <v>0</v>
      </c>
      <c r="F1046" s="613"/>
    </row>
    <row r="1047" spans="1:6" s="14" customFormat="1" ht="30" customHeight="1" outlineLevel="2" x14ac:dyDescent="0.25">
      <c r="A1047" s="77"/>
      <c r="B1047" s="78" t="s">
        <v>197</v>
      </c>
      <c r="C1047" s="83"/>
      <c r="D1047" s="55"/>
      <c r="E1047" s="609">
        <f t="shared" si="19"/>
        <v>0</v>
      </c>
      <c r="F1047" s="613"/>
    </row>
    <row r="1048" spans="1:6" s="14" customFormat="1" ht="30" customHeight="1" outlineLevel="2" x14ac:dyDescent="0.25">
      <c r="A1048" s="77"/>
      <c r="B1048" s="84" t="s">
        <v>198</v>
      </c>
      <c r="C1048" s="80" t="s">
        <v>10</v>
      </c>
      <c r="D1048" s="55">
        <v>3592.88</v>
      </c>
      <c r="E1048" s="609">
        <f t="shared" si="19"/>
        <v>3592.88</v>
      </c>
      <c r="F1048" s="613"/>
    </row>
    <row r="1049" spans="1:6" s="14" customFormat="1" ht="30" customHeight="1" outlineLevel="2" x14ac:dyDescent="0.25">
      <c r="A1049" s="77"/>
      <c r="B1049" s="79" t="s">
        <v>199</v>
      </c>
      <c r="C1049" s="81" t="s">
        <v>121</v>
      </c>
      <c r="D1049" s="55">
        <v>0</v>
      </c>
      <c r="E1049" s="609">
        <f t="shared" si="19"/>
        <v>0</v>
      </c>
      <c r="F1049" s="613"/>
    </row>
    <row r="1050" spans="1:6" s="14" customFormat="1" ht="30" customHeight="1" outlineLevel="2" x14ac:dyDescent="0.25">
      <c r="A1050" s="77"/>
      <c r="B1050" s="79" t="s">
        <v>200</v>
      </c>
      <c r="C1050" s="81" t="s">
        <v>121</v>
      </c>
      <c r="D1050" s="55">
        <v>128.239</v>
      </c>
      <c r="E1050" s="609">
        <f t="shared" si="19"/>
        <v>128.239</v>
      </c>
      <c r="F1050" s="613"/>
    </row>
    <row r="1051" spans="1:6" s="14" customFormat="1" ht="30" customHeight="1" outlineLevel="2" x14ac:dyDescent="0.25">
      <c r="A1051" s="77"/>
      <c r="B1051" s="78" t="s">
        <v>201</v>
      </c>
      <c r="C1051" s="83"/>
      <c r="D1051" s="55"/>
      <c r="E1051" s="609">
        <f t="shared" si="19"/>
        <v>0</v>
      </c>
      <c r="F1051" s="613"/>
    </row>
    <row r="1052" spans="1:6" s="14" customFormat="1" ht="30" customHeight="1" outlineLevel="2" x14ac:dyDescent="0.25">
      <c r="A1052" s="77"/>
      <c r="B1052" s="84" t="s">
        <v>122</v>
      </c>
      <c r="C1052" s="80" t="s">
        <v>10</v>
      </c>
      <c r="D1052" s="55">
        <v>206.69</v>
      </c>
      <c r="E1052" s="609">
        <f t="shared" si="19"/>
        <v>206.69</v>
      </c>
      <c r="F1052" s="613"/>
    </row>
    <row r="1053" spans="1:6" s="14" customFormat="1" ht="30" customHeight="1" outlineLevel="2" x14ac:dyDescent="0.25">
      <c r="A1053" s="77"/>
      <c r="B1053" s="84" t="s">
        <v>202</v>
      </c>
      <c r="C1053" s="81" t="s">
        <v>121</v>
      </c>
      <c r="D1053" s="55">
        <v>4.1340000000000003</v>
      </c>
      <c r="E1053" s="609">
        <f t="shared" si="19"/>
        <v>4.1340000000000003</v>
      </c>
      <c r="F1053" s="613"/>
    </row>
    <row r="1054" spans="1:6" s="14" customFormat="1" ht="30" customHeight="1" outlineLevel="2" x14ac:dyDescent="0.25">
      <c r="A1054" s="77"/>
      <c r="B1054" s="79" t="s">
        <v>203</v>
      </c>
      <c r="C1054" s="81" t="s">
        <v>68</v>
      </c>
      <c r="D1054" s="55">
        <v>0</v>
      </c>
      <c r="E1054" s="609">
        <f t="shared" si="19"/>
        <v>0</v>
      </c>
      <c r="F1054" s="613"/>
    </row>
    <row r="1055" spans="1:6" s="14" customFormat="1" ht="30" customHeight="1" outlineLevel="2" x14ac:dyDescent="0.25">
      <c r="A1055" s="77"/>
      <c r="B1055" s="84" t="s">
        <v>204</v>
      </c>
      <c r="C1055" s="80" t="s">
        <v>10</v>
      </c>
      <c r="D1055" s="55">
        <v>1049.3399999999999</v>
      </c>
      <c r="E1055" s="609">
        <f t="shared" si="19"/>
        <v>1049.3399999999999</v>
      </c>
      <c r="F1055" s="613"/>
    </row>
    <row r="1056" spans="1:6" s="14" customFormat="1" ht="30" customHeight="1" outlineLevel="2" x14ac:dyDescent="0.25">
      <c r="A1056" s="77"/>
      <c r="B1056" s="79" t="s">
        <v>102</v>
      </c>
      <c r="C1056" s="81" t="s">
        <v>66</v>
      </c>
      <c r="D1056" s="55">
        <v>2.2050000000000001</v>
      </c>
      <c r="E1056" s="609">
        <f t="shared" si="19"/>
        <v>2.2050000000000001</v>
      </c>
      <c r="F1056" s="613"/>
    </row>
    <row r="1057" spans="1:6" s="14" customFormat="1" ht="30" customHeight="1" outlineLevel="2" x14ac:dyDescent="0.25">
      <c r="A1057" s="77"/>
      <c r="B1057" s="78" t="s">
        <v>205</v>
      </c>
      <c r="C1057" s="83"/>
      <c r="D1057" s="55"/>
      <c r="E1057" s="609">
        <f t="shared" si="19"/>
        <v>0</v>
      </c>
      <c r="F1057" s="613"/>
    </row>
    <row r="1058" spans="1:6" s="14" customFormat="1" ht="30" customHeight="1" outlineLevel="2" x14ac:dyDescent="0.25">
      <c r="A1058" s="77"/>
      <c r="B1058" s="79" t="s">
        <v>206</v>
      </c>
      <c r="C1058" s="80" t="s">
        <v>10</v>
      </c>
      <c r="D1058" s="55">
        <v>206.6</v>
      </c>
      <c r="E1058" s="609">
        <f t="shared" si="19"/>
        <v>206.6</v>
      </c>
      <c r="F1058" s="613"/>
    </row>
    <row r="1059" spans="1:6" s="14" customFormat="1" ht="30" customHeight="1" outlineLevel="2" x14ac:dyDescent="0.25">
      <c r="A1059" s="77"/>
      <c r="B1059" s="79" t="s">
        <v>207</v>
      </c>
      <c r="C1059" s="80" t="s">
        <v>10</v>
      </c>
      <c r="D1059" s="55">
        <v>1462.71</v>
      </c>
      <c r="E1059" s="609">
        <f t="shared" si="19"/>
        <v>1462.71</v>
      </c>
      <c r="F1059" s="613"/>
    </row>
    <row r="1060" spans="1:6" s="14" customFormat="1" ht="30" customHeight="1" outlineLevel="2" x14ac:dyDescent="0.25">
      <c r="A1060" s="77"/>
      <c r="B1060" s="79" t="s">
        <v>208</v>
      </c>
      <c r="C1060" s="80" t="s">
        <v>10</v>
      </c>
      <c r="D1060" s="55">
        <v>9617.9249999999993</v>
      </c>
      <c r="E1060" s="609">
        <f t="shared" si="19"/>
        <v>9617.9249999999993</v>
      </c>
      <c r="F1060" s="613"/>
    </row>
    <row r="1061" spans="1:6" s="14" customFormat="1" ht="30" customHeight="1" outlineLevel="2" x14ac:dyDescent="0.25">
      <c r="A1061" s="77"/>
      <c r="B1061" s="79" t="s">
        <v>209</v>
      </c>
      <c r="C1061" s="81" t="s">
        <v>121</v>
      </c>
      <c r="D1061" s="55">
        <v>-57.707549999999991</v>
      </c>
      <c r="E1061" s="609">
        <f t="shared" si="19"/>
        <v>-57.707549999999991</v>
      </c>
      <c r="F1061" s="613"/>
    </row>
    <row r="1062" spans="1:6" s="14" customFormat="1" ht="30" customHeight="1" outlineLevel="2" x14ac:dyDescent="0.25">
      <c r="A1062" s="77"/>
      <c r="B1062" s="78" t="s">
        <v>210</v>
      </c>
      <c r="C1062" s="80"/>
      <c r="D1062" s="55"/>
      <c r="E1062" s="609">
        <f t="shared" si="19"/>
        <v>0</v>
      </c>
      <c r="F1062" s="613"/>
    </row>
    <row r="1063" spans="1:6" s="14" customFormat="1" ht="30" customHeight="1" outlineLevel="1" x14ac:dyDescent="0.25">
      <c r="A1063" s="77">
        <v>3</v>
      </c>
      <c r="B1063" s="78" t="s">
        <v>211</v>
      </c>
      <c r="C1063" s="83" t="s">
        <v>134</v>
      </c>
      <c r="D1063" s="54">
        <v>1</v>
      </c>
      <c r="E1063" s="609">
        <f t="shared" si="19"/>
        <v>1</v>
      </c>
      <c r="F1063" s="613"/>
    </row>
    <row r="1064" spans="1:6" s="14" customFormat="1" ht="30" customHeight="1" outlineLevel="1" x14ac:dyDescent="0.25">
      <c r="A1064" s="77"/>
      <c r="B1064" s="78" t="s">
        <v>212</v>
      </c>
      <c r="C1064" s="83"/>
      <c r="D1064" s="55"/>
      <c r="E1064" s="609">
        <f t="shared" si="19"/>
        <v>0</v>
      </c>
      <c r="F1064" s="613"/>
    </row>
    <row r="1065" spans="1:6" s="14" customFormat="1" ht="30" customHeight="1" outlineLevel="1" x14ac:dyDescent="0.25">
      <c r="A1065" s="77"/>
      <c r="B1065" s="84" t="s">
        <v>198</v>
      </c>
      <c r="C1065" s="81" t="s">
        <v>121</v>
      </c>
      <c r="D1065" s="55">
        <v>5.6020000000000003</v>
      </c>
      <c r="E1065" s="609">
        <f t="shared" si="19"/>
        <v>5.6020000000000003</v>
      </c>
      <c r="F1065" s="613"/>
    </row>
    <row r="1066" spans="1:6" s="14" customFormat="1" ht="30" customHeight="1" outlineLevel="1" x14ac:dyDescent="0.25">
      <c r="A1066" s="77"/>
      <c r="B1066" s="79" t="s">
        <v>199</v>
      </c>
      <c r="C1066" s="81" t="s">
        <v>121</v>
      </c>
      <c r="D1066" s="55">
        <v>0</v>
      </c>
      <c r="E1066" s="609">
        <f t="shared" si="19"/>
        <v>0</v>
      </c>
      <c r="F1066" s="613"/>
    </row>
    <row r="1067" spans="1:6" s="14" customFormat="1" ht="30" customHeight="1" outlineLevel="1" x14ac:dyDescent="0.25">
      <c r="A1067" s="77"/>
      <c r="B1067" s="79" t="s">
        <v>200</v>
      </c>
      <c r="C1067" s="81" t="s">
        <v>121</v>
      </c>
      <c r="D1067" s="55">
        <v>16.163</v>
      </c>
      <c r="E1067" s="609">
        <f t="shared" si="19"/>
        <v>16.163</v>
      </c>
      <c r="F1067" s="613"/>
    </row>
    <row r="1068" spans="1:6" s="14" customFormat="1" ht="30" customHeight="1" outlineLevel="1" x14ac:dyDescent="0.25">
      <c r="A1068" s="77"/>
      <c r="B1068" s="78" t="s">
        <v>213</v>
      </c>
      <c r="C1068" s="83"/>
      <c r="D1068" s="55"/>
      <c r="E1068" s="609">
        <f t="shared" si="19"/>
        <v>0</v>
      </c>
      <c r="F1068" s="613"/>
    </row>
    <row r="1069" spans="1:6" s="14" customFormat="1" ht="30" customHeight="1" outlineLevel="1" x14ac:dyDescent="0.25">
      <c r="A1069" s="77"/>
      <c r="B1069" s="84" t="s">
        <v>202</v>
      </c>
      <c r="C1069" s="81" t="s">
        <v>121</v>
      </c>
      <c r="D1069" s="55">
        <v>3.67</v>
      </c>
      <c r="E1069" s="609">
        <f t="shared" si="19"/>
        <v>3.67</v>
      </c>
      <c r="F1069" s="613"/>
    </row>
    <row r="1070" spans="1:6" s="14" customFormat="1" ht="30" customHeight="1" outlineLevel="1" x14ac:dyDescent="0.25">
      <c r="A1070" s="77"/>
      <c r="B1070" s="84" t="s">
        <v>204</v>
      </c>
      <c r="C1070" s="80" t="s">
        <v>10</v>
      </c>
      <c r="D1070" s="55">
        <v>167.49</v>
      </c>
      <c r="E1070" s="609">
        <f t="shared" si="19"/>
        <v>167.49</v>
      </c>
      <c r="F1070" s="613"/>
    </row>
    <row r="1071" spans="1:6" s="14" customFormat="1" ht="30" customHeight="1" outlineLevel="1" x14ac:dyDescent="0.25">
      <c r="A1071" s="77"/>
      <c r="B1071" s="78" t="s">
        <v>214</v>
      </c>
      <c r="C1071" s="83"/>
      <c r="D1071" s="55"/>
      <c r="E1071" s="609">
        <f t="shared" si="19"/>
        <v>0</v>
      </c>
      <c r="F1071" s="613"/>
    </row>
    <row r="1072" spans="1:6" s="14" customFormat="1" ht="30" customHeight="1" outlineLevel="1" x14ac:dyDescent="0.25">
      <c r="A1072" s="77"/>
      <c r="B1072" s="79" t="s">
        <v>207</v>
      </c>
      <c r="C1072" s="80" t="s">
        <v>10</v>
      </c>
      <c r="D1072" s="55">
        <v>534.48</v>
      </c>
      <c r="E1072" s="609">
        <f t="shared" si="19"/>
        <v>534.48</v>
      </c>
      <c r="F1072" s="613"/>
    </row>
    <row r="1073" spans="1:6" s="14" customFormat="1" ht="30" customHeight="1" outlineLevel="1" x14ac:dyDescent="0.25">
      <c r="A1073" s="77"/>
      <c r="B1073" s="79" t="s">
        <v>208</v>
      </c>
      <c r="C1073" s="80" t="s">
        <v>10</v>
      </c>
      <c r="D1073" s="55">
        <v>1616.34</v>
      </c>
      <c r="E1073" s="609">
        <f t="shared" si="19"/>
        <v>1616.34</v>
      </c>
      <c r="F1073" s="613"/>
    </row>
    <row r="1074" spans="1:6" s="14" customFormat="1" ht="30" customHeight="1" outlineLevel="1" x14ac:dyDescent="0.25">
      <c r="A1074" s="77"/>
      <c r="B1074" s="70" t="s">
        <v>210</v>
      </c>
      <c r="C1074" s="80"/>
      <c r="D1074" s="55"/>
      <c r="E1074" s="609">
        <f t="shared" si="19"/>
        <v>0</v>
      </c>
      <c r="F1074" s="613"/>
    </row>
    <row r="1075" spans="1:6" s="14" customFormat="1" ht="30" customHeight="1" x14ac:dyDescent="0.25">
      <c r="A1075" s="73" t="s">
        <v>123</v>
      </c>
      <c r="B1075" s="74" t="s">
        <v>215</v>
      </c>
      <c r="C1075" s="75"/>
      <c r="D1075" s="53"/>
      <c r="E1075" s="609">
        <f t="shared" si="19"/>
        <v>0</v>
      </c>
      <c r="F1075" s="613"/>
    </row>
    <row r="1076" spans="1:6" s="14" customFormat="1" ht="30" customHeight="1" outlineLevel="1" x14ac:dyDescent="0.25">
      <c r="A1076" s="77">
        <v>1</v>
      </c>
      <c r="B1076" s="78" t="s">
        <v>216</v>
      </c>
      <c r="C1076" s="83" t="s">
        <v>134</v>
      </c>
      <c r="D1076" s="55"/>
      <c r="E1076" s="609">
        <f t="shared" si="19"/>
        <v>0</v>
      </c>
      <c r="F1076" s="613"/>
    </row>
    <row r="1077" spans="1:6" s="14" customFormat="1" ht="30" customHeight="1" outlineLevel="2" x14ac:dyDescent="0.25">
      <c r="A1077" s="57"/>
      <c r="B1077" s="58" t="s">
        <v>217</v>
      </c>
      <c r="C1077" s="62"/>
      <c r="D1077" s="49"/>
      <c r="E1077" s="609">
        <f t="shared" si="19"/>
        <v>0</v>
      </c>
      <c r="F1077" s="613"/>
    </row>
    <row r="1078" spans="1:6" s="14" customFormat="1" ht="30" customHeight="1" outlineLevel="2" x14ac:dyDescent="0.25">
      <c r="A1078" s="77"/>
      <c r="B1078" s="84" t="s">
        <v>218</v>
      </c>
      <c r="C1078" s="80" t="s">
        <v>124</v>
      </c>
      <c r="D1078" s="55">
        <v>620.54</v>
      </c>
      <c r="E1078" s="609">
        <f t="shared" si="19"/>
        <v>620.54</v>
      </c>
      <c r="F1078" s="613"/>
    </row>
    <row r="1079" spans="1:6" s="14" customFormat="1" ht="30" customHeight="1" outlineLevel="2" x14ac:dyDescent="0.25">
      <c r="A1079" s="77"/>
      <c r="B1079" s="84" t="s">
        <v>219</v>
      </c>
      <c r="C1079" s="80" t="s">
        <v>124</v>
      </c>
      <c r="D1079" s="55">
        <v>503.73</v>
      </c>
      <c r="E1079" s="609">
        <f t="shared" si="19"/>
        <v>503.73</v>
      </c>
      <c r="F1079" s="613"/>
    </row>
    <row r="1080" spans="1:6" s="14" customFormat="1" ht="30" customHeight="1" outlineLevel="2" x14ac:dyDescent="0.25">
      <c r="A1080" s="77"/>
      <c r="B1080" s="84" t="s">
        <v>220</v>
      </c>
      <c r="C1080" s="81" t="s">
        <v>124</v>
      </c>
      <c r="D1080" s="55">
        <v>13</v>
      </c>
      <c r="E1080" s="609">
        <f t="shared" si="19"/>
        <v>13</v>
      </c>
      <c r="F1080" s="613"/>
    </row>
    <row r="1081" spans="1:6" s="14" customFormat="1" ht="30" customHeight="1" outlineLevel="2" x14ac:dyDescent="0.25">
      <c r="A1081" s="77"/>
      <c r="B1081" s="84" t="s">
        <v>221</v>
      </c>
      <c r="C1081" s="85" t="s">
        <v>125</v>
      </c>
      <c r="D1081" s="55">
        <v>1.45</v>
      </c>
      <c r="E1081" s="609">
        <f t="shared" si="19"/>
        <v>1.45</v>
      </c>
      <c r="F1081" s="613"/>
    </row>
    <row r="1082" spans="1:6" s="14" customFormat="1" ht="30" customHeight="1" outlineLevel="2" x14ac:dyDescent="0.25">
      <c r="A1082" s="77"/>
      <c r="B1082" s="84" t="s">
        <v>222</v>
      </c>
      <c r="C1082" s="80" t="s">
        <v>126</v>
      </c>
      <c r="D1082" s="55">
        <v>198.57418875000002</v>
      </c>
      <c r="E1082" s="609">
        <f t="shared" si="19"/>
        <v>198.57418875000002</v>
      </c>
      <c r="F1082" s="613"/>
    </row>
    <row r="1083" spans="1:6" s="14" customFormat="1" ht="30" customHeight="1" outlineLevel="2" x14ac:dyDescent="0.25">
      <c r="A1083" s="77"/>
      <c r="B1083" s="84" t="s">
        <v>223</v>
      </c>
      <c r="C1083" s="81" t="s">
        <v>116</v>
      </c>
      <c r="D1083" s="55"/>
      <c r="E1083" s="609">
        <f t="shared" si="19"/>
        <v>0</v>
      </c>
      <c r="F1083" s="613"/>
    </row>
    <row r="1084" spans="1:6" s="14" customFormat="1" ht="30" customHeight="1" outlineLevel="2" x14ac:dyDescent="0.25">
      <c r="A1084" s="77"/>
      <c r="B1084" s="84" t="s">
        <v>224</v>
      </c>
      <c r="C1084" s="81" t="s">
        <v>116</v>
      </c>
      <c r="D1084" s="55">
        <v>46.53</v>
      </c>
      <c r="E1084" s="609">
        <f t="shared" si="19"/>
        <v>46.53</v>
      </c>
      <c r="F1084" s="613"/>
    </row>
    <row r="1085" spans="1:6" s="14" customFormat="1" ht="30" customHeight="1" outlineLevel="2" x14ac:dyDescent="0.25">
      <c r="A1085" s="77"/>
      <c r="B1085" s="84" t="s">
        <v>225</v>
      </c>
      <c r="C1085" s="81" t="s">
        <v>116</v>
      </c>
      <c r="D1085" s="55">
        <v>110.31</v>
      </c>
      <c r="E1085" s="609">
        <f t="shared" si="19"/>
        <v>110.31</v>
      </c>
      <c r="F1085" s="613"/>
    </row>
    <row r="1086" spans="1:6" s="14" customFormat="1" ht="30" customHeight="1" outlineLevel="2" x14ac:dyDescent="0.25">
      <c r="A1086" s="77"/>
      <c r="B1086" s="84" t="s">
        <v>226</v>
      </c>
      <c r="C1086" s="81" t="s">
        <v>124</v>
      </c>
      <c r="D1086" s="55">
        <v>184</v>
      </c>
      <c r="E1086" s="609">
        <f t="shared" si="19"/>
        <v>184</v>
      </c>
      <c r="F1086" s="613"/>
    </row>
    <row r="1087" spans="1:6" s="14" customFormat="1" ht="30" customHeight="1" outlineLevel="2" x14ac:dyDescent="0.25">
      <c r="A1087" s="77"/>
      <c r="B1087" s="84" t="s">
        <v>227</v>
      </c>
      <c r="C1087" s="81" t="s">
        <v>124</v>
      </c>
      <c r="D1087" s="55">
        <v>216</v>
      </c>
      <c r="E1087" s="609">
        <f t="shared" si="19"/>
        <v>216</v>
      </c>
      <c r="F1087" s="613"/>
    </row>
    <row r="1088" spans="1:6" s="14" customFormat="1" ht="30" customHeight="1" outlineLevel="2" x14ac:dyDescent="0.25">
      <c r="A1088" s="77"/>
      <c r="B1088" s="79" t="s">
        <v>228</v>
      </c>
      <c r="C1088" s="81" t="s">
        <v>57</v>
      </c>
      <c r="D1088" s="55">
        <v>0.96879999999999999</v>
      </c>
      <c r="E1088" s="609">
        <f t="shared" si="19"/>
        <v>0.96879999999999999</v>
      </c>
      <c r="F1088" s="613"/>
    </row>
    <row r="1089" spans="1:6" s="14" customFormat="1" ht="30" customHeight="1" outlineLevel="2" x14ac:dyDescent="0.25">
      <c r="A1089" s="77"/>
      <c r="B1089" s="79" t="s">
        <v>229</v>
      </c>
      <c r="C1089" s="81" t="s">
        <v>137</v>
      </c>
      <c r="D1089" s="55">
        <v>16</v>
      </c>
      <c r="E1089" s="609">
        <f t="shared" si="19"/>
        <v>16</v>
      </c>
      <c r="F1089" s="613"/>
    </row>
    <row r="1090" spans="1:6" s="14" customFormat="1" ht="30" customHeight="1" outlineLevel="2" x14ac:dyDescent="0.25">
      <c r="A1090" s="77"/>
      <c r="B1090" s="79" t="s">
        <v>230</v>
      </c>
      <c r="C1090" s="81" t="s">
        <v>138</v>
      </c>
      <c r="D1090" s="55">
        <v>96</v>
      </c>
      <c r="E1090" s="609">
        <f t="shared" si="19"/>
        <v>96</v>
      </c>
      <c r="F1090" s="613"/>
    </row>
    <row r="1091" spans="1:6" s="14" customFormat="1" ht="30" customHeight="1" outlineLevel="2" x14ac:dyDescent="0.25">
      <c r="A1091" s="77"/>
      <c r="B1091" s="79" t="s">
        <v>231</v>
      </c>
      <c r="C1091" s="81" t="s">
        <v>10</v>
      </c>
      <c r="D1091" s="55">
        <v>36.19</v>
      </c>
      <c r="E1091" s="609">
        <f t="shared" si="19"/>
        <v>36.19</v>
      </c>
      <c r="F1091" s="613"/>
    </row>
    <row r="1092" spans="1:6" s="14" customFormat="1" ht="30" customHeight="1" outlineLevel="2" x14ac:dyDescent="0.25">
      <c r="A1092" s="77"/>
      <c r="B1092" s="79" t="s">
        <v>232</v>
      </c>
      <c r="C1092" s="81" t="s">
        <v>10</v>
      </c>
      <c r="D1092" s="55">
        <v>2368.46</v>
      </c>
      <c r="E1092" s="609">
        <f t="shared" si="19"/>
        <v>2368.46</v>
      </c>
      <c r="F1092" s="613"/>
    </row>
    <row r="1093" spans="1:6" s="14" customFormat="1" ht="30" customHeight="1" outlineLevel="2" x14ac:dyDescent="0.25">
      <c r="A1093" s="77"/>
      <c r="B1093" s="78" t="s">
        <v>233</v>
      </c>
      <c r="C1093" s="81"/>
      <c r="D1093" s="55"/>
      <c r="E1093" s="609">
        <f t="shared" si="19"/>
        <v>0</v>
      </c>
      <c r="F1093" s="613"/>
    </row>
    <row r="1094" spans="1:6" s="14" customFormat="1" ht="30" customHeight="1" outlineLevel="2" x14ac:dyDescent="0.25">
      <c r="A1094" s="77"/>
      <c r="B1094" s="84" t="s">
        <v>234</v>
      </c>
      <c r="C1094" s="81" t="s">
        <v>139</v>
      </c>
      <c r="D1094" s="55">
        <v>26.08</v>
      </c>
      <c r="E1094" s="609">
        <f t="shared" si="19"/>
        <v>26.08</v>
      </c>
      <c r="F1094" s="613"/>
    </row>
    <row r="1095" spans="1:6" s="14" customFormat="1" ht="30" customHeight="1" outlineLevel="2" x14ac:dyDescent="0.25">
      <c r="A1095" s="77"/>
      <c r="B1095" s="84" t="s">
        <v>235</v>
      </c>
      <c r="C1095" s="81" t="s">
        <v>139</v>
      </c>
      <c r="D1095" s="55">
        <v>53.87</v>
      </c>
      <c r="E1095" s="609">
        <f t="shared" si="19"/>
        <v>53.87</v>
      </c>
      <c r="F1095" s="613"/>
    </row>
    <row r="1096" spans="1:6" s="14" customFormat="1" ht="30" customHeight="1" outlineLevel="2" x14ac:dyDescent="0.25">
      <c r="A1096" s="77"/>
      <c r="B1096" s="84" t="s">
        <v>236</v>
      </c>
      <c r="C1096" s="81" t="s">
        <v>139</v>
      </c>
      <c r="D1096" s="55">
        <v>25.15</v>
      </c>
      <c r="E1096" s="609">
        <f t="shared" si="19"/>
        <v>25.15</v>
      </c>
      <c r="F1096" s="613"/>
    </row>
    <row r="1097" spans="1:6" s="14" customFormat="1" ht="30" customHeight="1" outlineLevel="2" x14ac:dyDescent="0.25">
      <c r="A1097" s="77"/>
      <c r="B1097" s="84" t="s">
        <v>237</v>
      </c>
      <c r="C1097" s="81" t="s">
        <v>139</v>
      </c>
      <c r="D1097" s="55">
        <v>0.38</v>
      </c>
      <c r="E1097" s="609">
        <f t="shared" si="19"/>
        <v>0.38</v>
      </c>
      <c r="F1097" s="613"/>
    </row>
    <row r="1098" spans="1:6" s="14" customFormat="1" ht="30" customHeight="1" outlineLevel="2" x14ac:dyDescent="0.25">
      <c r="A1098" s="57"/>
      <c r="B1098" s="76" t="s">
        <v>238</v>
      </c>
      <c r="C1098" s="62" t="s">
        <v>140</v>
      </c>
      <c r="D1098" s="49">
        <v>1</v>
      </c>
      <c r="E1098" s="609">
        <f t="shared" si="19"/>
        <v>1</v>
      </c>
      <c r="F1098" s="613"/>
    </row>
    <row r="1099" spans="1:6" s="14" customFormat="1" ht="30" customHeight="1" outlineLevel="2" x14ac:dyDescent="0.25">
      <c r="A1099" s="57"/>
      <c r="B1099" s="86" t="s">
        <v>239</v>
      </c>
      <c r="C1099" s="62"/>
      <c r="D1099" s="49"/>
      <c r="E1099" s="609">
        <f t="shared" si="19"/>
        <v>0</v>
      </c>
      <c r="F1099" s="613"/>
    </row>
    <row r="1100" spans="1:6" s="14" customFormat="1" ht="30" customHeight="1" outlineLevel="2" x14ac:dyDescent="0.25">
      <c r="A1100" s="77"/>
      <c r="B1100" s="79" t="s">
        <v>240</v>
      </c>
      <c r="C1100" s="81" t="s">
        <v>116</v>
      </c>
      <c r="D1100" s="55">
        <v>14.01</v>
      </c>
      <c r="E1100" s="609">
        <f t="shared" si="19"/>
        <v>14.01</v>
      </c>
      <c r="F1100" s="613"/>
    </row>
    <row r="1101" spans="1:6" s="14" customFormat="1" ht="30" customHeight="1" outlineLevel="2" x14ac:dyDescent="0.25">
      <c r="A1101" s="77"/>
      <c r="B1101" s="79" t="s">
        <v>241</v>
      </c>
      <c r="C1101" s="81" t="s">
        <v>116</v>
      </c>
      <c r="D1101" s="55">
        <v>3.74</v>
      </c>
      <c r="E1101" s="609">
        <f t="shared" si="19"/>
        <v>3.74</v>
      </c>
      <c r="F1101" s="613"/>
    </row>
    <row r="1102" spans="1:6" s="14" customFormat="1" ht="30" customHeight="1" outlineLevel="2" x14ac:dyDescent="0.25">
      <c r="A1102" s="77"/>
      <c r="B1102" s="79" t="s">
        <v>242</v>
      </c>
      <c r="C1102" s="81" t="s">
        <v>116</v>
      </c>
      <c r="D1102" s="55">
        <v>22.99</v>
      </c>
      <c r="E1102" s="609">
        <f t="shared" si="19"/>
        <v>22.99</v>
      </c>
      <c r="F1102" s="613"/>
    </row>
    <row r="1103" spans="1:6" s="14" customFormat="1" ht="30" customHeight="1" outlineLevel="2" x14ac:dyDescent="0.25">
      <c r="A1103" s="77"/>
      <c r="B1103" s="79" t="s">
        <v>243</v>
      </c>
      <c r="C1103" s="81" t="s">
        <v>116</v>
      </c>
      <c r="D1103" s="55">
        <v>10.7</v>
      </c>
      <c r="E1103" s="609">
        <f t="shared" si="19"/>
        <v>10.7</v>
      </c>
      <c r="F1103" s="613"/>
    </row>
    <row r="1104" spans="1:6" s="14" customFormat="1" ht="30" customHeight="1" outlineLevel="2" x14ac:dyDescent="0.25">
      <c r="A1104" s="57"/>
      <c r="B1104" s="61" t="s">
        <v>244</v>
      </c>
      <c r="C1104" s="62" t="s">
        <v>116</v>
      </c>
      <c r="D1104" s="49">
        <v>1.5</v>
      </c>
      <c r="E1104" s="609">
        <f t="shared" si="19"/>
        <v>1.5</v>
      </c>
      <c r="F1104" s="613"/>
    </row>
    <row r="1105" spans="1:6" s="14" customFormat="1" ht="30" customHeight="1" outlineLevel="2" x14ac:dyDescent="0.25">
      <c r="A1105" s="77"/>
      <c r="B1105" s="79" t="s">
        <v>245</v>
      </c>
      <c r="C1105" s="81" t="s">
        <v>116</v>
      </c>
      <c r="D1105" s="55">
        <v>0.86</v>
      </c>
      <c r="E1105" s="609">
        <f t="shared" si="19"/>
        <v>0.86</v>
      </c>
      <c r="F1105" s="613"/>
    </row>
    <row r="1106" spans="1:6" s="14" customFormat="1" ht="30" customHeight="1" outlineLevel="2" x14ac:dyDescent="0.25">
      <c r="A1106" s="77"/>
      <c r="B1106" s="79" t="s">
        <v>246</v>
      </c>
      <c r="C1106" s="81" t="s">
        <v>116</v>
      </c>
      <c r="D1106" s="55">
        <v>3.29</v>
      </c>
      <c r="E1106" s="609">
        <f t="shared" si="19"/>
        <v>3.29</v>
      </c>
      <c r="F1106" s="613"/>
    </row>
    <row r="1107" spans="1:6" s="14" customFormat="1" ht="30" customHeight="1" outlineLevel="2" x14ac:dyDescent="0.25">
      <c r="A1107" s="77"/>
      <c r="B1107" s="79" t="s">
        <v>247</v>
      </c>
      <c r="C1107" s="81" t="s">
        <v>116</v>
      </c>
      <c r="D1107" s="55">
        <v>42.58</v>
      </c>
      <c r="E1107" s="609">
        <f t="shared" si="19"/>
        <v>42.58</v>
      </c>
      <c r="F1107" s="613"/>
    </row>
    <row r="1108" spans="1:6" s="14" customFormat="1" ht="30" customHeight="1" outlineLevel="2" x14ac:dyDescent="0.25">
      <c r="A1108" s="77"/>
      <c r="B1108" s="79" t="s">
        <v>248</v>
      </c>
      <c r="C1108" s="81" t="s">
        <v>116</v>
      </c>
      <c r="D1108" s="55">
        <v>9.67</v>
      </c>
      <c r="E1108" s="609">
        <f t="shared" ref="E1108:E1171" si="20">D1108</f>
        <v>9.67</v>
      </c>
      <c r="F1108" s="613"/>
    </row>
    <row r="1109" spans="1:6" s="14" customFormat="1" ht="30" customHeight="1" outlineLevel="2" x14ac:dyDescent="0.25">
      <c r="A1109" s="77"/>
      <c r="B1109" s="79" t="s">
        <v>249</v>
      </c>
      <c r="C1109" s="81" t="s">
        <v>139</v>
      </c>
      <c r="D1109" s="55">
        <v>109.33999999999999</v>
      </c>
      <c r="E1109" s="609">
        <f t="shared" si="20"/>
        <v>109.33999999999999</v>
      </c>
      <c r="F1109" s="613"/>
    </row>
    <row r="1110" spans="1:6" s="14" customFormat="1" ht="30" customHeight="1" outlineLevel="2" x14ac:dyDescent="0.25">
      <c r="A1110" s="77"/>
      <c r="B1110" s="79" t="s">
        <v>250</v>
      </c>
      <c r="C1110" s="80" t="s">
        <v>139</v>
      </c>
      <c r="D1110" s="55">
        <v>86.35</v>
      </c>
      <c r="E1110" s="609">
        <f t="shared" si="20"/>
        <v>86.35</v>
      </c>
      <c r="F1110" s="613"/>
    </row>
    <row r="1111" spans="1:6" s="14" customFormat="1" ht="30" customHeight="1" outlineLevel="2" x14ac:dyDescent="0.25">
      <c r="A1111" s="77"/>
      <c r="B1111" s="79" t="s">
        <v>251</v>
      </c>
      <c r="C1111" s="80" t="s">
        <v>10</v>
      </c>
      <c r="D1111" s="55">
        <v>497.83</v>
      </c>
      <c r="E1111" s="609">
        <f t="shared" si="20"/>
        <v>497.83</v>
      </c>
      <c r="F1111" s="613"/>
    </row>
    <row r="1112" spans="1:6" s="14" customFormat="1" ht="30" customHeight="1" outlineLevel="2" x14ac:dyDescent="0.25">
      <c r="A1112" s="57"/>
      <c r="B1112" s="61" t="s">
        <v>252</v>
      </c>
      <c r="C1112" s="63" t="s">
        <v>127</v>
      </c>
      <c r="D1112" s="49">
        <v>50</v>
      </c>
      <c r="E1112" s="609">
        <f t="shared" si="20"/>
        <v>50</v>
      </c>
      <c r="F1112" s="613"/>
    </row>
    <row r="1113" spans="1:6" s="14" customFormat="1" ht="30" customHeight="1" outlineLevel="2" x14ac:dyDescent="0.25">
      <c r="A1113" s="57"/>
      <c r="B1113" s="61" t="s">
        <v>253</v>
      </c>
      <c r="C1113" s="63" t="s">
        <v>10</v>
      </c>
      <c r="D1113" s="49">
        <v>1</v>
      </c>
      <c r="E1113" s="609">
        <f t="shared" si="20"/>
        <v>1</v>
      </c>
      <c r="F1113" s="613"/>
    </row>
    <row r="1114" spans="1:6" s="14" customFormat="1" ht="30" customHeight="1" outlineLevel="2" x14ac:dyDescent="0.25">
      <c r="A1114" s="57"/>
      <c r="B1114" s="58" t="s">
        <v>254</v>
      </c>
      <c r="C1114" s="62"/>
      <c r="D1114" s="49"/>
      <c r="E1114" s="609">
        <f t="shared" si="20"/>
        <v>0</v>
      </c>
      <c r="F1114" s="613"/>
    </row>
    <row r="1115" spans="1:6" s="14" customFormat="1" ht="30" customHeight="1" outlineLevel="2" x14ac:dyDescent="0.25">
      <c r="A1115" s="77"/>
      <c r="B1115" s="79" t="s">
        <v>255</v>
      </c>
      <c r="C1115" s="80" t="s">
        <v>124</v>
      </c>
      <c r="D1115" s="55">
        <v>319.8</v>
      </c>
      <c r="E1115" s="609">
        <f t="shared" si="20"/>
        <v>319.8</v>
      </c>
      <c r="F1115" s="613"/>
    </row>
    <row r="1116" spans="1:6" s="14" customFormat="1" ht="30" customHeight="1" outlineLevel="2" x14ac:dyDescent="0.25">
      <c r="A1116" s="77"/>
      <c r="B1116" s="79" t="s">
        <v>256</v>
      </c>
      <c r="C1116" s="80" t="s">
        <v>116</v>
      </c>
      <c r="D1116" s="55">
        <v>13.64</v>
      </c>
      <c r="E1116" s="609">
        <f t="shared" si="20"/>
        <v>13.64</v>
      </c>
      <c r="F1116" s="613"/>
    </row>
    <row r="1117" spans="1:6" s="14" customFormat="1" ht="30" customHeight="1" outlineLevel="2" x14ac:dyDescent="0.25">
      <c r="A1117" s="57"/>
      <c r="B1117" s="61" t="s">
        <v>253</v>
      </c>
      <c r="C1117" s="63" t="s">
        <v>10</v>
      </c>
      <c r="D1117" s="49">
        <v>1.89</v>
      </c>
      <c r="E1117" s="609">
        <f t="shared" si="20"/>
        <v>1.89</v>
      </c>
      <c r="F1117" s="613"/>
    </row>
    <row r="1118" spans="1:6" s="14" customFormat="1" ht="30" customHeight="1" outlineLevel="2" x14ac:dyDescent="0.25">
      <c r="A1118" s="57"/>
      <c r="B1118" s="58" t="s">
        <v>257</v>
      </c>
      <c r="C1118" s="62"/>
      <c r="D1118" s="49"/>
      <c r="E1118" s="609">
        <f t="shared" si="20"/>
        <v>0</v>
      </c>
      <c r="F1118" s="613"/>
    </row>
    <row r="1119" spans="1:6" s="14" customFormat="1" ht="30" customHeight="1" outlineLevel="2" x14ac:dyDescent="0.25">
      <c r="A1119" s="57"/>
      <c r="B1119" s="61" t="s">
        <v>258</v>
      </c>
      <c r="C1119" s="62" t="s">
        <v>116</v>
      </c>
      <c r="D1119" s="49">
        <v>6.53</v>
      </c>
      <c r="E1119" s="609">
        <f t="shared" si="20"/>
        <v>6.53</v>
      </c>
      <c r="F1119" s="613"/>
    </row>
    <row r="1120" spans="1:6" s="14" customFormat="1" ht="30" customHeight="1" outlineLevel="2" x14ac:dyDescent="0.25">
      <c r="A1120" s="57"/>
      <c r="B1120" s="61" t="s">
        <v>259</v>
      </c>
      <c r="C1120" s="62" t="s">
        <v>116</v>
      </c>
      <c r="D1120" s="49">
        <v>10.18</v>
      </c>
      <c r="E1120" s="609">
        <f t="shared" si="20"/>
        <v>10.18</v>
      </c>
      <c r="F1120" s="613"/>
    </row>
    <row r="1121" spans="1:6" s="14" customFormat="1" ht="30" customHeight="1" outlineLevel="2" x14ac:dyDescent="0.25">
      <c r="A1121" s="57"/>
      <c r="B1121" s="61" t="s">
        <v>260</v>
      </c>
      <c r="C1121" s="62" t="s">
        <v>116</v>
      </c>
      <c r="D1121" s="49">
        <v>1.63</v>
      </c>
      <c r="E1121" s="609">
        <f t="shared" si="20"/>
        <v>1.63</v>
      </c>
      <c r="F1121" s="613"/>
    </row>
    <row r="1122" spans="1:6" s="14" customFormat="1" ht="30" customHeight="1" outlineLevel="2" x14ac:dyDescent="0.25">
      <c r="A1122" s="57"/>
      <c r="B1122" s="61" t="s">
        <v>261</v>
      </c>
      <c r="C1122" s="62" t="s">
        <v>116</v>
      </c>
      <c r="D1122" s="49">
        <v>2.4700000000000002</v>
      </c>
      <c r="E1122" s="609">
        <f t="shared" si="20"/>
        <v>2.4700000000000002</v>
      </c>
      <c r="F1122" s="613"/>
    </row>
    <row r="1123" spans="1:6" s="14" customFormat="1" ht="30" customHeight="1" outlineLevel="2" x14ac:dyDescent="0.25">
      <c r="A1123" s="57"/>
      <c r="B1123" s="61" t="s">
        <v>262</v>
      </c>
      <c r="C1123" s="62" t="s">
        <v>116</v>
      </c>
      <c r="D1123" s="49">
        <v>3.5</v>
      </c>
      <c r="E1123" s="609">
        <f t="shared" si="20"/>
        <v>3.5</v>
      </c>
      <c r="F1123" s="613"/>
    </row>
    <row r="1124" spans="1:6" s="14" customFormat="1" ht="30" customHeight="1" outlineLevel="2" x14ac:dyDescent="0.25">
      <c r="A1124" s="57"/>
      <c r="B1124" s="61" t="s">
        <v>263</v>
      </c>
      <c r="C1124" s="62" t="s">
        <v>116</v>
      </c>
      <c r="D1124" s="49">
        <v>0.71</v>
      </c>
      <c r="E1124" s="609">
        <f t="shared" si="20"/>
        <v>0.71</v>
      </c>
      <c r="F1124" s="613"/>
    </row>
    <row r="1125" spans="1:6" s="14" customFormat="1" ht="30" customHeight="1" outlineLevel="2" x14ac:dyDescent="0.25">
      <c r="A1125" s="57"/>
      <c r="B1125" s="61" t="s">
        <v>264</v>
      </c>
      <c r="C1125" s="62" t="s">
        <v>116</v>
      </c>
      <c r="D1125" s="49">
        <v>0.37130000000000002</v>
      </c>
      <c r="E1125" s="609">
        <f t="shared" si="20"/>
        <v>0.37130000000000002</v>
      </c>
      <c r="F1125" s="613"/>
    </row>
    <row r="1126" spans="1:6" s="14" customFormat="1" ht="30" customHeight="1" outlineLevel="2" x14ac:dyDescent="0.25">
      <c r="A1126" s="57"/>
      <c r="B1126" s="61" t="s">
        <v>249</v>
      </c>
      <c r="C1126" s="62" t="s">
        <v>139</v>
      </c>
      <c r="D1126" s="49">
        <v>25.391300000000001</v>
      </c>
      <c r="E1126" s="609">
        <f t="shared" si="20"/>
        <v>25.391300000000001</v>
      </c>
      <c r="F1126" s="613"/>
    </row>
    <row r="1127" spans="1:6" s="14" customFormat="1" ht="30" customHeight="1" outlineLevel="2" x14ac:dyDescent="0.25">
      <c r="A1127" s="57"/>
      <c r="B1127" s="61" t="s">
        <v>265</v>
      </c>
      <c r="C1127" s="63" t="s">
        <v>139</v>
      </c>
      <c r="D1127" s="49">
        <v>25.02</v>
      </c>
      <c r="E1127" s="609">
        <f t="shared" si="20"/>
        <v>25.02</v>
      </c>
      <c r="F1127" s="613"/>
    </row>
    <row r="1128" spans="1:6" s="14" customFormat="1" ht="30" customHeight="1" outlineLevel="2" x14ac:dyDescent="0.25">
      <c r="A1128" s="57"/>
      <c r="B1128" s="61" t="s">
        <v>253</v>
      </c>
      <c r="C1128" s="63" t="s">
        <v>10</v>
      </c>
      <c r="D1128" s="49">
        <v>2</v>
      </c>
      <c r="E1128" s="609">
        <f t="shared" si="20"/>
        <v>2</v>
      </c>
      <c r="F1128" s="613"/>
    </row>
    <row r="1129" spans="1:6" s="14" customFormat="1" ht="30" customHeight="1" outlineLevel="2" x14ac:dyDescent="0.25">
      <c r="A1129" s="57"/>
      <c r="B1129" s="65" t="s">
        <v>266</v>
      </c>
      <c r="C1129" s="87"/>
      <c r="D1129" s="49"/>
      <c r="E1129" s="609">
        <f t="shared" si="20"/>
        <v>0</v>
      </c>
      <c r="F1129" s="613"/>
    </row>
    <row r="1130" spans="1:6" s="14" customFormat="1" ht="30" customHeight="1" outlineLevel="2" x14ac:dyDescent="0.25">
      <c r="A1130" s="57"/>
      <c r="B1130" s="88" t="s">
        <v>267</v>
      </c>
      <c r="C1130" s="89" t="s">
        <v>76</v>
      </c>
      <c r="D1130" s="49">
        <v>1</v>
      </c>
      <c r="E1130" s="609">
        <f t="shared" si="20"/>
        <v>1</v>
      </c>
      <c r="F1130" s="613"/>
    </row>
    <row r="1131" spans="1:6" s="14" customFormat="1" ht="30" customHeight="1" outlineLevel="2" x14ac:dyDescent="0.25">
      <c r="A1131" s="57"/>
      <c r="B1131" s="67" t="s">
        <v>81</v>
      </c>
      <c r="C1131" s="66" t="s">
        <v>77</v>
      </c>
      <c r="D1131" s="49">
        <v>0.1037</v>
      </c>
      <c r="E1131" s="609">
        <f t="shared" si="20"/>
        <v>0.1037</v>
      </c>
      <c r="F1131" s="613"/>
    </row>
    <row r="1132" spans="1:6" s="14" customFormat="1" ht="30" customHeight="1" outlineLevel="2" x14ac:dyDescent="0.25">
      <c r="A1132" s="57"/>
      <c r="B1132" s="67" t="s">
        <v>85</v>
      </c>
      <c r="C1132" s="66" t="s">
        <v>77</v>
      </c>
      <c r="D1132" s="49">
        <v>0.82071999999999989</v>
      </c>
      <c r="E1132" s="609">
        <f t="shared" si="20"/>
        <v>0.82071999999999989</v>
      </c>
      <c r="F1132" s="613"/>
    </row>
    <row r="1133" spans="1:6" s="14" customFormat="1" ht="30" customHeight="1" outlineLevel="2" x14ac:dyDescent="0.25">
      <c r="A1133" s="57"/>
      <c r="B1133" s="67" t="s">
        <v>88</v>
      </c>
      <c r="C1133" s="87" t="s">
        <v>10</v>
      </c>
      <c r="D1133" s="49">
        <v>13.09</v>
      </c>
      <c r="E1133" s="609">
        <f t="shared" si="20"/>
        <v>13.09</v>
      </c>
      <c r="F1133" s="613"/>
    </row>
    <row r="1134" spans="1:6" s="14" customFormat="1" ht="30" customHeight="1" outlineLevel="2" x14ac:dyDescent="0.25">
      <c r="A1134" s="57"/>
      <c r="B1134" s="67" t="s">
        <v>150</v>
      </c>
      <c r="C1134" s="66" t="s">
        <v>57</v>
      </c>
      <c r="D1134" s="49">
        <v>0.19289999999999999</v>
      </c>
      <c r="E1134" s="609">
        <f t="shared" si="20"/>
        <v>0.19289999999999999</v>
      </c>
      <c r="F1134" s="613"/>
    </row>
    <row r="1135" spans="1:6" s="14" customFormat="1" ht="30" customHeight="1" outlineLevel="2" x14ac:dyDescent="0.25">
      <c r="A1135" s="57"/>
      <c r="B1135" s="67" t="s">
        <v>151</v>
      </c>
      <c r="C1135" s="66" t="s">
        <v>57</v>
      </c>
      <c r="D1135" s="49">
        <v>6.4299999999999996E-2</v>
      </c>
      <c r="E1135" s="609">
        <f t="shared" si="20"/>
        <v>6.4299999999999996E-2</v>
      </c>
      <c r="F1135" s="613"/>
    </row>
    <row r="1136" spans="1:6" s="14" customFormat="1" ht="30" customHeight="1" outlineLevel="1" x14ac:dyDescent="0.25">
      <c r="A1136" s="57">
        <v>3</v>
      </c>
      <c r="B1136" s="58" t="s">
        <v>268</v>
      </c>
      <c r="C1136" s="59" t="s">
        <v>134</v>
      </c>
      <c r="D1136" s="49"/>
      <c r="E1136" s="609">
        <f t="shared" si="20"/>
        <v>0</v>
      </c>
      <c r="F1136" s="613"/>
    </row>
    <row r="1137" spans="1:6" s="14" customFormat="1" ht="30" customHeight="1" outlineLevel="2" x14ac:dyDescent="0.25">
      <c r="A1137" s="57"/>
      <c r="B1137" s="61" t="s">
        <v>269</v>
      </c>
      <c r="C1137" s="63" t="s">
        <v>10</v>
      </c>
      <c r="D1137" s="49">
        <v>115.23</v>
      </c>
      <c r="E1137" s="609">
        <f t="shared" si="20"/>
        <v>115.23</v>
      </c>
      <c r="F1137" s="613"/>
    </row>
    <row r="1138" spans="1:6" s="14" customFormat="1" ht="30" customHeight="1" outlineLevel="2" x14ac:dyDescent="0.25">
      <c r="A1138" s="57"/>
      <c r="B1138" s="58" t="s">
        <v>217</v>
      </c>
      <c r="C1138" s="90" t="s">
        <v>137</v>
      </c>
      <c r="D1138" s="49">
        <v>6</v>
      </c>
      <c r="E1138" s="609">
        <f t="shared" si="20"/>
        <v>6</v>
      </c>
      <c r="F1138" s="613"/>
    </row>
    <row r="1139" spans="1:6" s="14" customFormat="1" ht="30" customHeight="1" outlineLevel="2" x14ac:dyDescent="0.25">
      <c r="A1139" s="57"/>
      <c r="B1139" s="61" t="s">
        <v>270</v>
      </c>
      <c r="C1139" s="91" t="s">
        <v>124</v>
      </c>
      <c r="D1139" s="49">
        <v>175.2</v>
      </c>
      <c r="E1139" s="609">
        <f t="shared" si="20"/>
        <v>175.2</v>
      </c>
      <c r="F1139" s="613"/>
    </row>
    <row r="1140" spans="1:6" s="14" customFormat="1" ht="30" customHeight="1" outlineLevel="2" x14ac:dyDescent="0.25">
      <c r="A1140" s="57"/>
      <c r="B1140" s="76" t="s">
        <v>271</v>
      </c>
      <c r="C1140" s="63" t="s">
        <v>124</v>
      </c>
      <c r="D1140" s="49">
        <v>209.52000000000004</v>
      </c>
      <c r="E1140" s="609">
        <f t="shared" si="20"/>
        <v>209.52000000000004</v>
      </c>
      <c r="F1140" s="613"/>
    </row>
    <row r="1141" spans="1:6" s="14" customFormat="1" ht="30" customHeight="1" outlineLevel="2" x14ac:dyDescent="0.25">
      <c r="A1141" s="57"/>
      <c r="B1141" s="76" t="s">
        <v>272</v>
      </c>
      <c r="C1141" s="63" t="s">
        <v>124</v>
      </c>
      <c r="D1141" s="49">
        <v>20.09</v>
      </c>
      <c r="E1141" s="609">
        <f t="shared" si="20"/>
        <v>20.09</v>
      </c>
      <c r="F1141" s="613"/>
    </row>
    <row r="1142" spans="1:6" s="14" customFormat="1" ht="30" customHeight="1" outlineLevel="2" x14ac:dyDescent="0.25">
      <c r="A1142" s="57"/>
      <c r="B1142" s="76" t="s">
        <v>222</v>
      </c>
      <c r="C1142" s="63" t="s">
        <v>126</v>
      </c>
      <c r="D1142" s="49">
        <v>71.499566250000015</v>
      </c>
      <c r="E1142" s="609">
        <f t="shared" si="20"/>
        <v>71.499566250000015</v>
      </c>
      <c r="F1142" s="613"/>
    </row>
    <row r="1143" spans="1:6" s="14" customFormat="1" ht="30" customHeight="1" outlineLevel="2" x14ac:dyDescent="0.25">
      <c r="A1143" s="57"/>
      <c r="B1143" s="61" t="s">
        <v>273</v>
      </c>
      <c r="C1143" s="62" t="s">
        <v>139</v>
      </c>
      <c r="D1143" s="49">
        <v>3.92</v>
      </c>
      <c r="E1143" s="609">
        <f t="shared" si="20"/>
        <v>3.92</v>
      </c>
      <c r="F1143" s="613"/>
    </row>
    <row r="1144" spans="1:6" s="14" customFormat="1" ht="30" customHeight="1" outlineLevel="2" x14ac:dyDescent="0.25">
      <c r="A1144" s="57"/>
      <c r="B1144" s="61" t="s">
        <v>274</v>
      </c>
      <c r="C1144" s="62" t="s">
        <v>124</v>
      </c>
      <c r="D1144" s="49">
        <v>60</v>
      </c>
      <c r="E1144" s="609">
        <f t="shared" si="20"/>
        <v>60</v>
      </c>
      <c r="F1144" s="613"/>
    </row>
    <row r="1145" spans="1:6" s="14" customFormat="1" ht="30" customHeight="1" outlineLevel="2" x14ac:dyDescent="0.25">
      <c r="A1145" s="57"/>
      <c r="B1145" s="61" t="s">
        <v>228</v>
      </c>
      <c r="C1145" s="62" t="s">
        <v>57</v>
      </c>
      <c r="D1145" s="49">
        <v>0.6</v>
      </c>
      <c r="E1145" s="609">
        <f t="shared" si="20"/>
        <v>0.6</v>
      </c>
      <c r="F1145" s="613"/>
    </row>
    <row r="1146" spans="1:6" s="14" customFormat="1" ht="30" customHeight="1" outlineLevel="2" x14ac:dyDescent="0.25">
      <c r="A1146" s="57"/>
      <c r="B1146" s="61" t="s">
        <v>229</v>
      </c>
      <c r="C1146" s="62" t="s">
        <v>137</v>
      </c>
      <c r="D1146" s="49">
        <v>6</v>
      </c>
      <c r="E1146" s="609">
        <f t="shared" si="20"/>
        <v>6</v>
      </c>
      <c r="F1146" s="613"/>
    </row>
    <row r="1147" spans="1:6" s="14" customFormat="1" ht="30" customHeight="1" outlineLevel="2" x14ac:dyDescent="0.25">
      <c r="A1147" s="57"/>
      <c r="B1147" s="61" t="s">
        <v>230</v>
      </c>
      <c r="C1147" s="62" t="s">
        <v>138</v>
      </c>
      <c r="D1147" s="49">
        <v>36</v>
      </c>
      <c r="E1147" s="609">
        <f t="shared" si="20"/>
        <v>36</v>
      </c>
      <c r="F1147" s="613"/>
    </row>
    <row r="1148" spans="1:6" s="14" customFormat="1" ht="30" customHeight="1" outlineLevel="2" x14ac:dyDescent="0.25">
      <c r="A1148" s="57"/>
      <c r="B1148" s="61" t="s">
        <v>275</v>
      </c>
      <c r="C1148" s="62" t="s">
        <v>10</v>
      </c>
      <c r="D1148" s="49">
        <v>13.57</v>
      </c>
      <c r="E1148" s="609">
        <f t="shared" si="20"/>
        <v>13.57</v>
      </c>
      <c r="F1148" s="613"/>
    </row>
    <row r="1149" spans="1:6" s="14" customFormat="1" ht="30" customHeight="1" outlineLevel="2" x14ac:dyDescent="0.25">
      <c r="A1149" s="57"/>
      <c r="B1149" s="61" t="s">
        <v>276</v>
      </c>
      <c r="C1149" s="62" t="s">
        <v>10</v>
      </c>
      <c r="D1149" s="49">
        <v>715.35</v>
      </c>
      <c r="E1149" s="609">
        <f t="shared" si="20"/>
        <v>715.35</v>
      </c>
      <c r="F1149" s="613"/>
    </row>
    <row r="1150" spans="1:6" s="14" customFormat="1" ht="30" customHeight="1" outlineLevel="2" x14ac:dyDescent="0.25">
      <c r="A1150" s="57"/>
      <c r="B1150" s="92" t="s">
        <v>277</v>
      </c>
      <c r="C1150" s="66"/>
      <c r="D1150" s="49"/>
      <c r="E1150" s="609">
        <f t="shared" si="20"/>
        <v>0</v>
      </c>
      <c r="F1150" s="613"/>
    </row>
    <row r="1151" spans="1:6" s="14" customFormat="1" ht="30" customHeight="1" outlineLevel="2" x14ac:dyDescent="0.25">
      <c r="A1151" s="57"/>
      <c r="B1151" s="61" t="s">
        <v>278</v>
      </c>
      <c r="C1151" s="62" t="s">
        <v>77</v>
      </c>
      <c r="D1151" s="49">
        <v>0.35</v>
      </c>
      <c r="E1151" s="609">
        <f t="shared" si="20"/>
        <v>0.35</v>
      </c>
      <c r="F1151" s="613"/>
    </row>
    <row r="1152" spans="1:6" s="14" customFormat="1" ht="30" customHeight="1" outlineLevel="2" x14ac:dyDescent="0.25">
      <c r="A1152" s="57"/>
      <c r="B1152" s="68" t="s">
        <v>279</v>
      </c>
      <c r="C1152" s="66" t="s">
        <v>77</v>
      </c>
      <c r="D1152" s="49">
        <v>0.35</v>
      </c>
      <c r="E1152" s="609">
        <f t="shared" si="20"/>
        <v>0.35</v>
      </c>
      <c r="F1152" s="613"/>
    </row>
    <row r="1153" spans="1:6" s="14" customFormat="1" ht="30" customHeight="1" outlineLevel="2" x14ac:dyDescent="0.25">
      <c r="A1153" s="57"/>
      <c r="B1153" s="68" t="s">
        <v>280</v>
      </c>
      <c r="C1153" s="66" t="s">
        <v>77</v>
      </c>
      <c r="D1153" s="49">
        <v>0.35</v>
      </c>
      <c r="E1153" s="609">
        <f t="shared" si="20"/>
        <v>0.35</v>
      </c>
      <c r="F1153" s="613"/>
    </row>
    <row r="1154" spans="1:6" s="14" customFormat="1" ht="30" customHeight="1" outlineLevel="2" x14ac:dyDescent="0.25">
      <c r="A1154" s="57"/>
      <c r="B1154" s="58" t="s">
        <v>233</v>
      </c>
      <c r="C1154" s="62"/>
      <c r="D1154" s="49"/>
      <c r="E1154" s="609">
        <f t="shared" si="20"/>
        <v>0</v>
      </c>
      <c r="F1154" s="613"/>
    </row>
    <row r="1155" spans="1:6" s="14" customFormat="1" ht="30" customHeight="1" outlineLevel="2" x14ac:dyDescent="0.25">
      <c r="A1155" s="57"/>
      <c r="B1155" s="61" t="s">
        <v>281</v>
      </c>
      <c r="C1155" s="63" t="s">
        <v>10</v>
      </c>
      <c r="D1155" s="49">
        <v>480.63</v>
      </c>
      <c r="E1155" s="609">
        <f t="shared" si="20"/>
        <v>480.63</v>
      </c>
      <c r="F1155" s="613"/>
    </row>
    <row r="1156" spans="1:6" s="14" customFormat="1" ht="30" customHeight="1" outlineLevel="2" x14ac:dyDescent="0.25">
      <c r="A1156" s="57"/>
      <c r="B1156" s="61" t="s">
        <v>282</v>
      </c>
      <c r="C1156" s="62" t="s">
        <v>121</v>
      </c>
      <c r="D1156" s="49">
        <v>1.8894</v>
      </c>
      <c r="E1156" s="609">
        <f t="shared" si="20"/>
        <v>1.8894</v>
      </c>
      <c r="F1156" s="613"/>
    </row>
    <row r="1157" spans="1:6" s="14" customFormat="1" ht="30" customHeight="1" outlineLevel="2" x14ac:dyDescent="0.25">
      <c r="A1157" s="57"/>
      <c r="B1157" s="61" t="s">
        <v>283</v>
      </c>
      <c r="C1157" s="62" t="s">
        <v>10</v>
      </c>
      <c r="D1157" s="49">
        <v>60.56</v>
      </c>
      <c r="E1157" s="609">
        <f t="shared" si="20"/>
        <v>60.56</v>
      </c>
      <c r="F1157" s="613"/>
    </row>
    <row r="1158" spans="1:6" s="14" customFormat="1" ht="30" customHeight="1" outlineLevel="2" x14ac:dyDescent="0.25">
      <c r="A1158" s="57"/>
      <c r="B1158" s="61" t="s">
        <v>284</v>
      </c>
      <c r="C1158" s="63" t="s">
        <v>124</v>
      </c>
      <c r="D1158" s="49">
        <v>638.4</v>
      </c>
      <c r="E1158" s="609">
        <f t="shared" si="20"/>
        <v>638.4</v>
      </c>
      <c r="F1158" s="613"/>
    </row>
    <row r="1159" spans="1:6" s="14" customFormat="1" ht="30" customHeight="1" outlineLevel="2" x14ac:dyDescent="0.25">
      <c r="A1159" s="57"/>
      <c r="B1159" s="61" t="s">
        <v>285</v>
      </c>
      <c r="C1159" s="63" t="s">
        <v>124</v>
      </c>
      <c r="D1159" s="49">
        <v>57</v>
      </c>
      <c r="E1159" s="609">
        <f t="shared" si="20"/>
        <v>57</v>
      </c>
      <c r="F1159" s="613"/>
    </row>
    <row r="1160" spans="1:6" s="14" customFormat="1" ht="30" customHeight="1" outlineLevel="2" x14ac:dyDescent="0.25">
      <c r="A1160" s="57"/>
      <c r="B1160" s="61" t="s">
        <v>286</v>
      </c>
      <c r="C1160" s="63" t="s">
        <v>116</v>
      </c>
      <c r="D1160" s="49">
        <v>1.6999999999999997</v>
      </c>
      <c r="E1160" s="609">
        <f t="shared" si="20"/>
        <v>1.6999999999999997</v>
      </c>
      <c r="F1160" s="613"/>
    </row>
    <row r="1161" spans="1:6" s="14" customFormat="1" ht="30" customHeight="1" outlineLevel="2" x14ac:dyDescent="0.25">
      <c r="A1161" s="57"/>
      <c r="B1161" s="61" t="s">
        <v>253</v>
      </c>
      <c r="C1161" s="63" t="s">
        <v>10</v>
      </c>
      <c r="D1161" s="49">
        <v>1</v>
      </c>
      <c r="E1161" s="609">
        <f t="shared" si="20"/>
        <v>1</v>
      </c>
      <c r="F1161" s="613"/>
    </row>
    <row r="1162" spans="1:6" s="14" customFormat="1" ht="30" customHeight="1" outlineLevel="2" x14ac:dyDescent="0.25">
      <c r="A1162" s="57"/>
      <c r="B1162" s="58" t="s">
        <v>287</v>
      </c>
      <c r="C1162" s="62"/>
      <c r="D1162" s="49"/>
      <c r="E1162" s="609">
        <f t="shared" si="20"/>
        <v>0</v>
      </c>
      <c r="F1162" s="613"/>
    </row>
    <row r="1163" spans="1:6" s="14" customFormat="1" ht="30" customHeight="1" outlineLevel="2" x14ac:dyDescent="0.25">
      <c r="A1163" s="57"/>
      <c r="B1163" s="61" t="s">
        <v>288</v>
      </c>
      <c r="C1163" s="62" t="s">
        <v>116</v>
      </c>
      <c r="D1163" s="49">
        <v>4.08</v>
      </c>
      <c r="E1163" s="609">
        <f t="shared" si="20"/>
        <v>4.08</v>
      </c>
      <c r="F1163" s="613"/>
    </row>
    <row r="1164" spans="1:6" s="14" customFormat="1" ht="30" customHeight="1" outlineLevel="2" x14ac:dyDescent="0.25">
      <c r="A1164" s="57"/>
      <c r="B1164" s="61" t="s">
        <v>289</v>
      </c>
      <c r="C1164" s="62" t="s">
        <v>116</v>
      </c>
      <c r="D1164" s="49">
        <v>6.68</v>
      </c>
      <c r="E1164" s="609">
        <f t="shared" si="20"/>
        <v>6.68</v>
      </c>
      <c r="F1164" s="613"/>
    </row>
    <row r="1165" spans="1:6" s="14" customFormat="1" ht="30" customHeight="1" outlineLevel="2" x14ac:dyDescent="0.25">
      <c r="A1165" s="57"/>
      <c r="B1165" s="61" t="s">
        <v>290</v>
      </c>
      <c r="C1165" s="62" t="s">
        <v>116</v>
      </c>
      <c r="D1165" s="49">
        <v>13.149999999999999</v>
      </c>
      <c r="E1165" s="609">
        <f t="shared" si="20"/>
        <v>13.149999999999999</v>
      </c>
      <c r="F1165" s="613"/>
    </row>
    <row r="1166" spans="1:6" s="14" customFormat="1" ht="30" customHeight="1" outlineLevel="2" x14ac:dyDescent="0.25">
      <c r="A1166" s="57"/>
      <c r="B1166" s="61" t="s">
        <v>291</v>
      </c>
      <c r="C1166" s="62" t="s">
        <v>139</v>
      </c>
      <c r="D1166" s="49">
        <v>23.909999999999997</v>
      </c>
      <c r="E1166" s="609">
        <f t="shared" si="20"/>
        <v>23.909999999999997</v>
      </c>
      <c r="F1166" s="613"/>
    </row>
    <row r="1167" spans="1:6" s="14" customFormat="1" ht="30" customHeight="1" outlineLevel="2" x14ac:dyDescent="0.25">
      <c r="A1167" s="57"/>
      <c r="B1167" s="61" t="s">
        <v>292</v>
      </c>
      <c r="C1167" s="63" t="s">
        <v>139</v>
      </c>
      <c r="D1167" s="49">
        <v>23.909999999999997</v>
      </c>
      <c r="E1167" s="609">
        <f t="shared" si="20"/>
        <v>23.909999999999997</v>
      </c>
      <c r="F1167" s="613"/>
    </row>
    <row r="1168" spans="1:6" s="14" customFormat="1" ht="30" customHeight="1" outlineLevel="2" x14ac:dyDescent="0.25">
      <c r="A1168" s="57"/>
      <c r="B1168" s="61" t="s">
        <v>253</v>
      </c>
      <c r="C1168" s="63" t="s">
        <v>10</v>
      </c>
      <c r="D1168" s="49">
        <v>2</v>
      </c>
      <c r="E1168" s="609">
        <f t="shared" si="20"/>
        <v>2</v>
      </c>
      <c r="F1168" s="613"/>
    </row>
    <row r="1169" spans="1:6" s="14" customFormat="1" ht="30" customHeight="1" outlineLevel="2" x14ac:dyDescent="0.25">
      <c r="A1169" s="57"/>
      <c r="B1169" s="65" t="s">
        <v>293</v>
      </c>
      <c r="C1169" s="87"/>
      <c r="D1169" s="49"/>
      <c r="E1169" s="609">
        <f t="shared" si="20"/>
        <v>0</v>
      </c>
      <c r="F1169" s="613"/>
    </row>
    <row r="1170" spans="1:6" s="14" customFormat="1" ht="30" customHeight="1" outlineLevel="2" x14ac:dyDescent="0.25">
      <c r="A1170" s="57"/>
      <c r="B1170" s="88" t="s">
        <v>142</v>
      </c>
      <c r="C1170" s="89" t="s">
        <v>76</v>
      </c>
      <c r="D1170" s="49">
        <v>1</v>
      </c>
      <c r="E1170" s="609">
        <f t="shared" si="20"/>
        <v>1</v>
      </c>
      <c r="F1170" s="613"/>
    </row>
    <row r="1171" spans="1:6" s="14" customFormat="1" ht="30" customHeight="1" outlineLevel="2" x14ac:dyDescent="0.25">
      <c r="A1171" s="57"/>
      <c r="B1171" s="67" t="s">
        <v>81</v>
      </c>
      <c r="C1171" s="66" t="s">
        <v>77</v>
      </c>
      <c r="D1171" s="49">
        <v>5.8660000000000004E-2</v>
      </c>
      <c r="E1171" s="609">
        <f t="shared" si="20"/>
        <v>5.8660000000000004E-2</v>
      </c>
      <c r="F1171" s="613"/>
    </row>
    <row r="1172" spans="1:6" s="14" customFormat="1" ht="30" customHeight="1" outlineLevel="2" x14ac:dyDescent="0.25">
      <c r="A1172" s="57"/>
      <c r="B1172" s="67" t="s">
        <v>85</v>
      </c>
      <c r="C1172" s="66" t="s">
        <v>77</v>
      </c>
      <c r="D1172" s="49">
        <v>0.41439999999999999</v>
      </c>
      <c r="E1172" s="609">
        <f t="shared" ref="E1172:E1235" si="21">D1172</f>
        <v>0.41439999999999999</v>
      </c>
      <c r="F1172" s="613"/>
    </row>
    <row r="1173" spans="1:6" s="14" customFormat="1" ht="30" customHeight="1" outlineLevel="2" x14ac:dyDescent="0.25">
      <c r="A1173" s="57"/>
      <c r="B1173" s="67" t="s">
        <v>88</v>
      </c>
      <c r="C1173" s="87" t="s">
        <v>10</v>
      </c>
      <c r="D1173" s="49">
        <v>6.57</v>
      </c>
      <c r="E1173" s="609">
        <f t="shared" si="21"/>
        <v>6.57</v>
      </c>
      <c r="F1173" s="613"/>
    </row>
    <row r="1174" spans="1:6" s="14" customFormat="1" ht="30" customHeight="1" outlineLevel="2" x14ac:dyDescent="0.25">
      <c r="A1174" s="57"/>
      <c r="B1174" s="67" t="s">
        <v>150</v>
      </c>
      <c r="C1174" s="66" t="s">
        <v>57</v>
      </c>
      <c r="D1174" s="49">
        <v>9.3599999999999989E-2</v>
      </c>
      <c r="E1174" s="609">
        <f t="shared" si="21"/>
        <v>9.3599999999999989E-2</v>
      </c>
      <c r="F1174" s="613"/>
    </row>
    <row r="1175" spans="1:6" s="14" customFormat="1" ht="30" customHeight="1" outlineLevel="2" x14ac:dyDescent="0.25">
      <c r="A1175" s="57"/>
      <c r="B1175" s="67" t="s">
        <v>151</v>
      </c>
      <c r="C1175" s="66" t="s">
        <v>57</v>
      </c>
      <c r="D1175" s="49">
        <v>3.1200000000000002E-2</v>
      </c>
      <c r="E1175" s="609">
        <f t="shared" si="21"/>
        <v>3.1200000000000002E-2</v>
      </c>
      <c r="F1175" s="613"/>
    </row>
    <row r="1176" spans="1:6" s="14" customFormat="1" ht="30" customHeight="1" outlineLevel="1" x14ac:dyDescent="0.25">
      <c r="A1176" s="57">
        <v>5</v>
      </c>
      <c r="B1176" s="93" t="s">
        <v>294</v>
      </c>
      <c r="C1176" s="94" t="s">
        <v>134</v>
      </c>
      <c r="D1176" s="49"/>
      <c r="E1176" s="609">
        <f t="shared" si="21"/>
        <v>0</v>
      </c>
      <c r="F1176" s="613"/>
    </row>
    <row r="1177" spans="1:6" s="14" customFormat="1" ht="30" customHeight="1" outlineLevel="2" x14ac:dyDescent="0.25">
      <c r="A1177" s="57"/>
      <c r="B1177" s="48" t="s">
        <v>217</v>
      </c>
      <c r="C1177" s="95" t="s">
        <v>137</v>
      </c>
      <c r="D1177" s="49"/>
      <c r="E1177" s="609">
        <f t="shared" si="21"/>
        <v>0</v>
      </c>
      <c r="F1177" s="613"/>
    </row>
    <row r="1178" spans="1:6" s="14" customFormat="1" ht="30" customHeight="1" outlineLevel="2" x14ac:dyDescent="0.25">
      <c r="A1178" s="57"/>
      <c r="B1178" s="96" t="s">
        <v>295</v>
      </c>
      <c r="C1178" s="97" t="s">
        <v>124</v>
      </c>
      <c r="D1178" s="49">
        <v>261.48</v>
      </c>
      <c r="E1178" s="609">
        <f t="shared" si="21"/>
        <v>261.48</v>
      </c>
      <c r="F1178" s="613"/>
    </row>
    <row r="1179" spans="1:6" s="14" customFormat="1" ht="30" customHeight="1" outlineLevel="2" x14ac:dyDescent="0.25">
      <c r="A1179" s="57"/>
      <c r="B1179" s="96" t="s">
        <v>296</v>
      </c>
      <c r="C1179" s="97" t="s">
        <v>126</v>
      </c>
      <c r="D1179" s="49">
        <v>29.573</v>
      </c>
      <c r="E1179" s="609">
        <f t="shared" si="21"/>
        <v>29.573</v>
      </c>
      <c r="F1179" s="613"/>
    </row>
    <row r="1180" spans="1:6" s="14" customFormat="1" ht="30" customHeight="1" outlineLevel="2" x14ac:dyDescent="0.25">
      <c r="A1180" s="73"/>
      <c r="B1180" s="98" t="s">
        <v>297</v>
      </c>
      <c r="C1180" s="99" t="s">
        <v>139</v>
      </c>
      <c r="D1180" s="53">
        <v>2.58</v>
      </c>
      <c r="E1180" s="609">
        <f t="shared" si="21"/>
        <v>2.58</v>
      </c>
      <c r="F1180" s="613"/>
    </row>
    <row r="1181" spans="1:6" s="14" customFormat="1" ht="30" customHeight="1" outlineLevel="2" x14ac:dyDescent="0.25">
      <c r="A1181" s="57"/>
      <c r="B1181" s="100" t="s">
        <v>298</v>
      </c>
      <c r="C1181" s="101" t="s">
        <v>124</v>
      </c>
      <c r="D1181" s="49">
        <v>32</v>
      </c>
      <c r="E1181" s="609">
        <f t="shared" si="21"/>
        <v>32</v>
      </c>
      <c r="F1181" s="613"/>
    </row>
    <row r="1182" spans="1:6" s="14" customFormat="1" ht="30" customHeight="1" outlineLevel="2" x14ac:dyDescent="0.25">
      <c r="A1182" s="57"/>
      <c r="B1182" s="100" t="s">
        <v>228</v>
      </c>
      <c r="C1182" s="102" t="s">
        <v>57</v>
      </c>
      <c r="D1182" s="49">
        <v>0.32</v>
      </c>
      <c r="E1182" s="609">
        <f t="shared" si="21"/>
        <v>0.32</v>
      </c>
      <c r="F1182" s="613"/>
    </row>
    <row r="1183" spans="1:6" s="14" customFormat="1" ht="30" customHeight="1" outlineLevel="2" x14ac:dyDescent="0.25">
      <c r="A1183" s="57"/>
      <c r="B1183" s="100" t="s">
        <v>229</v>
      </c>
      <c r="C1183" s="102" t="s">
        <v>137</v>
      </c>
      <c r="D1183" s="49">
        <v>1</v>
      </c>
      <c r="E1183" s="609">
        <f t="shared" si="21"/>
        <v>1</v>
      </c>
      <c r="F1183" s="613"/>
    </row>
    <row r="1184" spans="1:6" s="14" customFormat="1" ht="30" customHeight="1" outlineLevel="2" x14ac:dyDescent="0.25">
      <c r="A1184" s="57"/>
      <c r="B1184" s="100" t="s">
        <v>230</v>
      </c>
      <c r="C1184" s="102" t="s">
        <v>138</v>
      </c>
      <c r="D1184" s="49">
        <v>16</v>
      </c>
      <c r="E1184" s="609">
        <f t="shared" si="21"/>
        <v>16</v>
      </c>
      <c r="F1184" s="613"/>
    </row>
    <row r="1185" spans="1:6" s="14" customFormat="1" ht="30" customHeight="1" outlineLevel="2" x14ac:dyDescent="0.25">
      <c r="A1185" s="57"/>
      <c r="B1185" s="100" t="s">
        <v>275</v>
      </c>
      <c r="C1185" s="102" t="s">
        <v>10</v>
      </c>
      <c r="D1185" s="49">
        <v>4.5199999999999996</v>
      </c>
      <c r="E1185" s="609">
        <f t="shared" si="21"/>
        <v>4.5199999999999996</v>
      </c>
      <c r="F1185" s="613"/>
    </row>
    <row r="1186" spans="1:6" s="14" customFormat="1" ht="30" customHeight="1" outlineLevel="2" x14ac:dyDescent="0.25">
      <c r="A1186" s="57"/>
      <c r="B1186" s="100" t="s">
        <v>276</v>
      </c>
      <c r="C1186" s="102" t="s">
        <v>10</v>
      </c>
      <c r="D1186" s="49">
        <v>297.08</v>
      </c>
      <c r="E1186" s="609">
        <f t="shared" si="21"/>
        <v>297.08</v>
      </c>
      <c r="F1186" s="613"/>
    </row>
    <row r="1187" spans="1:6" s="14" customFormat="1" ht="30" customHeight="1" outlineLevel="2" x14ac:dyDescent="0.25">
      <c r="A1187" s="57"/>
      <c r="B1187" s="103" t="s">
        <v>233</v>
      </c>
      <c r="C1187" s="102"/>
      <c r="D1187" s="49"/>
      <c r="E1187" s="609">
        <f t="shared" si="21"/>
        <v>0</v>
      </c>
      <c r="F1187" s="613"/>
    </row>
    <row r="1188" spans="1:6" s="14" customFormat="1" ht="30" customHeight="1" outlineLevel="2" x14ac:dyDescent="0.25">
      <c r="A1188" s="57"/>
      <c r="B1188" s="100" t="s">
        <v>299</v>
      </c>
      <c r="C1188" s="97" t="s">
        <v>10</v>
      </c>
      <c r="D1188" s="49">
        <v>492.53</v>
      </c>
      <c r="E1188" s="609">
        <f t="shared" si="21"/>
        <v>492.53</v>
      </c>
      <c r="F1188" s="613"/>
    </row>
    <row r="1189" spans="1:6" s="14" customFormat="1" ht="30" customHeight="1" outlineLevel="2" x14ac:dyDescent="0.25">
      <c r="A1189" s="57"/>
      <c r="B1189" s="100" t="s">
        <v>282</v>
      </c>
      <c r="C1189" s="102" t="s">
        <v>121</v>
      </c>
      <c r="D1189" s="49">
        <v>1.881</v>
      </c>
      <c r="E1189" s="609">
        <f t="shared" si="21"/>
        <v>1.881</v>
      </c>
      <c r="F1189" s="613"/>
    </row>
    <row r="1190" spans="1:6" s="14" customFormat="1" ht="30" customHeight="1" outlineLevel="2" x14ac:dyDescent="0.25">
      <c r="A1190" s="57"/>
      <c r="B1190" s="103" t="s">
        <v>287</v>
      </c>
      <c r="C1190" s="104" t="s">
        <v>77</v>
      </c>
      <c r="D1190" s="49"/>
      <c r="E1190" s="609">
        <f t="shared" si="21"/>
        <v>0</v>
      </c>
      <c r="F1190" s="613"/>
    </row>
    <row r="1191" spans="1:6" s="14" customFormat="1" ht="30" customHeight="1" outlineLevel="2" x14ac:dyDescent="0.25">
      <c r="A1191" s="57"/>
      <c r="B1191" s="100" t="s">
        <v>300</v>
      </c>
      <c r="C1191" s="97" t="s">
        <v>116</v>
      </c>
      <c r="D1191" s="49">
        <v>10.08</v>
      </c>
      <c r="E1191" s="609">
        <f t="shared" si="21"/>
        <v>10.08</v>
      </c>
      <c r="F1191" s="613"/>
    </row>
    <row r="1192" spans="1:6" s="14" customFormat="1" ht="30" customHeight="1" outlineLevel="2" x14ac:dyDescent="0.25">
      <c r="A1192" s="57"/>
      <c r="B1192" s="100" t="s">
        <v>301</v>
      </c>
      <c r="C1192" s="97" t="s">
        <v>10</v>
      </c>
      <c r="D1192" s="49">
        <v>1.6</v>
      </c>
      <c r="E1192" s="609">
        <f t="shared" si="21"/>
        <v>1.6</v>
      </c>
      <c r="F1192" s="613"/>
    </row>
    <row r="1193" spans="1:6" s="14" customFormat="1" ht="30" customHeight="1" outlineLevel="2" x14ac:dyDescent="0.25">
      <c r="A1193" s="57"/>
      <c r="B1193" s="65" t="s">
        <v>302</v>
      </c>
      <c r="C1193" s="87"/>
      <c r="D1193" s="49"/>
      <c r="E1193" s="609">
        <f t="shared" si="21"/>
        <v>0</v>
      </c>
      <c r="F1193" s="613"/>
    </row>
    <row r="1194" spans="1:6" s="14" customFormat="1" ht="30" customHeight="1" outlineLevel="2" x14ac:dyDescent="0.25">
      <c r="A1194" s="57"/>
      <c r="B1194" s="100" t="s">
        <v>278</v>
      </c>
      <c r="C1194" s="100" t="s">
        <v>77</v>
      </c>
      <c r="D1194" s="49">
        <v>0.25</v>
      </c>
      <c r="E1194" s="609">
        <f t="shared" si="21"/>
        <v>0.25</v>
      </c>
      <c r="F1194" s="613"/>
    </row>
    <row r="1195" spans="1:6" s="14" customFormat="1" ht="30" customHeight="1" outlineLevel="2" x14ac:dyDescent="0.25">
      <c r="A1195" s="57"/>
      <c r="B1195" s="68" t="s">
        <v>279</v>
      </c>
      <c r="C1195" s="66" t="s">
        <v>77</v>
      </c>
      <c r="D1195" s="49">
        <v>0.25</v>
      </c>
      <c r="E1195" s="609">
        <f t="shared" si="21"/>
        <v>0.25</v>
      </c>
      <c r="F1195" s="613"/>
    </row>
    <row r="1196" spans="1:6" s="14" customFormat="1" ht="30" customHeight="1" outlineLevel="2" x14ac:dyDescent="0.25">
      <c r="A1196" s="57"/>
      <c r="B1196" s="68" t="s">
        <v>280</v>
      </c>
      <c r="C1196" s="66" t="s">
        <v>77</v>
      </c>
      <c r="D1196" s="49">
        <v>0.25</v>
      </c>
      <c r="E1196" s="609">
        <f t="shared" si="21"/>
        <v>0.25</v>
      </c>
      <c r="F1196" s="613"/>
    </row>
    <row r="1197" spans="1:6" s="14" customFormat="1" ht="30" customHeight="1" outlineLevel="1" x14ac:dyDescent="0.25">
      <c r="A1197" s="57">
        <v>6</v>
      </c>
      <c r="B1197" s="93" t="s">
        <v>303</v>
      </c>
      <c r="C1197" s="94" t="s">
        <v>134</v>
      </c>
      <c r="D1197" s="49"/>
      <c r="E1197" s="609">
        <f t="shared" si="21"/>
        <v>0</v>
      </c>
      <c r="F1197" s="613"/>
    </row>
    <row r="1198" spans="1:6" s="14" customFormat="1" ht="30" customHeight="1" outlineLevel="2" x14ac:dyDescent="0.25">
      <c r="A1198" s="57"/>
      <c r="B1198" s="48" t="s">
        <v>217</v>
      </c>
      <c r="C1198" s="95" t="s">
        <v>137</v>
      </c>
      <c r="D1198" s="49"/>
      <c r="E1198" s="609">
        <f t="shared" si="21"/>
        <v>0</v>
      </c>
      <c r="F1198" s="613"/>
    </row>
    <row r="1199" spans="1:6" s="14" customFormat="1" ht="30" customHeight="1" outlineLevel="2" x14ac:dyDescent="0.25">
      <c r="A1199" s="57"/>
      <c r="B1199" s="96" t="s">
        <v>304</v>
      </c>
      <c r="C1199" s="97" t="s">
        <v>124</v>
      </c>
      <c r="D1199" s="49">
        <v>245.87</v>
      </c>
      <c r="E1199" s="609">
        <f t="shared" si="21"/>
        <v>245.87</v>
      </c>
      <c r="F1199" s="613"/>
    </row>
    <row r="1200" spans="1:6" s="14" customFormat="1" ht="30" customHeight="1" outlineLevel="2" x14ac:dyDescent="0.25">
      <c r="A1200" s="57"/>
      <c r="B1200" s="96" t="s">
        <v>296</v>
      </c>
      <c r="C1200" s="97" t="s">
        <v>126</v>
      </c>
      <c r="D1200" s="49">
        <v>27.806999999999999</v>
      </c>
      <c r="E1200" s="609">
        <f t="shared" si="21"/>
        <v>27.806999999999999</v>
      </c>
      <c r="F1200" s="613"/>
    </row>
    <row r="1201" spans="1:6" s="14" customFormat="1" ht="30" customHeight="1" outlineLevel="2" x14ac:dyDescent="0.25">
      <c r="A1201" s="73"/>
      <c r="B1201" s="98" t="s">
        <v>297</v>
      </c>
      <c r="C1201" s="99" t="s">
        <v>139</v>
      </c>
      <c r="D1201" s="53">
        <v>2.58</v>
      </c>
      <c r="E1201" s="609">
        <f t="shared" si="21"/>
        <v>2.58</v>
      </c>
      <c r="F1201" s="613"/>
    </row>
    <row r="1202" spans="1:6" s="14" customFormat="1" ht="30" customHeight="1" outlineLevel="2" x14ac:dyDescent="0.25">
      <c r="A1202" s="57"/>
      <c r="B1202" s="100" t="s">
        <v>298</v>
      </c>
      <c r="C1202" s="101" t="s">
        <v>124</v>
      </c>
      <c r="D1202" s="49">
        <v>32</v>
      </c>
      <c r="E1202" s="609">
        <f t="shared" si="21"/>
        <v>32</v>
      </c>
      <c r="F1202" s="613"/>
    </row>
    <row r="1203" spans="1:6" s="14" customFormat="1" ht="30" customHeight="1" outlineLevel="2" x14ac:dyDescent="0.25">
      <c r="A1203" s="57"/>
      <c r="B1203" s="100" t="s">
        <v>228</v>
      </c>
      <c r="C1203" s="102" t="s">
        <v>57</v>
      </c>
      <c r="D1203" s="49">
        <v>0.32</v>
      </c>
      <c r="E1203" s="609">
        <f t="shared" si="21"/>
        <v>0.32</v>
      </c>
      <c r="F1203" s="613"/>
    </row>
    <row r="1204" spans="1:6" s="14" customFormat="1" ht="30" customHeight="1" outlineLevel="2" x14ac:dyDescent="0.25">
      <c r="A1204" s="57"/>
      <c r="B1204" s="100" t="s">
        <v>229</v>
      </c>
      <c r="C1204" s="102" t="s">
        <v>137</v>
      </c>
      <c r="D1204" s="49">
        <v>0</v>
      </c>
      <c r="E1204" s="609">
        <f t="shared" si="21"/>
        <v>0</v>
      </c>
      <c r="F1204" s="613"/>
    </row>
    <row r="1205" spans="1:6" s="14" customFormat="1" ht="30" customHeight="1" outlineLevel="2" x14ac:dyDescent="0.25">
      <c r="A1205" s="57"/>
      <c r="B1205" s="100" t="s">
        <v>230</v>
      </c>
      <c r="C1205" s="102" t="s">
        <v>138</v>
      </c>
      <c r="D1205" s="49">
        <v>16</v>
      </c>
      <c r="E1205" s="609">
        <f t="shared" si="21"/>
        <v>16</v>
      </c>
      <c r="F1205" s="613"/>
    </row>
    <row r="1206" spans="1:6" s="14" customFormat="1" ht="30" customHeight="1" outlineLevel="2" x14ac:dyDescent="0.25">
      <c r="A1206" s="57"/>
      <c r="B1206" s="100" t="s">
        <v>275</v>
      </c>
      <c r="C1206" s="102" t="s">
        <v>10</v>
      </c>
      <c r="D1206" s="49">
        <v>4.5199999999999996</v>
      </c>
      <c r="E1206" s="609">
        <f t="shared" si="21"/>
        <v>4.5199999999999996</v>
      </c>
      <c r="F1206" s="613"/>
    </row>
    <row r="1207" spans="1:6" s="14" customFormat="1" ht="30" customHeight="1" outlineLevel="2" x14ac:dyDescent="0.25">
      <c r="A1207" s="57"/>
      <c r="B1207" s="100" t="s">
        <v>276</v>
      </c>
      <c r="C1207" s="102" t="s">
        <v>10</v>
      </c>
      <c r="D1207" s="49">
        <v>279.43</v>
      </c>
      <c r="E1207" s="609">
        <f t="shared" si="21"/>
        <v>279.43</v>
      </c>
      <c r="F1207" s="613"/>
    </row>
    <row r="1208" spans="1:6" s="14" customFormat="1" ht="30" customHeight="1" outlineLevel="2" x14ac:dyDescent="0.25">
      <c r="A1208" s="57"/>
      <c r="B1208" s="103" t="s">
        <v>233</v>
      </c>
      <c r="C1208" s="102"/>
      <c r="D1208" s="49"/>
      <c r="E1208" s="609">
        <f t="shared" si="21"/>
        <v>0</v>
      </c>
      <c r="F1208" s="613"/>
    </row>
    <row r="1209" spans="1:6" s="14" customFormat="1" ht="30" customHeight="1" outlineLevel="2" x14ac:dyDescent="0.25">
      <c r="A1209" s="57"/>
      <c r="B1209" s="100" t="s">
        <v>299</v>
      </c>
      <c r="C1209" s="97" t="s">
        <v>10</v>
      </c>
      <c r="D1209" s="49">
        <v>513.09</v>
      </c>
      <c r="E1209" s="609">
        <f t="shared" si="21"/>
        <v>513.09</v>
      </c>
      <c r="F1209" s="613"/>
    </row>
    <row r="1210" spans="1:6" s="14" customFormat="1" ht="30" customHeight="1" outlineLevel="2" x14ac:dyDescent="0.25">
      <c r="A1210" s="57"/>
      <c r="B1210" s="100" t="s">
        <v>282</v>
      </c>
      <c r="C1210" s="102" t="s">
        <v>121</v>
      </c>
      <c r="D1210" s="49">
        <v>1.7992999999999999</v>
      </c>
      <c r="E1210" s="609">
        <f t="shared" si="21"/>
        <v>1.7992999999999999</v>
      </c>
      <c r="F1210" s="613"/>
    </row>
    <row r="1211" spans="1:6" s="14" customFormat="1" ht="30" customHeight="1" outlineLevel="2" x14ac:dyDescent="0.25">
      <c r="A1211" s="57"/>
      <c r="B1211" s="103" t="s">
        <v>287</v>
      </c>
      <c r="C1211" s="104" t="s">
        <v>77</v>
      </c>
      <c r="D1211" s="49">
        <v>11.100000000000001</v>
      </c>
      <c r="E1211" s="609">
        <f t="shared" si="21"/>
        <v>11.100000000000001</v>
      </c>
      <c r="F1211" s="613"/>
    </row>
    <row r="1212" spans="1:6" s="14" customFormat="1" ht="30" customHeight="1" outlineLevel="2" x14ac:dyDescent="0.25">
      <c r="A1212" s="57"/>
      <c r="B1212" s="100" t="s">
        <v>300</v>
      </c>
      <c r="C1212" s="97" t="s">
        <v>116</v>
      </c>
      <c r="D1212" s="49">
        <v>10.08</v>
      </c>
      <c r="E1212" s="609">
        <f t="shared" si="21"/>
        <v>10.08</v>
      </c>
      <c r="F1212" s="613"/>
    </row>
    <row r="1213" spans="1:6" s="14" customFormat="1" ht="30" customHeight="1" outlineLevel="2" x14ac:dyDescent="0.25">
      <c r="A1213" s="57"/>
      <c r="B1213" s="100" t="s">
        <v>301</v>
      </c>
      <c r="C1213" s="97" t="s">
        <v>10</v>
      </c>
      <c r="D1213" s="49">
        <v>1.6</v>
      </c>
      <c r="E1213" s="609">
        <f t="shared" si="21"/>
        <v>1.6</v>
      </c>
      <c r="F1213" s="613"/>
    </row>
    <row r="1214" spans="1:6" s="14" customFormat="1" ht="30" customHeight="1" outlineLevel="2" x14ac:dyDescent="0.25">
      <c r="A1214" s="57"/>
      <c r="B1214" s="65" t="s">
        <v>305</v>
      </c>
      <c r="C1214" s="87"/>
      <c r="D1214" s="49"/>
      <c r="E1214" s="609">
        <f t="shared" si="21"/>
        <v>0</v>
      </c>
      <c r="F1214" s="613"/>
    </row>
    <row r="1215" spans="1:6" s="14" customFormat="1" ht="30" customHeight="1" outlineLevel="2" x14ac:dyDescent="0.25">
      <c r="A1215" s="57"/>
      <c r="B1215" s="65" t="s">
        <v>80</v>
      </c>
      <c r="C1215" s="89" t="s">
        <v>137</v>
      </c>
      <c r="D1215" s="49">
        <v>1</v>
      </c>
      <c r="E1215" s="609">
        <f t="shared" si="21"/>
        <v>1</v>
      </c>
      <c r="F1215" s="613"/>
    </row>
    <row r="1216" spans="1:6" s="14" customFormat="1" ht="30" customHeight="1" outlineLevel="2" x14ac:dyDescent="0.25">
      <c r="A1216" s="57"/>
      <c r="B1216" s="105" t="s">
        <v>81</v>
      </c>
      <c r="C1216" s="66" t="s">
        <v>77</v>
      </c>
      <c r="D1216" s="49">
        <v>5.4600000000000003E-2</v>
      </c>
      <c r="E1216" s="609">
        <f t="shared" si="21"/>
        <v>5.4600000000000003E-2</v>
      </c>
      <c r="F1216" s="613"/>
    </row>
    <row r="1217" spans="1:6" s="14" customFormat="1" ht="30" customHeight="1" outlineLevel="2" x14ac:dyDescent="0.25">
      <c r="A1217" s="57"/>
      <c r="B1217" s="105" t="s">
        <v>87</v>
      </c>
      <c r="C1217" s="66" t="s">
        <v>77</v>
      </c>
      <c r="D1217" s="49">
        <v>0.54404000000000008</v>
      </c>
      <c r="E1217" s="609">
        <f t="shared" si="21"/>
        <v>0.54404000000000008</v>
      </c>
      <c r="F1217" s="613"/>
    </row>
    <row r="1218" spans="1:6" s="14" customFormat="1" ht="30" customHeight="1" outlineLevel="2" x14ac:dyDescent="0.25">
      <c r="A1218" s="57"/>
      <c r="B1218" s="105" t="s">
        <v>88</v>
      </c>
      <c r="C1218" s="87" t="s">
        <v>10</v>
      </c>
      <c r="D1218" s="49">
        <v>5.72</v>
      </c>
      <c r="E1218" s="609">
        <f t="shared" si="21"/>
        <v>5.72</v>
      </c>
      <c r="F1218" s="613"/>
    </row>
    <row r="1219" spans="1:6" s="14" customFormat="1" ht="30" customHeight="1" outlineLevel="2" x14ac:dyDescent="0.25">
      <c r="A1219" s="57"/>
      <c r="B1219" s="105" t="s">
        <v>95</v>
      </c>
      <c r="C1219" s="66" t="s">
        <v>77</v>
      </c>
      <c r="D1219" s="49">
        <v>0.12659999999999999</v>
      </c>
      <c r="E1219" s="609">
        <f t="shared" si="21"/>
        <v>0.12659999999999999</v>
      </c>
      <c r="F1219" s="613"/>
    </row>
    <row r="1220" spans="1:6" s="14" customFormat="1" ht="30" customHeight="1" outlineLevel="2" x14ac:dyDescent="0.25">
      <c r="A1220" s="57"/>
      <c r="B1220" s="105" t="s">
        <v>96</v>
      </c>
      <c r="C1220" s="66" t="s">
        <v>57</v>
      </c>
      <c r="D1220" s="49">
        <v>4.2199999999999994E-2</v>
      </c>
      <c r="E1220" s="609">
        <f t="shared" si="21"/>
        <v>4.2199999999999994E-2</v>
      </c>
      <c r="F1220" s="613"/>
    </row>
    <row r="1221" spans="1:6" s="14" customFormat="1" ht="30" customHeight="1" outlineLevel="2" x14ac:dyDescent="0.25">
      <c r="A1221" s="57"/>
      <c r="B1221" s="65" t="s">
        <v>302</v>
      </c>
      <c r="C1221" s="87"/>
      <c r="D1221" s="49"/>
      <c r="E1221" s="609">
        <f t="shared" si="21"/>
        <v>0</v>
      </c>
      <c r="F1221" s="613"/>
    </row>
    <row r="1222" spans="1:6" s="14" customFormat="1" ht="30" customHeight="1" outlineLevel="2" x14ac:dyDescent="0.25">
      <c r="A1222" s="57"/>
      <c r="B1222" s="68" t="s">
        <v>278</v>
      </c>
      <c r="C1222" s="66" t="s">
        <v>77</v>
      </c>
      <c r="D1222" s="49">
        <v>0.25</v>
      </c>
      <c r="E1222" s="609">
        <f t="shared" si="21"/>
        <v>0.25</v>
      </c>
      <c r="F1222" s="613"/>
    </row>
    <row r="1223" spans="1:6" s="14" customFormat="1" ht="30" customHeight="1" outlineLevel="2" x14ac:dyDescent="0.25">
      <c r="A1223" s="57"/>
      <c r="B1223" s="68" t="s">
        <v>279</v>
      </c>
      <c r="C1223" s="66" t="s">
        <v>77</v>
      </c>
      <c r="D1223" s="49">
        <v>0.25</v>
      </c>
      <c r="E1223" s="609">
        <f t="shared" si="21"/>
        <v>0.25</v>
      </c>
      <c r="F1223" s="613"/>
    </row>
    <row r="1224" spans="1:6" s="14" customFormat="1" ht="30" customHeight="1" outlineLevel="2" x14ac:dyDescent="0.25">
      <c r="A1224" s="57"/>
      <c r="B1224" s="68" t="s">
        <v>280</v>
      </c>
      <c r="C1224" s="66" t="s">
        <v>77</v>
      </c>
      <c r="D1224" s="49">
        <v>0.25</v>
      </c>
      <c r="E1224" s="609">
        <f t="shared" si="21"/>
        <v>0.25</v>
      </c>
      <c r="F1224" s="613"/>
    </row>
    <row r="1225" spans="1:6" s="14" customFormat="1" ht="30" customHeight="1" outlineLevel="1" x14ac:dyDescent="0.25">
      <c r="A1225" s="57">
        <v>7</v>
      </c>
      <c r="B1225" s="93" t="s">
        <v>306</v>
      </c>
      <c r="C1225" s="94" t="s">
        <v>134</v>
      </c>
      <c r="D1225" s="49"/>
      <c r="E1225" s="609">
        <f t="shared" si="21"/>
        <v>0</v>
      </c>
      <c r="F1225" s="613"/>
    </row>
    <row r="1226" spans="1:6" s="14" customFormat="1" ht="30" customHeight="1" outlineLevel="2" x14ac:dyDescent="0.25">
      <c r="A1226" s="612"/>
      <c r="B1226" s="48" t="s">
        <v>217</v>
      </c>
      <c r="C1226" s="95" t="s">
        <v>137</v>
      </c>
      <c r="D1226" s="49"/>
      <c r="E1226" s="609">
        <f t="shared" si="21"/>
        <v>0</v>
      </c>
      <c r="F1226" s="613"/>
    </row>
    <row r="1227" spans="1:6" s="14" customFormat="1" ht="30" customHeight="1" outlineLevel="2" x14ac:dyDescent="0.25">
      <c r="A1227" s="612"/>
      <c r="B1227" s="96" t="s">
        <v>307</v>
      </c>
      <c r="C1227" s="97" t="s">
        <v>124</v>
      </c>
      <c r="D1227" s="49">
        <v>246.26</v>
      </c>
      <c r="E1227" s="609">
        <f t="shared" si="21"/>
        <v>246.26</v>
      </c>
      <c r="F1227" s="613"/>
    </row>
    <row r="1228" spans="1:6" s="14" customFormat="1" ht="30" customHeight="1" outlineLevel="2" x14ac:dyDescent="0.25">
      <c r="A1228" s="612"/>
      <c r="B1228" s="96" t="s">
        <v>296</v>
      </c>
      <c r="C1228" s="97" t="s">
        <v>126</v>
      </c>
      <c r="D1228" s="49">
        <v>27.850999999999999</v>
      </c>
      <c r="E1228" s="609">
        <f t="shared" si="21"/>
        <v>27.850999999999999</v>
      </c>
      <c r="F1228" s="613"/>
    </row>
    <row r="1229" spans="1:6" s="14" customFormat="1" ht="30" customHeight="1" outlineLevel="2" x14ac:dyDescent="0.25">
      <c r="A1229" s="612"/>
      <c r="B1229" s="98" t="s">
        <v>297</v>
      </c>
      <c r="C1229" s="99" t="s">
        <v>139</v>
      </c>
      <c r="D1229" s="53">
        <v>2.58</v>
      </c>
      <c r="E1229" s="609">
        <f t="shared" si="21"/>
        <v>2.58</v>
      </c>
      <c r="F1229" s="613"/>
    </row>
    <row r="1230" spans="1:6" s="14" customFormat="1" ht="30" customHeight="1" outlineLevel="2" x14ac:dyDescent="0.25">
      <c r="A1230" s="612"/>
      <c r="B1230" s="100" t="s">
        <v>298</v>
      </c>
      <c r="C1230" s="101" t="s">
        <v>124</v>
      </c>
      <c r="D1230" s="49">
        <v>32</v>
      </c>
      <c r="E1230" s="609">
        <f t="shared" si="21"/>
        <v>32</v>
      </c>
      <c r="F1230" s="613"/>
    </row>
    <row r="1231" spans="1:6" s="14" customFormat="1" ht="30" customHeight="1" outlineLevel="2" x14ac:dyDescent="0.25">
      <c r="A1231" s="612"/>
      <c r="B1231" s="100" t="s">
        <v>228</v>
      </c>
      <c r="C1231" s="102" t="s">
        <v>57</v>
      </c>
      <c r="D1231" s="49">
        <v>0.32</v>
      </c>
      <c r="E1231" s="609">
        <f t="shared" si="21"/>
        <v>0.32</v>
      </c>
      <c r="F1231" s="613"/>
    </row>
    <row r="1232" spans="1:6" s="14" customFormat="1" ht="30" customHeight="1" outlineLevel="2" x14ac:dyDescent="0.25">
      <c r="A1232" s="612"/>
      <c r="B1232" s="100" t="s">
        <v>229</v>
      </c>
      <c r="C1232" s="102" t="s">
        <v>137</v>
      </c>
      <c r="D1232" s="49">
        <v>1</v>
      </c>
      <c r="E1232" s="609">
        <f t="shared" si="21"/>
        <v>1</v>
      </c>
      <c r="F1232" s="613"/>
    </row>
    <row r="1233" spans="1:6" s="14" customFormat="1" ht="30" customHeight="1" outlineLevel="2" x14ac:dyDescent="0.25">
      <c r="A1233" s="612"/>
      <c r="B1233" s="100" t="s">
        <v>230</v>
      </c>
      <c r="C1233" s="102" t="s">
        <v>138</v>
      </c>
      <c r="D1233" s="49">
        <v>16</v>
      </c>
      <c r="E1233" s="609">
        <f t="shared" si="21"/>
        <v>16</v>
      </c>
      <c r="F1233" s="613"/>
    </row>
    <row r="1234" spans="1:6" s="14" customFormat="1" ht="30" customHeight="1" outlineLevel="2" x14ac:dyDescent="0.25">
      <c r="A1234" s="612"/>
      <c r="B1234" s="100" t="s">
        <v>275</v>
      </c>
      <c r="C1234" s="102" t="s">
        <v>10</v>
      </c>
      <c r="D1234" s="49">
        <v>4.5199999999999996</v>
      </c>
      <c r="E1234" s="609">
        <f t="shared" si="21"/>
        <v>4.5199999999999996</v>
      </c>
      <c r="F1234" s="613"/>
    </row>
    <row r="1235" spans="1:6" s="14" customFormat="1" ht="30" customHeight="1" outlineLevel="2" x14ac:dyDescent="0.25">
      <c r="A1235" s="612"/>
      <c r="B1235" s="100" t="s">
        <v>276</v>
      </c>
      <c r="C1235" s="102" t="s">
        <v>10</v>
      </c>
      <c r="D1235" s="49">
        <v>279.88</v>
      </c>
      <c r="E1235" s="609">
        <f t="shared" si="21"/>
        <v>279.88</v>
      </c>
      <c r="F1235" s="613"/>
    </row>
    <row r="1236" spans="1:6" s="14" customFormat="1" ht="30" customHeight="1" outlineLevel="2" x14ac:dyDescent="0.25">
      <c r="A1236" s="612"/>
      <c r="B1236" s="103" t="s">
        <v>233</v>
      </c>
      <c r="C1236" s="102"/>
      <c r="D1236" s="49"/>
      <c r="E1236" s="609">
        <f t="shared" ref="E1236:E1372" si="22">D1236</f>
        <v>0</v>
      </c>
      <c r="F1236" s="613"/>
    </row>
    <row r="1237" spans="1:6" s="14" customFormat="1" ht="30" customHeight="1" outlineLevel="2" x14ac:dyDescent="0.25">
      <c r="A1237" s="612"/>
      <c r="B1237" s="100" t="s">
        <v>299</v>
      </c>
      <c r="C1237" s="97" t="s">
        <v>10</v>
      </c>
      <c r="D1237" s="49">
        <v>533.87</v>
      </c>
      <c r="E1237" s="609">
        <f t="shared" si="22"/>
        <v>533.87</v>
      </c>
      <c r="F1237" s="613"/>
    </row>
    <row r="1238" spans="1:6" s="14" customFormat="1" ht="30" customHeight="1" outlineLevel="2" x14ac:dyDescent="0.25">
      <c r="A1238" s="612"/>
      <c r="B1238" s="100" t="s">
        <v>282</v>
      </c>
      <c r="C1238" s="102" t="s">
        <v>121</v>
      </c>
      <c r="D1238" s="49">
        <v>2.2730000000000001</v>
      </c>
      <c r="E1238" s="609">
        <f t="shared" si="22"/>
        <v>2.2730000000000001</v>
      </c>
      <c r="F1238" s="613"/>
    </row>
    <row r="1239" spans="1:6" s="14" customFormat="1" ht="30" customHeight="1" outlineLevel="2" x14ac:dyDescent="0.25">
      <c r="A1239" s="612"/>
      <c r="B1239" s="103" t="s">
        <v>287</v>
      </c>
      <c r="C1239" s="104" t="s">
        <v>77</v>
      </c>
      <c r="D1239" s="49">
        <v>12.11</v>
      </c>
      <c r="E1239" s="609">
        <f t="shared" si="22"/>
        <v>12.11</v>
      </c>
      <c r="F1239" s="613"/>
    </row>
    <row r="1240" spans="1:6" s="14" customFormat="1" ht="30" customHeight="1" outlineLevel="2" x14ac:dyDescent="0.25">
      <c r="A1240" s="612"/>
      <c r="B1240" s="100" t="s">
        <v>300</v>
      </c>
      <c r="C1240" s="97" t="s">
        <v>116</v>
      </c>
      <c r="D1240" s="49">
        <v>12.11</v>
      </c>
      <c r="E1240" s="609">
        <f t="shared" si="22"/>
        <v>12.11</v>
      </c>
      <c r="F1240" s="613"/>
    </row>
    <row r="1241" spans="1:6" s="14" customFormat="1" ht="30" customHeight="1" outlineLevel="2" x14ac:dyDescent="0.25">
      <c r="A1241" s="612"/>
      <c r="B1241" s="100" t="s">
        <v>301</v>
      </c>
      <c r="C1241" s="97" t="s">
        <v>10</v>
      </c>
      <c r="D1241" s="49">
        <v>1.6</v>
      </c>
      <c r="E1241" s="609">
        <f t="shared" si="22"/>
        <v>1.6</v>
      </c>
      <c r="F1241" s="613"/>
    </row>
    <row r="1242" spans="1:6" s="14" customFormat="1" ht="30" customHeight="1" outlineLevel="2" x14ac:dyDescent="0.25">
      <c r="A1242" s="612"/>
      <c r="B1242" s="65" t="s">
        <v>302</v>
      </c>
      <c r="C1242" s="87"/>
      <c r="D1242" s="49"/>
      <c r="E1242" s="609">
        <f t="shared" si="22"/>
        <v>0</v>
      </c>
      <c r="F1242" s="613"/>
    </row>
    <row r="1243" spans="1:6" s="14" customFormat="1" ht="30" customHeight="1" outlineLevel="2" x14ac:dyDescent="0.25">
      <c r="A1243" s="612"/>
      <c r="B1243" s="68" t="s">
        <v>278</v>
      </c>
      <c r="C1243" s="66" t="s">
        <v>77</v>
      </c>
      <c r="D1243" s="49">
        <v>0.25</v>
      </c>
      <c r="E1243" s="609">
        <f t="shared" si="22"/>
        <v>0.25</v>
      </c>
      <c r="F1243" s="613"/>
    </row>
    <row r="1244" spans="1:6" s="14" customFormat="1" ht="30" customHeight="1" outlineLevel="2" x14ac:dyDescent="0.25">
      <c r="A1244" s="612"/>
      <c r="B1244" s="68" t="s">
        <v>279</v>
      </c>
      <c r="C1244" s="66" t="s">
        <v>77</v>
      </c>
      <c r="D1244" s="49">
        <v>0.25</v>
      </c>
      <c r="E1244" s="609">
        <f t="shared" si="22"/>
        <v>0.25</v>
      </c>
      <c r="F1244" s="613"/>
    </row>
    <row r="1245" spans="1:6" s="14" customFormat="1" ht="30" customHeight="1" outlineLevel="2" x14ac:dyDescent="0.25">
      <c r="A1245" s="612"/>
      <c r="B1245" s="68" t="s">
        <v>280</v>
      </c>
      <c r="C1245" s="66" t="s">
        <v>77</v>
      </c>
      <c r="D1245" s="49">
        <v>0.25</v>
      </c>
      <c r="E1245" s="609">
        <f t="shared" si="22"/>
        <v>0.25</v>
      </c>
      <c r="F1245" s="613"/>
    </row>
    <row r="1246" spans="1:6" s="14" customFormat="1" ht="30" customHeight="1" outlineLevel="1" x14ac:dyDescent="0.25">
      <c r="A1246" s="69">
        <v>12</v>
      </c>
      <c r="B1246" s="70" t="s">
        <v>308</v>
      </c>
      <c r="C1246" s="106"/>
      <c r="D1246" s="51"/>
      <c r="E1246" s="609">
        <f t="shared" si="22"/>
        <v>0</v>
      </c>
      <c r="F1246" s="613"/>
    </row>
    <row r="1247" spans="1:6" s="14" customFormat="1" ht="30" customHeight="1" outlineLevel="1" x14ac:dyDescent="0.25">
      <c r="A1247" s="69"/>
      <c r="B1247" s="71" t="s">
        <v>309</v>
      </c>
      <c r="C1247" s="107" t="s">
        <v>121</v>
      </c>
      <c r="D1247" s="51">
        <v>2.6585000000000001</v>
      </c>
      <c r="E1247" s="609">
        <f t="shared" si="22"/>
        <v>2.6585000000000001</v>
      </c>
      <c r="F1247" s="613"/>
    </row>
    <row r="1248" spans="1:6" s="14" customFormat="1" ht="30" customHeight="1" outlineLevel="1" x14ac:dyDescent="0.25">
      <c r="A1248" s="69"/>
      <c r="B1248" s="70" t="s">
        <v>217</v>
      </c>
      <c r="C1248" s="106" t="s">
        <v>137</v>
      </c>
      <c r="D1248" s="56">
        <v>5</v>
      </c>
      <c r="E1248" s="609">
        <f t="shared" si="22"/>
        <v>5</v>
      </c>
      <c r="F1248" s="613"/>
    </row>
    <row r="1249" spans="1:6" s="14" customFormat="1" ht="30" customHeight="1" outlineLevel="1" x14ac:dyDescent="0.25">
      <c r="A1249" s="69"/>
      <c r="B1249" s="71" t="s">
        <v>310</v>
      </c>
      <c r="C1249" s="107" t="s">
        <v>124</v>
      </c>
      <c r="D1249" s="51">
        <v>320</v>
      </c>
      <c r="E1249" s="609">
        <f t="shared" si="22"/>
        <v>320</v>
      </c>
      <c r="F1249" s="613"/>
    </row>
    <row r="1250" spans="1:6" s="14" customFormat="1" ht="30" customHeight="1" outlineLevel="1" x14ac:dyDescent="0.25">
      <c r="A1250" s="69"/>
      <c r="B1250" s="71" t="s">
        <v>222</v>
      </c>
      <c r="C1250" s="107" t="s">
        <v>126</v>
      </c>
      <c r="D1250" s="51">
        <v>36.191000000000003</v>
      </c>
      <c r="E1250" s="609">
        <f t="shared" si="22"/>
        <v>36.191000000000003</v>
      </c>
      <c r="F1250" s="613"/>
    </row>
    <row r="1251" spans="1:6" s="14" customFormat="1" ht="30" customHeight="1" outlineLevel="1" x14ac:dyDescent="0.25">
      <c r="A1251" s="69"/>
      <c r="B1251" s="71" t="s">
        <v>311</v>
      </c>
      <c r="C1251" s="107" t="s">
        <v>139</v>
      </c>
      <c r="D1251" s="51">
        <v>1.29</v>
      </c>
      <c r="E1251" s="609">
        <f t="shared" si="22"/>
        <v>1.29</v>
      </c>
      <c r="F1251" s="613"/>
    </row>
    <row r="1252" spans="1:6" s="14" customFormat="1" ht="30" customHeight="1" outlineLevel="1" x14ac:dyDescent="0.25">
      <c r="A1252" s="69"/>
      <c r="B1252" s="71" t="s">
        <v>298</v>
      </c>
      <c r="C1252" s="107" t="s">
        <v>124</v>
      </c>
      <c r="D1252" s="51">
        <v>40</v>
      </c>
      <c r="E1252" s="609">
        <f t="shared" si="22"/>
        <v>40</v>
      </c>
      <c r="F1252" s="613"/>
    </row>
    <row r="1253" spans="1:6" s="14" customFormat="1" ht="30" customHeight="1" outlineLevel="1" x14ac:dyDescent="0.25">
      <c r="A1253" s="69"/>
      <c r="B1253" s="71" t="s">
        <v>228</v>
      </c>
      <c r="C1253" s="107" t="s">
        <v>57</v>
      </c>
      <c r="D1253" s="51">
        <v>0.4</v>
      </c>
      <c r="E1253" s="609">
        <f t="shared" si="22"/>
        <v>0.4</v>
      </c>
      <c r="F1253" s="613"/>
    </row>
    <row r="1254" spans="1:6" s="14" customFormat="1" ht="30" customHeight="1" outlineLevel="1" x14ac:dyDescent="0.25">
      <c r="A1254" s="69"/>
      <c r="B1254" s="71" t="s">
        <v>229</v>
      </c>
      <c r="C1254" s="107" t="s">
        <v>137</v>
      </c>
      <c r="D1254" s="51">
        <v>0</v>
      </c>
      <c r="E1254" s="609">
        <f t="shared" si="22"/>
        <v>0</v>
      </c>
      <c r="F1254" s="613"/>
    </row>
    <row r="1255" spans="1:6" s="14" customFormat="1" ht="30" customHeight="1" outlineLevel="1" x14ac:dyDescent="0.25">
      <c r="A1255" s="69"/>
      <c r="B1255" s="71" t="s">
        <v>230</v>
      </c>
      <c r="C1255" s="107" t="s">
        <v>138</v>
      </c>
      <c r="D1255" s="51">
        <v>20</v>
      </c>
      <c r="E1255" s="609">
        <f t="shared" si="22"/>
        <v>20</v>
      </c>
      <c r="F1255" s="613"/>
    </row>
    <row r="1256" spans="1:6" s="14" customFormat="1" ht="30" customHeight="1" outlineLevel="1" x14ac:dyDescent="0.25">
      <c r="A1256" s="69"/>
      <c r="B1256" s="71" t="s">
        <v>275</v>
      </c>
      <c r="C1256" s="107" t="s">
        <v>10</v>
      </c>
      <c r="D1256" s="51">
        <v>5.65</v>
      </c>
      <c r="E1256" s="609">
        <f t="shared" si="22"/>
        <v>5.65</v>
      </c>
      <c r="F1256" s="613"/>
    </row>
    <row r="1257" spans="1:6" s="14" customFormat="1" ht="30" customHeight="1" outlineLevel="1" x14ac:dyDescent="0.25">
      <c r="A1257" s="69"/>
      <c r="B1257" s="71" t="s">
        <v>276</v>
      </c>
      <c r="C1257" s="107" t="s">
        <v>10</v>
      </c>
      <c r="D1257" s="51">
        <v>363.61</v>
      </c>
      <c r="E1257" s="609">
        <f t="shared" si="22"/>
        <v>363.61</v>
      </c>
      <c r="F1257" s="613"/>
    </row>
    <row r="1258" spans="1:6" s="14" customFormat="1" ht="30" customHeight="1" outlineLevel="1" x14ac:dyDescent="0.25">
      <c r="A1258" s="69"/>
      <c r="B1258" s="108" t="s">
        <v>277</v>
      </c>
      <c r="C1258" s="66"/>
      <c r="D1258" s="51"/>
      <c r="E1258" s="609">
        <f t="shared" si="22"/>
        <v>0</v>
      </c>
      <c r="F1258" s="613"/>
    </row>
    <row r="1259" spans="1:6" s="14" customFormat="1" ht="30" customHeight="1" outlineLevel="1" x14ac:dyDescent="0.25">
      <c r="A1259" s="69"/>
      <c r="B1259" s="68" t="s">
        <v>278</v>
      </c>
      <c r="C1259" s="66" t="s">
        <v>77</v>
      </c>
      <c r="D1259" s="51">
        <v>0.25</v>
      </c>
      <c r="E1259" s="609">
        <f t="shared" si="22"/>
        <v>0.25</v>
      </c>
      <c r="F1259" s="613"/>
    </row>
    <row r="1260" spans="1:6" s="14" customFormat="1" ht="30" customHeight="1" outlineLevel="1" x14ac:dyDescent="0.25">
      <c r="A1260" s="69"/>
      <c r="B1260" s="68" t="s">
        <v>279</v>
      </c>
      <c r="C1260" s="66" t="s">
        <v>77</v>
      </c>
      <c r="D1260" s="51">
        <v>0.25</v>
      </c>
      <c r="E1260" s="609">
        <f t="shared" si="22"/>
        <v>0.25</v>
      </c>
      <c r="F1260" s="613"/>
    </row>
    <row r="1261" spans="1:6" s="14" customFormat="1" ht="30" customHeight="1" outlineLevel="1" x14ac:dyDescent="0.25">
      <c r="A1261" s="69"/>
      <c r="B1261" s="68" t="s">
        <v>280</v>
      </c>
      <c r="C1261" s="66" t="s">
        <v>77</v>
      </c>
      <c r="D1261" s="51">
        <v>0.25</v>
      </c>
      <c r="E1261" s="609">
        <f t="shared" si="22"/>
        <v>0.25</v>
      </c>
      <c r="F1261" s="613"/>
    </row>
    <row r="1262" spans="1:6" s="14" customFormat="1" ht="30" customHeight="1" outlineLevel="1" x14ac:dyDescent="0.25">
      <c r="A1262" s="69"/>
      <c r="B1262" s="70" t="s">
        <v>233</v>
      </c>
      <c r="C1262" s="107"/>
      <c r="D1262" s="51"/>
      <c r="E1262" s="609">
        <f t="shared" si="22"/>
        <v>0</v>
      </c>
      <c r="F1262" s="613"/>
    </row>
    <row r="1263" spans="1:6" s="14" customFormat="1" ht="30" customHeight="1" outlineLevel="1" x14ac:dyDescent="0.25">
      <c r="A1263" s="69"/>
      <c r="B1263" s="71" t="s">
        <v>299</v>
      </c>
      <c r="C1263" s="107" t="s">
        <v>10</v>
      </c>
      <c r="D1263" s="51">
        <v>329.83</v>
      </c>
      <c r="E1263" s="609">
        <f t="shared" si="22"/>
        <v>329.83</v>
      </c>
      <c r="F1263" s="613"/>
    </row>
    <row r="1264" spans="1:6" s="14" customFormat="1" ht="30" customHeight="1" outlineLevel="1" x14ac:dyDescent="0.25">
      <c r="A1264" s="69"/>
      <c r="B1264" s="71" t="s">
        <v>282</v>
      </c>
      <c r="C1264" s="107" t="s">
        <v>121</v>
      </c>
      <c r="D1264" s="51">
        <v>1.94</v>
      </c>
      <c r="E1264" s="609">
        <f t="shared" si="22"/>
        <v>1.94</v>
      </c>
      <c r="F1264" s="613"/>
    </row>
    <row r="1265" spans="1:6" s="14" customFormat="1" ht="30" customHeight="1" outlineLevel="1" x14ac:dyDescent="0.25">
      <c r="A1265" s="69"/>
      <c r="B1265" s="109" t="s">
        <v>312</v>
      </c>
      <c r="C1265" s="110" t="s">
        <v>76</v>
      </c>
      <c r="D1265" s="51" t="s">
        <v>128</v>
      </c>
      <c r="E1265" s="609" t="str">
        <f t="shared" si="22"/>
        <v>35/315</v>
      </c>
      <c r="F1265" s="613"/>
    </row>
    <row r="1266" spans="1:6" s="14" customFormat="1" ht="30" customHeight="1" outlineLevel="1" x14ac:dyDescent="0.25">
      <c r="A1266" s="69"/>
      <c r="B1266" s="71" t="s">
        <v>313</v>
      </c>
      <c r="C1266" s="107" t="s">
        <v>116</v>
      </c>
      <c r="D1266" s="51">
        <v>25.9</v>
      </c>
      <c r="E1266" s="609">
        <f t="shared" si="22"/>
        <v>25.9</v>
      </c>
      <c r="F1266" s="613"/>
    </row>
    <row r="1267" spans="1:6" s="14" customFormat="1" ht="30" customHeight="1" outlineLevel="1" x14ac:dyDescent="0.25">
      <c r="A1267" s="69"/>
      <c r="B1267" s="71" t="s">
        <v>314</v>
      </c>
      <c r="C1267" s="107" t="s">
        <v>57</v>
      </c>
      <c r="D1267" s="51">
        <v>3.15</v>
      </c>
      <c r="E1267" s="609">
        <f t="shared" si="22"/>
        <v>3.15</v>
      </c>
      <c r="F1267" s="613"/>
    </row>
    <row r="1268" spans="1:6" s="14" customFormat="1" ht="30" customHeight="1" outlineLevel="1" x14ac:dyDescent="0.25">
      <c r="A1268" s="69"/>
      <c r="B1268" s="71" t="s">
        <v>315</v>
      </c>
      <c r="C1268" s="107" t="s">
        <v>57</v>
      </c>
      <c r="D1268" s="51">
        <v>0.35000000000000009</v>
      </c>
      <c r="E1268" s="609">
        <f t="shared" si="22"/>
        <v>0.35000000000000009</v>
      </c>
      <c r="F1268" s="613"/>
    </row>
    <row r="1269" spans="1:6" s="14" customFormat="1" ht="30" customHeight="1" outlineLevel="1" x14ac:dyDescent="0.25">
      <c r="A1269" s="69"/>
      <c r="B1269" s="71" t="s">
        <v>316</v>
      </c>
      <c r="C1269" s="107" t="s">
        <v>57</v>
      </c>
      <c r="D1269" s="51">
        <v>3.15</v>
      </c>
      <c r="E1269" s="609">
        <f t="shared" si="22"/>
        <v>3.15</v>
      </c>
      <c r="F1269" s="613"/>
    </row>
    <row r="1270" spans="1:6" s="14" customFormat="1" ht="30" customHeight="1" outlineLevel="1" x14ac:dyDescent="0.25">
      <c r="A1270" s="69"/>
      <c r="B1270" s="71" t="s">
        <v>317</v>
      </c>
      <c r="C1270" s="107" t="s">
        <v>77</v>
      </c>
      <c r="D1270" s="51">
        <v>25.9</v>
      </c>
      <c r="E1270" s="609">
        <f t="shared" si="22"/>
        <v>25.9</v>
      </c>
      <c r="F1270" s="613"/>
    </row>
    <row r="1271" spans="1:6" s="14" customFormat="1" ht="30" customHeight="1" outlineLevel="1" x14ac:dyDescent="0.25">
      <c r="A1271" s="69"/>
      <c r="B1271" s="109" t="s">
        <v>318</v>
      </c>
      <c r="C1271" s="110" t="s">
        <v>76</v>
      </c>
      <c r="D1271" s="51" t="s">
        <v>129</v>
      </c>
      <c r="E1271" s="609" t="str">
        <f t="shared" si="22"/>
        <v>3/27</v>
      </c>
      <c r="F1271" s="613"/>
    </row>
    <row r="1272" spans="1:6" s="14" customFormat="1" ht="30" customHeight="1" outlineLevel="1" x14ac:dyDescent="0.25">
      <c r="A1272" s="69"/>
      <c r="B1272" s="71" t="s">
        <v>319</v>
      </c>
      <c r="C1272" s="107" t="s">
        <v>116</v>
      </c>
      <c r="D1272" s="51">
        <v>2.35</v>
      </c>
      <c r="E1272" s="609">
        <f t="shared" si="22"/>
        <v>2.35</v>
      </c>
      <c r="F1272" s="613"/>
    </row>
    <row r="1273" spans="1:6" s="14" customFormat="1" ht="30" customHeight="1" outlineLevel="1" x14ac:dyDescent="0.25">
      <c r="A1273" s="69"/>
      <c r="B1273" s="71" t="s">
        <v>320</v>
      </c>
      <c r="C1273" s="107" t="s">
        <v>57</v>
      </c>
      <c r="D1273" s="51">
        <v>0.27</v>
      </c>
      <c r="E1273" s="609">
        <f t="shared" si="22"/>
        <v>0.27</v>
      </c>
      <c r="F1273" s="613"/>
    </row>
    <row r="1274" spans="1:6" s="14" customFormat="1" ht="30" customHeight="1" outlineLevel="1" x14ac:dyDescent="0.25">
      <c r="A1274" s="69"/>
      <c r="B1274" s="71" t="s">
        <v>321</v>
      </c>
      <c r="C1274" s="107" t="s">
        <v>57</v>
      </c>
      <c r="D1274" s="51">
        <v>3.0000000000000027E-2</v>
      </c>
      <c r="E1274" s="609">
        <f t="shared" si="22"/>
        <v>3.0000000000000027E-2</v>
      </c>
      <c r="F1274" s="613"/>
    </row>
    <row r="1275" spans="1:6" s="14" customFormat="1" ht="30" customHeight="1" outlineLevel="1" x14ac:dyDescent="0.25">
      <c r="A1275" s="69"/>
      <c r="B1275" s="71" t="s">
        <v>322</v>
      </c>
      <c r="C1275" s="107" t="s">
        <v>57</v>
      </c>
      <c r="D1275" s="51">
        <v>0.27</v>
      </c>
      <c r="E1275" s="609">
        <f t="shared" si="22"/>
        <v>0.27</v>
      </c>
      <c r="F1275" s="613"/>
    </row>
    <row r="1276" spans="1:6" s="14" customFormat="1" ht="30" customHeight="1" outlineLevel="1" x14ac:dyDescent="0.25">
      <c r="A1276" s="69"/>
      <c r="B1276" s="71" t="s">
        <v>323</v>
      </c>
      <c r="C1276" s="107" t="s">
        <v>77</v>
      </c>
      <c r="D1276" s="51">
        <v>2.35</v>
      </c>
      <c r="E1276" s="609">
        <f t="shared" si="22"/>
        <v>2.35</v>
      </c>
      <c r="F1276" s="613"/>
    </row>
    <row r="1277" spans="1:6" s="14" customFormat="1" ht="30" customHeight="1" outlineLevel="1" x14ac:dyDescent="0.25">
      <c r="A1277" s="69"/>
      <c r="B1277" s="71" t="s">
        <v>324</v>
      </c>
      <c r="C1277" s="107" t="s">
        <v>77</v>
      </c>
      <c r="D1277" s="51">
        <v>2.2999999999999998</v>
      </c>
      <c r="E1277" s="609">
        <f t="shared" si="22"/>
        <v>2.2999999999999998</v>
      </c>
      <c r="F1277" s="613"/>
    </row>
    <row r="1278" spans="1:6" s="14" customFormat="1" ht="30" customHeight="1" outlineLevel="1" x14ac:dyDescent="0.25">
      <c r="A1278" s="69"/>
      <c r="B1278" s="71" t="s">
        <v>325</v>
      </c>
      <c r="C1278" s="107" t="s">
        <v>139</v>
      </c>
      <c r="D1278" s="51">
        <v>2.2999999999999998</v>
      </c>
      <c r="E1278" s="609">
        <f t="shared" si="22"/>
        <v>2.2999999999999998</v>
      </c>
      <c r="F1278" s="613"/>
    </row>
    <row r="1279" spans="1:6" s="14" customFormat="1" ht="30" customHeight="1" outlineLevel="1" x14ac:dyDescent="0.25">
      <c r="A1279" s="69"/>
      <c r="B1279" s="71" t="s">
        <v>326</v>
      </c>
      <c r="C1279" s="107" t="s">
        <v>139</v>
      </c>
      <c r="D1279" s="51">
        <v>2.2999999999999998</v>
      </c>
      <c r="E1279" s="609">
        <f t="shared" si="22"/>
        <v>2.2999999999999998</v>
      </c>
      <c r="F1279" s="613"/>
    </row>
    <row r="1280" spans="1:6" s="14" customFormat="1" ht="30" customHeight="1" outlineLevel="1" x14ac:dyDescent="0.25">
      <c r="A1280" s="69"/>
      <c r="B1280" s="109" t="s">
        <v>327</v>
      </c>
      <c r="C1280" s="107"/>
      <c r="D1280" s="51"/>
      <c r="E1280" s="609">
        <f t="shared" si="22"/>
        <v>0</v>
      </c>
      <c r="F1280" s="613"/>
    </row>
    <row r="1281" spans="1:6" s="14" customFormat="1" ht="30" customHeight="1" outlineLevel="1" x14ac:dyDescent="0.25">
      <c r="A1281" s="69"/>
      <c r="B1281" s="71" t="s">
        <v>328</v>
      </c>
      <c r="C1281" s="107" t="s">
        <v>77</v>
      </c>
      <c r="D1281" s="51">
        <v>-1.1499999999999999</v>
      </c>
      <c r="E1281" s="609">
        <f t="shared" si="22"/>
        <v>-1.1499999999999999</v>
      </c>
      <c r="F1281" s="613"/>
    </row>
    <row r="1282" spans="1:6" s="14" customFormat="1" ht="30" customHeight="1" outlineLevel="1" x14ac:dyDescent="0.25">
      <c r="A1282" s="69"/>
      <c r="B1282" s="71" t="s">
        <v>329</v>
      </c>
      <c r="C1282" s="107" t="s">
        <v>77</v>
      </c>
      <c r="D1282" s="51">
        <v>1.1499999999999999</v>
      </c>
      <c r="E1282" s="609">
        <f t="shared" si="22"/>
        <v>1.1499999999999999</v>
      </c>
      <c r="F1282" s="613"/>
    </row>
    <row r="1283" spans="1:6" s="14" customFormat="1" ht="30" customHeight="1" outlineLevel="1" x14ac:dyDescent="0.25">
      <c r="A1283" s="69"/>
      <c r="B1283" s="71" t="s">
        <v>330</v>
      </c>
      <c r="C1283" s="107" t="s">
        <v>331</v>
      </c>
      <c r="D1283" s="51">
        <v>10</v>
      </c>
      <c r="E1283" s="609">
        <f t="shared" si="22"/>
        <v>10</v>
      </c>
      <c r="F1283" s="613"/>
    </row>
    <row r="1284" spans="1:6" s="14" customFormat="1" ht="30" customHeight="1" outlineLevel="1" x14ac:dyDescent="0.25">
      <c r="A1284" s="69"/>
      <c r="B1284" s="71" t="s">
        <v>300</v>
      </c>
      <c r="C1284" s="107" t="s">
        <v>116</v>
      </c>
      <c r="D1284" s="51">
        <v>4.29</v>
      </c>
      <c r="E1284" s="609">
        <f t="shared" si="22"/>
        <v>4.29</v>
      </c>
      <c r="F1284" s="613"/>
    </row>
    <row r="1285" spans="1:6" s="14" customFormat="1" ht="30" customHeight="1" outlineLevel="1" x14ac:dyDescent="0.25">
      <c r="A1285" s="69"/>
      <c r="B1285" s="71" t="s">
        <v>332</v>
      </c>
      <c r="C1285" s="107" t="s">
        <v>10</v>
      </c>
      <c r="D1285" s="51">
        <v>2.2999999999999998</v>
      </c>
      <c r="E1285" s="609">
        <f t="shared" si="22"/>
        <v>2.2999999999999998</v>
      </c>
      <c r="F1285" s="613"/>
    </row>
    <row r="1286" spans="1:6" s="14" customFormat="1" ht="30" customHeight="1" x14ac:dyDescent="0.25">
      <c r="A1286" s="73" t="s">
        <v>966</v>
      </c>
      <c r="B1286" s="74" t="s">
        <v>1096</v>
      </c>
      <c r="C1286" s="75"/>
      <c r="D1286" s="53"/>
      <c r="E1286" s="609">
        <f>D1286</f>
        <v>0</v>
      </c>
      <c r="F1286" s="613"/>
    </row>
    <row r="1287" spans="1:6" s="14" customFormat="1" ht="30" customHeight="1" outlineLevel="1" x14ac:dyDescent="0.25">
      <c r="A1287" s="57">
        <v>1</v>
      </c>
      <c r="B1287" s="58" t="s">
        <v>1097</v>
      </c>
      <c r="C1287" s="57" t="s">
        <v>334</v>
      </c>
      <c r="D1287" s="52">
        <v>1</v>
      </c>
      <c r="E1287" s="609">
        <f t="shared" ref="E1287:E1350" si="23">D1287</f>
        <v>1</v>
      </c>
      <c r="F1287" s="613"/>
    </row>
    <row r="1288" spans="1:6" s="14" customFormat="1" ht="30" customHeight="1" outlineLevel="2" x14ac:dyDescent="0.25">
      <c r="A1288" s="57"/>
      <c r="B1288" s="58" t="s">
        <v>1098</v>
      </c>
      <c r="C1288" s="57" t="s">
        <v>334</v>
      </c>
      <c r="D1288" s="52">
        <v>1</v>
      </c>
      <c r="E1288" s="609">
        <f t="shared" si="23"/>
        <v>1</v>
      </c>
      <c r="F1288" s="613"/>
    </row>
    <row r="1289" spans="1:6" s="14" customFormat="1" ht="30" customHeight="1" outlineLevel="2" x14ac:dyDescent="0.25">
      <c r="A1289" s="57"/>
      <c r="B1289" s="595" t="s">
        <v>1099</v>
      </c>
      <c r="C1289" s="596" t="s">
        <v>77</v>
      </c>
      <c r="D1289" s="49">
        <v>0</v>
      </c>
      <c r="E1289" s="609">
        <f t="shared" si="23"/>
        <v>0</v>
      </c>
      <c r="F1289" s="613"/>
    </row>
    <row r="1290" spans="1:6" s="14" customFormat="1" ht="30" customHeight="1" outlineLevel="2" x14ac:dyDescent="0.25">
      <c r="A1290" s="57"/>
      <c r="B1290" s="112" t="s">
        <v>1100</v>
      </c>
      <c r="C1290" s="107" t="s">
        <v>116</v>
      </c>
      <c r="D1290" s="49">
        <v>0</v>
      </c>
      <c r="E1290" s="609">
        <f t="shared" si="23"/>
        <v>0</v>
      </c>
      <c r="F1290" s="613"/>
    </row>
    <row r="1291" spans="1:6" s="14" customFormat="1" ht="30" customHeight="1" outlineLevel="2" x14ac:dyDescent="0.25">
      <c r="A1291" s="57"/>
      <c r="B1291" s="112" t="s">
        <v>1101</v>
      </c>
      <c r="C1291" s="107" t="s">
        <v>116</v>
      </c>
      <c r="D1291" s="49">
        <v>0</v>
      </c>
      <c r="E1291" s="609">
        <f t="shared" si="23"/>
        <v>0</v>
      </c>
      <c r="F1291" s="613"/>
    </row>
    <row r="1292" spans="1:6" s="14" customFormat="1" ht="30" customHeight="1" outlineLevel="2" x14ac:dyDescent="0.25">
      <c r="A1292" s="57"/>
      <c r="B1292" s="112" t="s">
        <v>1102</v>
      </c>
      <c r="C1292" s="107" t="s">
        <v>116</v>
      </c>
      <c r="D1292" s="49">
        <v>0</v>
      </c>
      <c r="E1292" s="609">
        <f t="shared" si="23"/>
        <v>0</v>
      </c>
      <c r="F1292" s="613"/>
    </row>
    <row r="1293" spans="1:6" s="14" customFormat="1" ht="30" customHeight="1" outlineLevel="2" x14ac:dyDescent="0.25">
      <c r="A1293" s="57"/>
      <c r="B1293" s="112" t="s">
        <v>1103</v>
      </c>
      <c r="C1293" s="107" t="s">
        <v>116</v>
      </c>
      <c r="D1293" s="49">
        <v>0</v>
      </c>
      <c r="E1293" s="609">
        <f t="shared" si="23"/>
        <v>0</v>
      </c>
      <c r="F1293" s="613"/>
    </row>
    <row r="1294" spans="1:6" s="14" customFormat="1" ht="30" customHeight="1" outlineLevel="2" x14ac:dyDescent="0.25">
      <c r="A1294" s="57"/>
      <c r="B1294" s="595" t="s">
        <v>1104</v>
      </c>
      <c r="C1294" s="596" t="s">
        <v>116</v>
      </c>
      <c r="D1294" s="49">
        <v>69.710000000000008</v>
      </c>
      <c r="E1294" s="609">
        <f t="shared" si="23"/>
        <v>69.710000000000008</v>
      </c>
      <c r="F1294" s="613"/>
    </row>
    <row r="1295" spans="1:6" s="14" customFormat="1" ht="30" customHeight="1" outlineLevel="2" x14ac:dyDescent="0.25">
      <c r="A1295" s="57"/>
      <c r="B1295" s="112" t="s">
        <v>1105</v>
      </c>
      <c r="C1295" s="62" t="s">
        <v>139</v>
      </c>
      <c r="D1295" s="49">
        <v>69.710000000000008</v>
      </c>
      <c r="E1295" s="609">
        <f t="shared" si="23"/>
        <v>69.710000000000008</v>
      </c>
      <c r="F1295" s="613"/>
    </row>
    <row r="1296" spans="1:6" s="14" customFormat="1" ht="30" customHeight="1" outlineLevel="2" x14ac:dyDescent="0.25">
      <c r="A1296" s="57"/>
      <c r="B1296" s="61" t="s">
        <v>249</v>
      </c>
      <c r="C1296" s="62" t="s">
        <v>139</v>
      </c>
      <c r="D1296" s="49">
        <v>69.710000000000008</v>
      </c>
      <c r="E1296" s="609">
        <f t="shared" si="23"/>
        <v>69.710000000000008</v>
      </c>
      <c r="F1296" s="613"/>
    </row>
    <row r="1297" spans="1:6" s="14" customFormat="1" ht="30" customHeight="1" outlineLevel="2" x14ac:dyDescent="0.25">
      <c r="A1297" s="57"/>
      <c r="B1297" s="61" t="s">
        <v>1106</v>
      </c>
      <c r="C1297" s="63" t="s">
        <v>139</v>
      </c>
      <c r="D1297" s="49">
        <v>69.710000000000008</v>
      </c>
      <c r="E1297" s="609">
        <f t="shared" si="23"/>
        <v>69.710000000000008</v>
      </c>
      <c r="F1297" s="613"/>
    </row>
    <row r="1298" spans="1:6" s="14" customFormat="1" ht="30" customHeight="1" outlineLevel="2" x14ac:dyDescent="0.25">
      <c r="A1298" s="57"/>
      <c r="B1298" s="61" t="s">
        <v>1107</v>
      </c>
      <c r="C1298" s="62" t="s">
        <v>10</v>
      </c>
      <c r="D1298" s="49">
        <v>5</v>
      </c>
      <c r="E1298" s="609">
        <f t="shared" si="23"/>
        <v>5</v>
      </c>
      <c r="F1298" s="613"/>
    </row>
    <row r="1299" spans="1:6" s="14" customFormat="1" ht="30" customHeight="1" outlineLevel="2" x14ac:dyDescent="0.25">
      <c r="A1299" s="57"/>
      <c r="B1299" s="61" t="s">
        <v>355</v>
      </c>
      <c r="C1299" s="62" t="s">
        <v>10</v>
      </c>
      <c r="D1299" s="49">
        <v>5</v>
      </c>
      <c r="E1299" s="609">
        <f t="shared" si="23"/>
        <v>5</v>
      </c>
      <c r="F1299" s="613"/>
    </row>
    <row r="1300" spans="1:6" s="14" customFormat="1" ht="30" customHeight="1" outlineLevel="2" x14ac:dyDescent="0.25">
      <c r="A1300" s="57"/>
      <c r="B1300" s="61" t="s">
        <v>1108</v>
      </c>
      <c r="C1300" s="62" t="s">
        <v>139</v>
      </c>
      <c r="D1300" s="49">
        <v>673.75</v>
      </c>
      <c r="E1300" s="609">
        <f t="shared" si="23"/>
        <v>673.75</v>
      </c>
      <c r="F1300" s="613"/>
    </row>
    <row r="1301" spans="1:6" s="14" customFormat="1" ht="30" customHeight="1" outlineLevel="1" x14ac:dyDescent="0.25">
      <c r="A1301" s="57">
        <v>2</v>
      </c>
      <c r="B1301" s="58" t="s">
        <v>1109</v>
      </c>
      <c r="C1301" s="57" t="s">
        <v>334</v>
      </c>
      <c r="D1301" s="52"/>
      <c r="E1301" s="609">
        <f t="shared" si="23"/>
        <v>0</v>
      </c>
      <c r="F1301" s="613"/>
    </row>
    <row r="1302" spans="1:6" s="14" customFormat="1" ht="30" customHeight="1" outlineLevel="2" x14ac:dyDescent="0.25">
      <c r="A1302" s="57"/>
      <c r="B1302" s="76" t="s">
        <v>1110</v>
      </c>
      <c r="C1302" s="62" t="s">
        <v>339</v>
      </c>
      <c r="D1302" s="49"/>
      <c r="E1302" s="609">
        <f t="shared" si="23"/>
        <v>0</v>
      </c>
      <c r="F1302" s="613"/>
    </row>
    <row r="1303" spans="1:6" s="14" customFormat="1" ht="30" customHeight="1" outlineLevel="2" x14ac:dyDescent="0.25">
      <c r="A1303" s="57"/>
      <c r="B1303" s="76" t="s">
        <v>1111</v>
      </c>
      <c r="C1303" s="62" t="s">
        <v>121</v>
      </c>
      <c r="D1303" s="49"/>
      <c r="E1303" s="609">
        <f t="shared" si="23"/>
        <v>0</v>
      </c>
      <c r="F1303" s="613"/>
    </row>
    <row r="1304" spans="1:6" s="14" customFormat="1" ht="30" customHeight="1" outlineLevel="2" x14ac:dyDescent="0.25">
      <c r="A1304" s="57"/>
      <c r="B1304" s="76" t="s">
        <v>1112</v>
      </c>
      <c r="C1304" s="62" t="s">
        <v>10</v>
      </c>
      <c r="D1304" s="49"/>
      <c r="E1304" s="609">
        <f t="shared" si="23"/>
        <v>0</v>
      </c>
      <c r="F1304" s="613"/>
    </row>
    <row r="1305" spans="1:6" s="14" customFormat="1" ht="30" customHeight="1" outlineLevel="2" x14ac:dyDescent="0.25">
      <c r="A1305" s="57"/>
      <c r="B1305" s="61" t="s">
        <v>1113</v>
      </c>
      <c r="C1305" s="63" t="s">
        <v>331</v>
      </c>
      <c r="D1305" s="49"/>
      <c r="E1305" s="609">
        <f t="shared" si="23"/>
        <v>0</v>
      </c>
      <c r="F1305" s="613"/>
    </row>
    <row r="1306" spans="1:6" s="14" customFormat="1" ht="30" customHeight="1" outlineLevel="2" x14ac:dyDescent="0.25">
      <c r="A1306" s="57"/>
      <c r="B1306" s="58" t="s">
        <v>1114</v>
      </c>
      <c r="C1306" s="57" t="s">
        <v>77</v>
      </c>
      <c r="D1306" s="52"/>
      <c r="E1306" s="609">
        <f t="shared" si="23"/>
        <v>0</v>
      </c>
      <c r="F1306" s="613"/>
    </row>
    <row r="1307" spans="1:6" s="14" customFormat="1" ht="30" customHeight="1" outlineLevel="2" x14ac:dyDescent="0.25">
      <c r="A1307" s="57"/>
      <c r="B1307" s="61" t="s">
        <v>1115</v>
      </c>
      <c r="C1307" s="62" t="s">
        <v>139</v>
      </c>
      <c r="D1307" s="49"/>
      <c r="E1307" s="609">
        <f t="shared" si="23"/>
        <v>0</v>
      </c>
      <c r="F1307" s="613"/>
    </row>
    <row r="1308" spans="1:6" s="14" customFormat="1" ht="30" customHeight="1" outlineLevel="2" x14ac:dyDescent="0.25">
      <c r="A1308" s="57"/>
      <c r="B1308" s="61" t="s">
        <v>291</v>
      </c>
      <c r="C1308" s="62" t="s">
        <v>139</v>
      </c>
      <c r="D1308" s="49"/>
      <c r="E1308" s="609">
        <f t="shared" si="23"/>
        <v>0</v>
      </c>
      <c r="F1308" s="613"/>
    </row>
    <row r="1309" spans="1:6" s="14" customFormat="1" ht="30" customHeight="1" outlineLevel="2" x14ac:dyDescent="0.25">
      <c r="A1309" s="57"/>
      <c r="B1309" s="61" t="s">
        <v>292</v>
      </c>
      <c r="C1309" s="63" t="s">
        <v>139</v>
      </c>
      <c r="D1309" s="49"/>
      <c r="E1309" s="609">
        <f t="shared" si="23"/>
        <v>0</v>
      </c>
      <c r="F1309" s="613"/>
    </row>
    <row r="1310" spans="1:6" s="14" customFormat="1" ht="30" customHeight="1" outlineLevel="2" x14ac:dyDescent="0.25">
      <c r="A1310" s="57"/>
      <c r="B1310" s="61" t="s">
        <v>1107</v>
      </c>
      <c r="C1310" s="62" t="s">
        <v>10</v>
      </c>
      <c r="D1310" s="49"/>
      <c r="E1310" s="609">
        <f t="shared" si="23"/>
        <v>0</v>
      </c>
      <c r="F1310" s="613"/>
    </row>
    <row r="1311" spans="1:6" s="14" customFormat="1" ht="30" customHeight="1" outlineLevel="2" x14ac:dyDescent="0.25">
      <c r="A1311" s="57"/>
      <c r="B1311" s="61" t="s">
        <v>355</v>
      </c>
      <c r="C1311" s="62" t="s">
        <v>10</v>
      </c>
      <c r="D1311" s="49"/>
      <c r="E1311" s="609">
        <f t="shared" si="23"/>
        <v>0</v>
      </c>
      <c r="F1311" s="613"/>
    </row>
    <row r="1312" spans="1:6" s="14" customFormat="1" ht="30" customHeight="1" outlineLevel="2" x14ac:dyDescent="0.25">
      <c r="A1312" s="57"/>
      <c r="B1312" s="61" t="s">
        <v>1108</v>
      </c>
      <c r="C1312" s="62" t="s">
        <v>139</v>
      </c>
      <c r="D1312" s="49"/>
      <c r="E1312" s="609">
        <f t="shared" si="23"/>
        <v>0</v>
      </c>
      <c r="F1312" s="613"/>
    </row>
    <row r="1313" spans="1:6" s="14" customFormat="1" ht="30" customHeight="1" outlineLevel="2" x14ac:dyDescent="0.25">
      <c r="A1313" s="57"/>
      <c r="B1313" s="61" t="s">
        <v>967</v>
      </c>
      <c r="C1313" s="63" t="s">
        <v>57</v>
      </c>
      <c r="D1313" s="49"/>
      <c r="E1313" s="609">
        <f t="shared" si="23"/>
        <v>0</v>
      </c>
      <c r="F1313" s="613"/>
    </row>
    <row r="1314" spans="1:6" s="14" customFormat="1" ht="30" customHeight="1" outlineLevel="2" x14ac:dyDescent="0.25">
      <c r="A1314" s="57"/>
      <c r="B1314" s="88" t="s">
        <v>1116</v>
      </c>
      <c r="C1314" s="87"/>
      <c r="D1314" s="49"/>
      <c r="E1314" s="609">
        <f t="shared" si="23"/>
        <v>0</v>
      </c>
      <c r="F1314" s="613"/>
    </row>
    <row r="1315" spans="1:6" s="14" customFormat="1" ht="30" customHeight="1" outlineLevel="2" x14ac:dyDescent="0.25">
      <c r="A1315" s="57"/>
      <c r="B1315" s="597" t="s">
        <v>1117</v>
      </c>
      <c r="C1315" s="598" t="s">
        <v>116</v>
      </c>
      <c r="D1315" s="49">
        <v>0.78100000000000003</v>
      </c>
      <c r="E1315" s="609">
        <f t="shared" si="23"/>
        <v>0.78100000000000003</v>
      </c>
      <c r="F1315" s="613"/>
    </row>
    <row r="1316" spans="1:6" s="14" customFormat="1" ht="30" customHeight="1" outlineLevel="2" x14ac:dyDescent="0.25">
      <c r="A1316" s="57"/>
      <c r="B1316" s="597" t="s">
        <v>1118</v>
      </c>
      <c r="C1316" s="598" t="s">
        <v>116</v>
      </c>
      <c r="D1316" s="49">
        <v>1.5920000000000001</v>
      </c>
      <c r="E1316" s="609">
        <f t="shared" si="23"/>
        <v>1.5920000000000001</v>
      </c>
      <c r="F1316" s="613"/>
    </row>
    <row r="1317" spans="1:6" s="14" customFormat="1" ht="30" customHeight="1" outlineLevel="2" x14ac:dyDescent="0.25">
      <c r="A1317" s="57"/>
      <c r="B1317" s="599" t="s">
        <v>1119</v>
      </c>
      <c r="C1317" s="598" t="s">
        <v>116</v>
      </c>
      <c r="D1317" s="49">
        <v>32.445999999999998</v>
      </c>
      <c r="E1317" s="609">
        <f t="shared" si="23"/>
        <v>32.445999999999998</v>
      </c>
      <c r="F1317" s="613"/>
    </row>
    <row r="1318" spans="1:6" s="14" customFormat="1" ht="30" customHeight="1" outlineLevel="2" x14ac:dyDescent="0.25">
      <c r="A1318" s="57"/>
      <c r="B1318" s="67" t="s">
        <v>1120</v>
      </c>
      <c r="C1318" s="66" t="s">
        <v>116</v>
      </c>
      <c r="D1318" s="49">
        <v>11.158799999999999</v>
      </c>
      <c r="E1318" s="609">
        <f t="shared" si="23"/>
        <v>11.158799999999999</v>
      </c>
      <c r="F1318" s="613"/>
    </row>
    <row r="1319" spans="1:6" s="14" customFormat="1" ht="30" customHeight="1" outlineLevel="2" x14ac:dyDescent="0.25">
      <c r="A1319" s="57"/>
      <c r="B1319" s="67" t="s">
        <v>1121</v>
      </c>
      <c r="C1319" s="66" t="s">
        <v>116</v>
      </c>
      <c r="D1319" s="49">
        <v>6.7679999999999998</v>
      </c>
      <c r="E1319" s="609">
        <f t="shared" si="23"/>
        <v>6.7679999999999998</v>
      </c>
      <c r="F1319" s="613"/>
    </row>
    <row r="1320" spans="1:6" s="14" customFormat="1" ht="30" customHeight="1" outlineLevel="2" x14ac:dyDescent="0.25">
      <c r="A1320" s="57"/>
      <c r="B1320" s="67" t="s">
        <v>1122</v>
      </c>
      <c r="C1320" s="66" t="s">
        <v>116</v>
      </c>
      <c r="D1320" s="49">
        <v>12.539000000000001</v>
      </c>
      <c r="E1320" s="609">
        <f t="shared" si="23"/>
        <v>12.539000000000001</v>
      </c>
      <c r="F1320" s="613"/>
    </row>
    <row r="1321" spans="1:6" s="14" customFormat="1" ht="30" customHeight="1" outlineLevel="2" x14ac:dyDescent="0.25">
      <c r="A1321" s="57"/>
      <c r="B1321" s="67" t="s">
        <v>1123</v>
      </c>
      <c r="C1321" s="66" t="s">
        <v>116</v>
      </c>
      <c r="D1321" s="49">
        <v>4.353199999999994</v>
      </c>
      <c r="E1321" s="609">
        <f t="shared" si="23"/>
        <v>4.353199999999994</v>
      </c>
      <c r="F1321" s="613"/>
    </row>
    <row r="1322" spans="1:6" s="14" customFormat="1" ht="30" customHeight="1" outlineLevel="2" x14ac:dyDescent="0.25">
      <c r="A1322" s="57"/>
      <c r="B1322" s="67" t="s">
        <v>291</v>
      </c>
      <c r="C1322" s="66" t="s">
        <v>139</v>
      </c>
      <c r="D1322" s="49">
        <v>34.818999999999996</v>
      </c>
      <c r="E1322" s="609">
        <f t="shared" si="23"/>
        <v>34.818999999999996</v>
      </c>
      <c r="F1322" s="613"/>
    </row>
    <row r="1323" spans="1:6" s="14" customFormat="1" ht="30" customHeight="1" outlineLevel="2" x14ac:dyDescent="0.25">
      <c r="A1323" s="57"/>
      <c r="B1323" s="67" t="s">
        <v>292</v>
      </c>
      <c r="C1323" s="87" t="s">
        <v>139</v>
      </c>
      <c r="D1323" s="49">
        <v>34.818999999999996</v>
      </c>
      <c r="E1323" s="609">
        <f t="shared" si="23"/>
        <v>34.818999999999996</v>
      </c>
      <c r="F1323" s="613"/>
    </row>
    <row r="1324" spans="1:6" s="14" customFormat="1" ht="30" customHeight="1" outlineLevel="2" x14ac:dyDescent="0.25">
      <c r="A1324" s="57"/>
      <c r="B1324" s="599" t="s">
        <v>1124</v>
      </c>
      <c r="C1324" s="87"/>
      <c r="D1324" s="49"/>
      <c r="E1324" s="609">
        <f t="shared" si="23"/>
        <v>0</v>
      </c>
      <c r="F1324" s="613"/>
    </row>
    <row r="1325" spans="1:6" s="14" customFormat="1" ht="30" customHeight="1" outlineLevel="2" x14ac:dyDescent="0.25">
      <c r="A1325" s="57"/>
      <c r="B1325" s="67" t="s">
        <v>81</v>
      </c>
      <c r="C1325" s="66" t="s">
        <v>77</v>
      </c>
      <c r="D1325" s="49">
        <v>0.20300000000000001</v>
      </c>
      <c r="E1325" s="609">
        <f t="shared" si="23"/>
        <v>0.20300000000000001</v>
      </c>
      <c r="F1325" s="613"/>
    </row>
    <row r="1326" spans="1:6" s="14" customFormat="1" ht="30" customHeight="1" outlineLevel="2" x14ac:dyDescent="0.25">
      <c r="A1326" s="57"/>
      <c r="B1326" s="67" t="s">
        <v>87</v>
      </c>
      <c r="C1326" s="66" t="s">
        <v>77</v>
      </c>
      <c r="D1326" s="49">
        <v>1.105</v>
      </c>
      <c r="E1326" s="609">
        <f t="shared" si="23"/>
        <v>1.105</v>
      </c>
      <c r="F1326" s="613"/>
    </row>
    <row r="1327" spans="1:6" s="14" customFormat="1" ht="30" customHeight="1" outlineLevel="2" x14ac:dyDescent="0.25">
      <c r="A1327" s="57"/>
      <c r="B1327" s="67" t="s">
        <v>88</v>
      </c>
      <c r="C1327" s="87" t="s">
        <v>10</v>
      </c>
      <c r="D1327" s="49">
        <v>95</v>
      </c>
      <c r="E1327" s="609">
        <f t="shared" si="23"/>
        <v>95</v>
      </c>
      <c r="F1327" s="613"/>
    </row>
    <row r="1328" spans="1:6" s="14" customFormat="1" ht="30" customHeight="1" outlineLevel="2" x14ac:dyDescent="0.25">
      <c r="A1328" s="57"/>
      <c r="B1328" s="67" t="s">
        <v>90</v>
      </c>
      <c r="C1328" s="87" t="s">
        <v>77</v>
      </c>
      <c r="D1328" s="49">
        <v>5.5759999999999997E-2</v>
      </c>
      <c r="E1328" s="609">
        <f t="shared" si="23"/>
        <v>5.5759999999999997E-2</v>
      </c>
      <c r="F1328" s="613"/>
    </row>
    <row r="1329" spans="1:6" s="14" customFormat="1" ht="30" customHeight="1" outlineLevel="2" x14ac:dyDescent="0.25">
      <c r="A1329" s="57"/>
      <c r="B1329" s="67" t="s">
        <v>1125</v>
      </c>
      <c r="C1329" s="66" t="s">
        <v>124</v>
      </c>
      <c r="D1329" s="49">
        <v>60</v>
      </c>
      <c r="E1329" s="609">
        <f t="shared" si="23"/>
        <v>60</v>
      </c>
      <c r="F1329" s="613"/>
    </row>
    <row r="1330" spans="1:6" s="14" customFormat="1" ht="30" customHeight="1" outlineLevel="2" x14ac:dyDescent="0.25">
      <c r="A1330" s="57"/>
      <c r="B1330" s="67" t="s">
        <v>1126</v>
      </c>
      <c r="C1330" s="66" t="s">
        <v>124</v>
      </c>
      <c r="D1330" s="49">
        <v>22</v>
      </c>
      <c r="E1330" s="609">
        <f t="shared" si="23"/>
        <v>22</v>
      </c>
      <c r="F1330" s="613"/>
    </row>
    <row r="1331" spans="1:6" s="14" customFormat="1" ht="30" customHeight="1" outlineLevel="2" x14ac:dyDescent="0.25">
      <c r="A1331" s="57"/>
      <c r="B1331" s="67" t="s">
        <v>296</v>
      </c>
      <c r="C1331" s="66" t="s">
        <v>126</v>
      </c>
      <c r="D1331" s="49">
        <v>9.2692800000000002</v>
      </c>
      <c r="E1331" s="609">
        <f t="shared" si="23"/>
        <v>9.2692800000000002</v>
      </c>
      <c r="F1331" s="613"/>
    </row>
    <row r="1332" spans="1:6" s="14" customFormat="1" ht="30" customHeight="1" outlineLevel="2" x14ac:dyDescent="0.25">
      <c r="A1332" s="57"/>
      <c r="B1332" s="67" t="s">
        <v>1127</v>
      </c>
      <c r="C1332" s="66" t="s">
        <v>139</v>
      </c>
      <c r="D1332" s="49">
        <v>0.97</v>
      </c>
      <c r="E1332" s="609">
        <f t="shared" si="23"/>
        <v>0.97</v>
      </c>
      <c r="F1332" s="613"/>
    </row>
    <row r="1333" spans="1:6" s="14" customFormat="1" ht="30" customHeight="1" outlineLevel="2" x14ac:dyDescent="0.25">
      <c r="A1333" s="57"/>
      <c r="B1333" s="600" t="s">
        <v>298</v>
      </c>
      <c r="C1333" s="66" t="s">
        <v>124</v>
      </c>
      <c r="D1333" s="49">
        <v>12</v>
      </c>
      <c r="E1333" s="609">
        <f t="shared" si="23"/>
        <v>12</v>
      </c>
      <c r="F1333" s="613"/>
    </row>
    <row r="1334" spans="1:6" s="14" customFormat="1" ht="30" customHeight="1" outlineLevel="2" x14ac:dyDescent="0.25">
      <c r="A1334" s="57"/>
      <c r="B1334" s="67" t="s">
        <v>228</v>
      </c>
      <c r="C1334" s="66" t="s">
        <v>57</v>
      </c>
      <c r="D1334" s="49">
        <v>0.12</v>
      </c>
      <c r="E1334" s="609">
        <f t="shared" si="23"/>
        <v>0.12</v>
      </c>
      <c r="F1334" s="613"/>
    </row>
    <row r="1335" spans="1:6" s="14" customFormat="1" ht="30" customHeight="1" outlineLevel="2" x14ac:dyDescent="0.25">
      <c r="A1335" s="57"/>
      <c r="B1335" s="67" t="s">
        <v>276</v>
      </c>
      <c r="C1335" s="66" t="s">
        <v>10</v>
      </c>
      <c r="D1335" s="49">
        <v>108.84</v>
      </c>
      <c r="E1335" s="609">
        <f t="shared" si="23"/>
        <v>108.84</v>
      </c>
      <c r="F1335" s="613"/>
    </row>
    <row r="1336" spans="1:6" s="14" customFormat="1" ht="30" customHeight="1" outlineLevel="1" x14ac:dyDescent="0.25">
      <c r="A1336" s="57">
        <v>3</v>
      </c>
      <c r="B1336" s="58" t="s">
        <v>1128</v>
      </c>
      <c r="C1336" s="57" t="s">
        <v>334</v>
      </c>
      <c r="D1336" s="52">
        <v>1</v>
      </c>
      <c r="E1336" s="609">
        <f t="shared" si="23"/>
        <v>1</v>
      </c>
      <c r="F1336" s="613"/>
    </row>
    <row r="1337" spans="1:6" s="14" customFormat="1" ht="30" customHeight="1" outlineLevel="1" x14ac:dyDescent="0.25">
      <c r="A1337" s="57"/>
      <c r="B1337" s="76" t="s">
        <v>1129</v>
      </c>
      <c r="C1337" s="62" t="s">
        <v>139</v>
      </c>
      <c r="D1337" s="49">
        <v>4.0790800000000003</v>
      </c>
      <c r="E1337" s="609">
        <f t="shared" si="23"/>
        <v>4.0790800000000003</v>
      </c>
      <c r="F1337" s="613"/>
    </row>
    <row r="1338" spans="1:6" s="14" customFormat="1" ht="30" customHeight="1" outlineLevel="1" x14ac:dyDescent="0.25">
      <c r="A1338" s="57"/>
      <c r="B1338" s="76" t="s">
        <v>1130</v>
      </c>
      <c r="C1338" s="62" t="s">
        <v>139</v>
      </c>
      <c r="D1338" s="49">
        <v>4.0790800000000003</v>
      </c>
      <c r="E1338" s="609">
        <f t="shared" si="23"/>
        <v>4.0790800000000003</v>
      </c>
      <c r="F1338" s="613"/>
    </row>
    <row r="1339" spans="1:6" s="14" customFormat="1" ht="30" customHeight="1" outlineLevel="1" x14ac:dyDescent="0.25">
      <c r="A1339" s="57"/>
      <c r="B1339" s="76" t="s">
        <v>1131</v>
      </c>
      <c r="C1339" s="62" t="s">
        <v>139</v>
      </c>
      <c r="D1339" s="49">
        <v>4.0790800000000003</v>
      </c>
      <c r="E1339" s="609">
        <f t="shared" si="23"/>
        <v>4.0790800000000003</v>
      </c>
      <c r="F1339" s="613"/>
    </row>
    <row r="1340" spans="1:6" s="14" customFormat="1" ht="30" customHeight="1" outlineLevel="1" x14ac:dyDescent="0.25">
      <c r="A1340" s="57"/>
      <c r="B1340" s="76" t="s">
        <v>1132</v>
      </c>
      <c r="C1340" s="62" t="s">
        <v>659</v>
      </c>
      <c r="D1340" s="49">
        <v>358.6</v>
      </c>
      <c r="E1340" s="609">
        <f t="shared" si="23"/>
        <v>358.6</v>
      </c>
      <c r="F1340" s="613"/>
    </row>
    <row r="1341" spans="1:6" s="14" customFormat="1" ht="30" customHeight="1" outlineLevel="1" x14ac:dyDescent="0.25">
      <c r="A1341" s="57"/>
      <c r="B1341" s="601" t="s">
        <v>1133</v>
      </c>
      <c r="C1341" s="62"/>
      <c r="D1341" s="49"/>
      <c r="E1341" s="609">
        <f t="shared" si="23"/>
        <v>0</v>
      </c>
      <c r="F1341" s="613"/>
    </row>
    <row r="1342" spans="1:6" s="14" customFormat="1" ht="30" customHeight="1" outlineLevel="1" x14ac:dyDescent="0.25">
      <c r="A1342" s="57"/>
      <c r="B1342" s="61" t="s">
        <v>1134</v>
      </c>
      <c r="C1342" s="63" t="s">
        <v>10</v>
      </c>
      <c r="D1342" s="49">
        <v>3.08</v>
      </c>
      <c r="E1342" s="609">
        <f t="shared" si="23"/>
        <v>3.08</v>
      </c>
      <c r="F1342" s="613"/>
    </row>
    <row r="1343" spans="1:6" s="14" customFormat="1" ht="30" customHeight="1" outlineLevel="1" x14ac:dyDescent="0.25">
      <c r="A1343" s="57"/>
      <c r="B1343" s="61" t="s">
        <v>1135</v>
      </c>
      <c r="C1343" s="62" t="s">
        <v>77</v>
      </c>
      <c r="D1343" s="49">
        <v>3.1020799999999999</v>
      </c>
      <c r="E1343" s="609">
        <f t="shared" si="23"/>
        <v>3.1020799999999999</v>
      </c>
      <c r="F1343" s="613"/>
    </row>
    <row r="1344" spans="1:6" s="14" customFormat="1" ht="30" customHeight="1" outlineLevel="1" x14ac:dyDescent="0.25">
      <c r="A1344" s="57"/>
      <c r="B1344" s="61" t="s">
        <v>1136</v>
      </c>
      <c r="C1344" s="62" t="s">
        <v>77</v>
      </c>
      <c r="D1344" s="49">
        <v>-2.1714559999999996</v>
      </c>
      <c r="E1344" s="609">
        <f t="shared" si="23"/>
        <v>-2.1714559999999996</v>
      </c>
      <c r="F1344" s="613"/>
    </row>
    <row r="1345" spans="1:6" s="14" customFormat="1" ht="30" customHeight="1" x14ac:dyDescent="0.25">
      <c r="A1345" s="73" t="s">
        <v>968</v>
      </c>
      <c r="B1345" s="74" t="s">
        <v>1137</v>
      </c>
      <c r="C1345" s="75"/>
      <c r="D1345" s="53"/>
      <c r="E1345" s="609">
        <f t="shared" si="23"/>
        <v>0</v>
      </c>
      <c r="F1345" s="613"/>
    </row>
    <row r="1346" spans="1:6" s="14" customFormat="1" ht="30" customHeight="1" outlineLevel="1" x14ac:dyDescent="0.25">
      <c r="A1346" s="57">
        <v>1</v>
      </c>
      <c r="B1346" s="58" t="s">
        <v>1138</v>
      </c>
      <c r="C1346" s="57" t="s">
        <v>334</v>
      </c>
      <c r="D1346" s="49"/>
      <c r="E1346" s="609">
        <f t="shared" si="23"/>
        <v>0</v>
      </c>
      <c r="F1346" s="613"/>
    </row>
    <row r="1347" spans="1:6" s="14" customFormat="1" ht="30" customHeight="1" outlineLevel="1" x14ac:dyDescent="0.25">
      <c r="A1347" s="57"/>
      <c r="B1347" s="58" t="s">
        <v>1139</v>
      </c>
      <c r="C1347" s="57" t="s">
        <v>124</v>
      </c>
      <c r="D1347" s="52">
        <v>140</v>
      </c>
      <c r="E1347" s="609">
        <f t="shared" si="23"/>
        <v>140</v>
      </c>
      <c r="F1347" s="613"/>
    </row>
    <row r="1348" spans="1:6" s="14" customFormat="1" ht="30" customHeight="1" outlineLevel="1" x14ac:dyDescent="0.25">
      <c r="A1348" s="57"/>
      <c r="B1348" s="76" t="s">
        <v>1112</v>
      </c>
      <c r="C1348" s="62" t="s">
        <v>10</v>
      </c>
      <c r="D1348" s="49">
        <v>96.25</v>
      </c>
      <c r="E1348" s="609">
        <f t="shared" si="23"/>
        <v>96.25</v>
      </c>
      <c r="F1348" s="613"/>
    </row>
    <row r="1349" spans="1:6" s="14" customFormat="1" ht="30" customHeight="1" outlineLevel="1" x14ac:dyDescent="0.25">
      <c r="A1349" s="57"/>
      <c r="B1349" s="58" t="s">
        <v>343</v>
      </c>
      <c r="C1349" s="62"/>
      <c r="D1349" s="49"/>
      <c r="E1349" s="609">
        <f t="shared" si="23"/>
        <v>0</v>
      </c>
      <c r="F1349" s="613"/>
    </row>
    <row r="1350" spans="1:6" s="14" customFormat="1" ht="30" customHeight="1" outlineLevel="1" x14ac:dyDescent="0.25">
      <c r="A1350" s="57"/>
      <c r="B1350" s="61" t="s">
        <v>343</v>
      </c>
      <c r="C1350" s="62" t="s">
        <v>344</v>
      </c>
      <c r="D1350" s="49">
        <v>4</v>
      </c>
      <c r="E1350" s="609">
        <f t="shared" si="23"/>
        <v>4</v>
      </c>
      <c r="F1350" s="613"/>
    </row>
    <row r="1351" spans="1:6" s="14" customFormat="1" ht="30" customHeight="1" outlineLevel="1" x14ac:dyDescent="0.25">
      <c r="A1351" s="57"/>
      <c r="B1351" s="58" t="s">
        <v>1140</v>
      </c>
      <c r="C1351" s="62"/>
      <c r="D1351" s="49"/>
      <c r="E1351" s="609">
        <f t="shared" ref="E1351:E1358" si="24">D1351</f>
        <v>0</v>
      </c>
      <c r="F1351" s="613"/>
    </row>
    <row r="1352" spans="1:6" s="14" customFormat="1" ht="30" customHeight="1" outlineLevel="1" x14ac:dyDescent="0.25">
      <c r="A1352" s="57"/>
      <c r="B1352" s="61" t="s">
        <v>253</v>
      </c>
      <c r="C1352" s="62" t="s">
        <v>10</v>
      </c>
      <c r="D1352" s="49">
        <v>1.5</v>
      </c>
      <c r="E1352" s="609">
        <f t="shared" si="24"/>
        <v>1.5</v>
      </c>
      <c r="F1352" s="613"/>
    </row>
    <row r="1353" spans="1:6" s="14" customFormat="1" ht="30" customHeight="1" outlineLevel="1" x14ac:dyDescent="0.25">
      <c r="A1353" s="57"/>
      <c r="B1353" s="61" t="s">
        <v>355</v>
      </c>
      <c r="C1353" s="62" t="s">
        <v>10</v>
      </c>
      <c r="D1353" s="49">
        <v>6</v>
      </c>
      <c r="E1353" s="609">
        <f t="shared" si="24"/>
        <v>6</v>
      </c>
      <c r="F1353" s="613"/>
    </row>
    <row r="1354" spans="1:6" s="14" customFormat="1" ht="30" customHeight="1" outlineLevel="1" x14ac:dyDescent="0.25">
      <c r="A1354" s="57"/>
      <c r="B1354" s="58" t="s">
        <v>1141</v>
      </c>
      <c r="C1354" s="62"/>
      <c r="D1354" s="49"/>
      <c r="E1354" s="609">
        <f t="shared" si="24"/>
        <v>0</v>
      </c>
      <c r="F1354" s="613"/>
    </row>
    <row r="1355" spans="1:6" s="14" customFormat="1" ht="30" customHeight="1" outlineLevel="1" x14ac:dyDescent="0.25">
      <c r="A1355" s="57"/>
      <c r="B1355" s="61" t="s">
        <v>1142</v>
      </c>
      <c r="C1355" s="62" t="s">
        <v>920</v>
      </c>
      <c r="D1355" s="49">
        <v>20</v>
      </c>
      <c r="E1355" s="609">
        <f t="shared" si="24"/>
        <v>20</v>
      </c>
      <c r="F1355" s="613"/>
    </row>
    <row r="1356" spans="1:6" s="14" customFormat="1" ht="30" customHeight="1" outlineLevel="1" x14ac:dyDescent="0.25">
      <c r="A1356" s="57"/>
      <c r="B1356" s="61" t="s">
        <v>1143</v>
      </c>
      <c r="C1356" s="62" t="s">
        <v>920</v>
      </c>
      <c r="D1356" s="49">
        <v>20</v>
      </c>
      <c r="E1356" s="609">
        <f t="shared" si="24"/>
        <v>20</v>
      </c>
      <c r="F1356" s="613"/>
    </row>
    <row r="1357" spans="1:6" s="14" customFormat="1" ht="30" customHeight="1" outlineLevel="1" x14ac:dyDescent="0.25">
      <c r="A1357" s="57"/>
      <c r="B1357" s="58" t="s">
        <v>1144</v>
      </c>
      <c r="C1357" s="62"/>
      <c r="D1357" s="49"/>
      <c r="E1357" s="609">
        <f t="shared" si="24"/>
        <v>0</v>
      </c>
      <c r="F1357" s="613"/>
    </row>
    <row r="1358" spans="1:6" s="14" customFormat="1" ht="30" customHeight="1" outlineLevel="1" x14ac:dyDescent="0.25">
      <c r="A1358" s="57"/>
      <c r="B1358" s="76" t="s">
        <v>1145</v>
      </c>
      <c r="C1358" s="62" t="s">
        <v>920</v>
      </c>
      <c r="D1358" s="49">
        <v>20</v>
      </c>
      <c r="E1358" s="609">
        <f t="shared" si="24"/>
        <v>20</v>
      </c>
      <c r="F1358" s="613"/>
    </row>
    <row r="1359" spans="1:6" s="14" customFormat="1" ht="30" customHeight="1" x14ac:dyDescent="0.25">
      <c r="A1359" s="73" t="s">
        <v>130</v>
      </c>
      <c r="B1359" s="74" t="s">
        <v>333</v>
      </c>
      <c r="C1359" s="75" t="s">
        <v>334</v>
      </c>
      <c r="D1359" s="53">
        <v>1</v>
      </c>
      <c r="E1359" s="609">
        <f t="shared" si="22"/>
        <v>1</v>
      </c>
      <c r="F1359" s="613"/>
    </row>
    <row r="1360" spans="1:6" s="14" customFormat="1" ht="30" customHeight="1" outlineLevel="1" x14ac:dyDescent="0.25">
      <c r="A1360" s="57"/>
      <c r="B1360" s="61" t="s">
        <v>335</v>
      </c>
      <c r="C1360" s="62" t="s">
        <v>139</v>
      </c>
      <c r="D1360" s="49">
        <v>21.052529999999997</v>
      </c>
      <c r="E1360" s="609">
        <f t="shared" si="22"/>
        <v>21.052529999999997</v>
      </c>
      <c r="F1360" s="613"/>
    </row>
    <row r="1361" spans="1:6" s="14" customFormat="1" ht="30" customHeight="1" outlineLevel="1" x14ac:dyDescent="0.25">
      <c r="A1361" s="57"/>
      <c r="B1361" s="61" t="s">
        <v>291</v>
      </c>
      <c r="C1361" s="62" t="s">
        <v>139</v>
      </c>
      <c r="D1361" s="49">
        <v>21.052529999999997</v>
      </c>
      <c r="E1361" s="609">
        <f t="shared" si="22"/>
        <v>21.052529999999997</v>
      </c>
      <c r="F1361" s="613"/>
    </row>
    <row r="1362" spans="1:6" s="14" customFormat="1" ht="30" customHeight="1" outlineLevel="1" x14ac:dyDescent="0.25">
      <c r="A1362" s="57"/>
      <c r="B1362" s="61" t="s">
        <v>336</v>
      </c>
      <c r="C1362" s="63" t="s">
        <v>139</v>
      </c>
      <c r="D1362" s="49">
        <v>21.052529999999997</v>
      </c>
      <c r="E1362" s="609">
        <f t="shared" si="22"/>
        <v>21.052529999999997</v>
      </c>
      <c r="F1362" s="613"/>
    </row>
    <row r="1363" spans="1:6" s="14" customFormat="1" ht="30" customHeight="1" outlineLevel="1" x14ac:dyDescent="0.25">
      <c r="A1363" s="57"/>
      <c r="B1363" s="61" t="s">
        <v>337</v>
      </c>
      <c r="C1363" s="62" t="s">
        <v>10</v>
      </c>
      <c r="D1363" s="49">
        <v>16.559999999999999</v>
      </c>
      <c r="E1363" s="609">
        <f t="shared" si="22"/>
        <v>16.559999999999999</v>
      </c>
      <c r="F1363" s="613"/>
    </row>
    <row r="1364" spans="1:6" s="14" customFormat="1" ht="30" customHeight="1" outlineLevel="1" x14ac:dyDescent="0.25">
      <c r="A1364" s="57"/>
      <c r="B1364" s="76" t="s">
        <v>338</v>
      </c>
      <c r="C1364" s="62" t="s">
        <v>339</v>
      </c>
      <c r="D1364" s="49">
        <v>33</v>
      </c>
      <c r="E1364" s="609">
        <f t="shared" si="22"/>
        <v>33</v>
      </c>
      <c r="F1364" s="613"/>
    </row>
    <row r="1365" spans="1:6" s="14" customFormat="1" ht="30" customHeight="1" outlineLevel="1" x14ac:dyDescent="0.25">
      <c r="A1365" s="57"/>
      <c r="B1365" s="64" t="s">
        <v>340</v>
      </c>
      <c r="C1365" s="60" t="s">
        <v>76</v>
      </c>
      <c r="D1365" s="49" t="s">
        <v>131</v>
      </c>
      <c r="E1365" s="609" t="str">
        <f t="shared" si="22"/>
        <v>12/359.84</v>
      </c>
      <c r="F1365" s="613"/>
    </row>
    <row r="1366" spans="1:6" s="14" customFormat="1" ht="30" customHeight="1" outlineLevel="1" x14ac:dyDescent="0.25">
      <c r="A1366" s="57"/>
      <c r="B1366" s="64" t="s">
        <v>341</v>
      </c>
      <c r="C1366" s="60" t="s">
        <v>116</v>
      </c>
      <c r="D1366" s="49">
        <v>41.99</v>
      </c>
      <c r="E1366" s="609">
        <f t="shared" si="22"/>
        <v>41.99</v>
      </c>
      <c r="F1366" s="613"/>
    </row>
    <row r="1367" spans="1:6" s="14" customFormat="1" ht="30" customHeight="1" outlineLevel="1" x14ac:dyDescent="0.25">
      <c r="A1367" s="57"/>
      <c r="B1367" s="61" t="s">
        <v>320</v>
      </c>
      <c r="C1367" s="62" t="s">
        <v>57</v>
      </c>
      <c r="D1367" s="49">
        <v>3.5983999999999998</v>
      </c>
      <c r="E1367" s="609">
        <f t="shared" si="22"/>
        <v>3.5983999999999998</v>
      </c>
      <c r="F1367" s="613"/>
    </row>
    <row r="1368" spans="1:6" s="14" customFormat="1" ht="30" customHeight="1" outlineLevel="1" x14ac:dyDescent="0.25">
      <c r="A1368" s="57"/>
      <c r="B1368" s="61" t="s">
        <v>321</v>
      </c>
      <c r="C1368" s="62" t="s">
        <v>57</v>
      </c>
      <c r="D1368" s="49">
        <v>0.72160000000000024</v>
      </c>
      <c r="E1368" s="609">
        <f t="shared" si="22"/>
        <v>0.72160000000000024</v>
      </c>
      <c r="F1368" s="613"/>
    </row>
    <row r="1369" spans="1:6" s="14" customFormat="1" ht="30" customHeight="1" outlineLevel="1" x14ac:dyDescent="0.25">
      <c r="A1369" s="57"/>
      <c r="B1369" s="61" t="s">
        <v>322</v>
      </c>
      <c r="C1369" s="62" t="s">
        <v>57</v>
      </c>
      <c r="D1369" s="49">
        <v>3.5983999999999998</v>
      </c>
      <c r="E1369" s="609">
        <f t="shared" si="22"/>
        <v>3.5983999999999998</v>
      </c>
      <c r="F1369" s="613"/>
    </row>
    <row r="1370" spans="1:6" s="14" customFormat="1" ht="30" customHeight="1" outlineLevel="1" x14ac:dyDescent="0.25">
      <c r="A1370" s="57"/>
      <c r="B1370" s="61" t="s">
        <v>342</v>
      </c>
      <c r="C1370" s="63" t="s">
        <v>77</v>
      </c>
      <c r="D1370" s="49">
        <v>41.99</v>
      </c>
      <c r="E1370" s="609">
        <f t="shared" si="22"/>
        <v>41.99</v>
      </c>
      <c r="F1370" s="613"/>
    </row>
    <row r="1371" spans="1:6" s="14" customFormat="1" ht="30" customHeight="1" outlineLevel="1" x14ac:dyDescent="0.25">
      <c r="A1371" s="57"/>
      <c r="B1371" s="61" t="s">
        <v>343</v>
      </c>
      <c r="C1371" s="62" t="s">
        <v>344</v>
      </c>
      <c r="D1371" s="49">
        <v>2</v>
      </c>
      <c r="E1371" s="609">
        <f t="shared" si="22"/>
        <v>2</v>
      </c>
      <c r="F1371" s="613"/>
    </row>
    <row r="1372" spans="1:6" s="14" customFormat="1" ht="30" customHeight="1" x14ac:dyDescent="0.25">
      <c r="A1372" s="73" t="s">
        <v>132</v>
      </c>
      <c r="B1372" s="74" t="s">
        <v>345</v>
      </c>
      <c r="C1372" s="75" t="s">
        <v>334</v>
      </c>
      <c r="D1372" s="53">
        <v>1</v>
      </c>
      <c r="E1372" s="609">
        <f t="shared" si="22"/>
        <v>1</v>
      </c>
      <c r="F1372" s="613"/>
    </row>
    <row r="1373" spans="1:6" s="14" customFormat="1" ht="30" customHeight="1" outlineLevel="1" x14ac:dyDescent="0.25">
      <c r="A1373" s="57">
        <v>1</v>
      </c>
      <c r="B1373" s="111" t="s">
        <v>346</v>
      </c>
      <c r="C1373" s="110" t="s">
        <v>77</v>
      </c>
      <c r="D1373" s="49">
        <v>63.160000000000004</v>
      </c>
      <c r="E1373" s="609">
        <f t="shared" ref="E1373:E1387" si="25">D1373</f>
        <v>63.160000000000004</v>
      </c>
      <c r="F1373" s="613"/>
    </row>
    <row r="1374" spans="1:6" s="14" customFormat="1" ht="30" customHeight="1" outlineLevel="2" x14ac:dyDescent="0.25">
      <c r="A1374" s="57"/>
      <c r="B1374" s="112" t="s">
        <v>347</v>
      </c>
      <c r="C1374" s="107" t="s">
        <v>116</v>
      </c>
      <c r="D1374" s="49">
        <v>41.99</v>
      </c>
      <c r="E1374" s="609">
        <f t="shared" si="25"/>
        <v>41.99</v>
      </c>
      <c r="F1374" s="613"/>
    </row>
    <row r="1375" spans="1:6" s="14" customFormat="1" ht="30" customHeight="1" outlineLevel="2" x14ac:dyDescent="0.25">
      <c r="A1375" s="57"/>
      <c r="B1375" s="112" t="s">
        <v>348</v>
      </c>
      <c r="C1375" s="107" t="s">
        <v>116</v>
      </c>
      <c r="D1375" s="49">
        <v>16.28</v>
      </c>
      <c r="E1375" s="609">
        <f t="shared" si="25"/>
        <v>16.28</v>
      </c>
      <c r="F1375" s="613"/>
    </row>
    <row r="1376" spans="1:6" s="14" customFormat="1" ht="30" customHeight="1" outlineLevel="2" x14ac:dyDescent="0.25">
      <c r="A1376" s="57"/>
      <c r="B1376" s="112" t="s">
        <v>349</v>
      </c>
      <c r="C1376" s="107" t="s">
        <v>116</v>
      </c>
      <c r="D1376" s="49">
        <v>4.4400000000000004</v>
      </c>
      <c r="E1376" s="609">
        <f t="shared" si="25"/>
        <v>4.4400000000000004</v>
      </c>
      <c r="F1376" s="613"/>
    </row>
    <row r="1377" spans="1:9" s="14" customFormat="1" ht="30" customHeight="1" outlineLevel="2" x14ac:dyDescent="0.25">
      <c r="A1377" s="57"/>
      <c r="B1377" s="112" t="s">
        <v>350</v>
      </c>
      <c r="C1377" s="107" t="s">
        <v>116</v>
      </c>
      <c r="D1377" s="49">
        <v>0.45</v>
      </c>
      <c r="E1377" s="609">
        <f t="shared" si="25"/>
        <v>0.45</v>
      </c>
      <c r="F1377" s="613"/>
    </row>
    <row r="1378" spans="1:9" s="14" customFormat="1" ht="30" customHeight="1" outlineLevel="1" x14ac:dyDescent="0.25">
      <c r="A1378" s="57">
        <v>2</v>
      </c>
      <c r="B1378" s="111" t="s">
        <v>351</v>
      </c>
      <c r="C1378" s="110" t="s">
        <v>116</v>
      </c>
      <c r="D1378" s="49">
        <v>3.6899999999999995</v>
      </c>
      <c r="E1378" s="609">
        <f t="shared" si="25"/>
        <v>3.6899999999999995</v>
      </c>
      <c r="F1378" s="613"/>
    </row>
    <row r="1379" spans="1:9" s="14" customFormat="1" ht="30" customHeight="1" outlineLevel="2" x14ac:dyDescent="0.25">
      <c r="A1379" s="57"/>
      <c r="B1379" s="112" t="s">
        <v>352</v>
      </c>
      <c r="C1379" s="62" t="s">
        <v>139</v>
      </c>
      <c r="D1379" s="49">
        <v>3.6899999999999995</v>
      </c>
      <c r="E1379" s="609">
        <f t="shared" si="25"/>
        <v>3.6899999999999995</v>
      </c>
      <c r="F1379" s="613"/>
    </row>
    <row r="1380" spans="1:9" s="14" customFormat="1" ht="30" customHeight="1" outlineLevel="2" x14ac:dyDescent="0.25">
      <c r="A1380" s="57"/>
      <c r="B1380" s="61" t="s">
        <v>291</v>
      </c>
      <c r="C1380" s="62" t="s">
        <v>139</v>
      </c>
      <c r="D1380" s="49">
        <v>66.850000000000009</v>
      </c>
      <c r="E1380" s="609">
        <f t="shared" si="25"/>
        <v>66.850000000000009</v>
      </c>
      <c r="F1380" s="613"/>
    </row>
    <row r="1381" spans="1:9" s="14" customFormat="1" ht="30" customHeight="1" outlineLevel="2" x14ac:dyDescent="0.25">
      <c r="A1381" s="57"/>
      <c r="B1381" s="61" t="s">
        <v>353</v>
      </c>
      <c r="C1381" s="63" t="s">
        <v>139</v>
      </c>
      <c r="D1381" s="49">
        <v>66.850000000000009</v>
      </c>
      <c r="E1381" s="609">
        <f t="shared" si="25"/>
        <v>66.850000000000009</v>
      </c>
      <c r="F1381" s="613"/>
    </row>
    <row r="1382" spans="1:9" s="14" customFormat="1" ht="30" customHeight="1" outlineLevel="2" x14ac:dyDescent="0.25">
      <c r="A1382" s="57"/>
      <c r="B1382" s="61" t="s">
        <v>354</v>
      </c>
      <c r="C1382" s="62" t="s">
        <v>10</v>
      </c>
      <c r="D1382" s="49">
        <v>4.4000000000000004</v>
      </c>
      <c r="E1382" s="609">
        <f t="shared" si="25"/>
        <v>4.4000000000000004</v>
      </c>
      <c r="F1382" s="613"/>
    </row>
    <row r="1383" spans="1:9" s="14" customFormat="1" ht="30" customHeight="1" outlineLevel="2" x14ac:dyDescent="0.25">
      <c r="A1383" s="57"/>
      <c r="B1383" s="61" t="s">
        <v>355</v>
      </c>
      <c r="C1383" s="62" t="s">
        <v>10</v>
      </c>
      <c r="D1383" s="49">
        <v>4.4000000000000004</v>
      </c>
      <c r="E1383" s="609">
        <f t="shared" si="25"/>
        <v>4.4000000000000004</v>
      </c>
      <c r="F1383" s="613"/>
    </row>
    <row r="1384" spans="1:9" s="14" customFormat="1" ht="30" customHeight="1" outlineLevel="1" x14ac:dyDescent="0.25">
      <c r="A1384" s="57">
        <v>3</v>
      </c>
      <c r="B1384" s="58" t="s">
        <v>356</v>
      </c>
      <c r="C1384" s="60" t="s">
        <v>76</v>
      </c>
      <c r="D1384" s="49" t="s">
        <v>133</v>
      </c>
      <c r="E1384" s="609" t="str">
        <f t="shared" si="25"/>
        <v>24/180</v>
      </c>
      <c r="F1384" s="613"/>
    </row>
    <row r="1385" spans="1:9" s="14" customFormat="1" ht="30" customHeight="1" outlineLevel="1" x14ac:dyDescent="0.25">
      <c r="A1385" s="57"/>
      <c r="B1385" s="61" t="s">
        <v>320</v>
      </c>
      <c r="C1385" s="62" t="s">
        <v>57</v>
      </c>
      <c r="D1385" s="49">
        <v>1.8</v>
      </c>
      <c r="E1385" s="609">
        <f t="shared" si="25"/>
        <v>1.8</v>
      </c>
      <c r="F1385" s="613"/>
    </row>
    <row r="1386" spans="1:9" s="14" customFormat="1" ht="30" customHeight="1" outlineLevel="1" x14ac:dyDescent="0.25">
      <c r="A1386" s="57"/>
      <c r="B1386" s="61" t="s">
        <v>321</v>
      </c>
      <c r="C1386" s="62" t="s">
        <v>57</v>
      </c>
      <c r="D1386" s="49">
        <v>2.52</v>
      </c>
      <c r="E1386" s="609">
        <f t="shared" si="25"/>
        <v>2.52</v>
      </c>
      <c r="F1386" s="613"/>
    </row>
    <row r="1387" spans="1:9" s="14" customFormat="1" ht="30" customHeight="1" outlineLevel="1" x14ac:dyDescent="0.25">
      <c r="A1387" s="57"/>
      <c r="B1387" s="61" t="s">
        <v>322</v>
      </c>
      <c r="C1387" s="62" t="s">
        <v>57</v>
      </c>
      <c r="D1387" s="49">
        <v>1.8</v>
      </c>
      <c r="E1387" s="609">
        <f t="shared" si="25"/>
        <v>1.8</v>
      </c>
      <c r="F1387" s="613"/>
    </row>
    <row r="1388" spans="1:9" s="14" customFormat="1" ht="48" customHeight="1" x14ac:dyDescent="0.25">
      <c r="A1388" s="73" t="s">
        <v>969</v>
      </c>
      <c r="B1388" s="602" t="s">
        <v>1146</v>
      </c>
      <c r="C1388" s="603"/>
      <c r="D1388" s="53"/>
      <c r="E1388" s="616"/>
      <c r="F1388" s="613"/>
    </row>
    <row r="1389" spans="1:9" s="14" customFormat="1" ht="48" customHeight="1" x14ac:dyDescent="0.25">
      <c r="A1389" s="617"/>
      <c r="B1389" s="618"/>
      <c r="C1389" s="619"/>
      <c r="D1389" s="587"/>
      <c r="E1389" s="620"/>
      <c r="F1389" s="621"/>
    </row>
    <row r="1390" spans="1:9" ht="32.25" customHeight="1" x14ac:dyDescent="0.25">
      <c r="D1390" s="585"/>
      <c r="E1390" s="606" t="s">
        <v>36</v>
      </c>
      <c r="F1390" s="586"/>
    </row>
    <row r="1391" spans="1:9" ht="9" customHeight="1" x14ac:dyDescent="0.25"/>
    <row r="1392" spans="1:9" ht="16.5" x14ac:dyDescent="0.25">
      <c r="A1392" s="41" t="s">
        <v>35</v>
      </c>
      <c r="C1392" s="130"/>
      <c r="D1392" s="11"/>
      <c r="E1392" s="11"/>
      <c r="F1392" s="130"/>
      <c r="G1392" s="11"/>
      <c r="H1392" s="11"/>
      <c r="I1392" s="11"/>
    </row>
    <row r="1393" spans="1:9" x14ac:dyDescent="0.25">
      <c r="A1393" s="9"/>
      <c r="B1393" s="9"/>
      <c r="C1393" s="12"/>
      <c r="D1393" s="9"/>
      <c r="E1393" s="9"/>
      <c r="F1393" s="9"/>
      <c r="G1393" s="10"/>
      <c r="H1393" s="10"/>
      <c r="I1393" s="10"/>
    </row>
    <row r="1396" spans="1:9" x14ac:dyDescent="0.25">
      <c r="F1396" s="6"/>
    </row>
    <row r="1397" spans="1:9" x14ac:dyDescent="0.25">
      <c r="F1397" s="5"/>
    </row>
    <row r="1398" spans="1:9" x14ac:dyDescent="0.25">
      <c r="B1398" s="7"/>
      <c r="F1398" s="8"/>
    </row>
    <row r="1399" spans="1:9" ht="16.5" x14ac:dyDescent="0.25">
      <c r="B1399" s="130"/>
      <c r="C1399" s="130"/>
      <c r="D1399" s="1151"/>
      <c r="E1399" s="1151"/>
      <c r="F1399" s="1151"/>
    </row>
  </sheetData>
  <mergeCells count="15">
    <mergeCell ref="G7:M7"/>
    <mergeCell ref="A1:F1"/>
    <mergeCell ref="G2:M2"/>
    <mergeCell ref="G3:M3"/>
    <mergeCell ref="G5:M5"/>
    <mergeCell ref="G6:M6"/>
    <mergeCell ref="D1399:F1399"/>
    <mergeCell ref="G8:M8"/>
    <mergeCell ref="A10:F10"/>
    <mergeCell ref="A11:A13"/>
    <mergeCell ref="B11:B13"/>
    <mergeCell ref="C11:C13"/>
    <mergeCell ref="D11:E12"/>
    <mergeCell ref="F11:F13"/>
    <mergeCell ref="H11:H13"/>
  </mergeCells>
  <printOptions horizontalCentered="1"/>
  <pageMargins left="7.874015748031496E-2" right="7.874015748031496E-2" top="0.59055118110236227" bottom="0.39370078740157483" header="0.31496062992125984" footer="0.19685039370078741"/>
  <pageSetup paperSize="9" scale="77" orientation="landscape" r:id="rId1"/>
  <headerFooter>
    <oddFooter>&amp;C&amp;"Times New Roman,thường"[&amp;P/&amp;N]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1399"/>
  <sheetViews>
    <sheetView showGridLines="0" tabSelected="1" view="pageBreakPreview" topLeftCell="A1076" zoomScale="70" zoomScaleSheetLayoutView="70" workbookViewId="0">
      <selection activeCell="D1080" sqref="D1080"/>
    </sheetView>
  </sheetViews>
  <sheetFormatPr defaultRowHeight="15.75" outlineLevelRow="2" x14ac:dyDescent="0.25"/>
  <cols>
    <col min="1" max="1" width="7.28515625" style="2" customWidth="1"/>
    <col min="2" max="2" width="37" style="1" customWidth="1"/>
    <col min="3" max="3" width="10.5703125" style="2" customWidth="1"/>
    <col min="4" max="5" width="14.28515625" style="3" customWidth="1"/>
    <col min="6" max="6" width="55" style="19" customWidth="1"/>
    <col min="7" max="7" width="39.85546875" style="4" customWidth="1"/>
    <col min="8" max="8" width="39" style="1" customWidth="1"/>
    <col min="9" max="9" width="11.5703125" style="1" bestFit="1" customWidth="1"/>
    <col min="10" max="10" width="13.42578125" style="1" customWidth="1"/>
    <col min="11" max="11" width="12.85546875" style="1" bestFit="1" customWidth="1"/>
    <col min="12" max="12" width="15.42578125" style="1" customWidth="1"/>
    <col min="13" max="13" width="17.5703125" style="1" customWidth="1"/>
    <col min="14" max="14" width="21.85546875" style="1" customWidth="1"/>
    <col min="15" max="15" width="9.140625" style="1"/>
    <col min="16" max="16" width="21.85546875" style="1" customWidth="1"/>
    <col min="17" max="249" width="9.140625" style="1"/>
    <col min="250" max="250" width="6.140625" style="1" customWidth="1"/>
    <col min="251" max="251" width="31.5703125" style="1" customWidth="1"/>
    <col min="252" max="252" width="7.28515625" style="1" customWidth="1"/>
    <col min="253" max="253" width="11.85546875" style="1" customWidth="1"/>
    <col min="254" max="254" width="9.5703125" style="1" bestFit="1" customWidth="1"/>
    <col min="255" max="255" width="10.5703125" style="1" customWidth="1"/>
    <col min="256" max="256" width="11.28515625" style="1" customWidth="1"/>
    <col min="257" max="257" width="11.42578125" style="1" bestFit="1" customWidth="1"/>
    <col min="258" max="258" width="11.7109375" style="1" customWidth="1"/>
    <col min="259" max="259" width="13.85546875" style="1" customWidth="1"/>
    <col min="260" max="505" width="9.140625" style="1"/>
    <col min="506" max="506" width="6.140625" style="1" customWidth="1"/>
    <col min="507" max="507" width="31.5703125" style="1" customWidth="1"/>
    <col min="508" max="508" width="7.28515625" style="1" customWidth="1"/>
    <col min="509" max="509" width="11.85546875" style="1" customWidth="1"/>
    <col min="510" max="510" width="9.5703125" style="1" bestFit="1" customWidth="1"/>
    <col min="511" max="511" width="10.5703125" style="1" customWidth="1"/>
    <col min="512" max="512" width="11.28515625" style="1" customWidth="1"/>
    <col min="513" max="513" width="11.42578125" style="1" bestFit="1" customWidth="1"/>
    <col min="514" max="514" width="11.7109375" style="1" customWidth="1"/>
    <col min="515" max="515" width="13.85546875" style="1" customWidth="1"/>
    <col min="516" max="761" width="9.140625" style="1"/>
    <col min="762" max="762" width="6.140625" style="1" customWidth="1"/>
    <col min="763" max="763" width="31.5703125" style="1" customWidth="1"/>
    <col min="764" max="764" width="7.28515625" style="1" customWidth="1"/>
    <col min="765" max="765" width="11.85546875" style="1" customWidth="1"/>
    <col min="766" max="766" width="9.5703125" style="1" bestFit="1" customWidth="1"/>
    <col min="767" max="767" width="10.5703125" style="1" customWidth="1"/>
    <col min="768" max="768" width="11.28515625" style="1" customWidth="1"/>
    <col min="769" max="769" width="11.42578125" style="1" bestFit="1" customWidth="1"/>
    <col min="770" max="770" width="11.7109375" style="1" customWidth="1"/>
    <col min="771" max="771" width="13.85546875" style="1" customWidth="1"/>
    <col min="772" max="1017" width="9.140625" style="1"/>
    <col min="1018" max="1018" width="6.140625" style="1" customWidth="1"/>
    <col min="1019" max="1019" width="31.5703125" style="1" customWidth="1"/>
    <col min="1020" max="1020" width="7.28515625" style="1" customWidth="1"/>
    <col min="1021" max="1021" width="11.85546875" style="1" customWidth="1"/>
    <col min="1022" max="1022" width="9.5703125" style="1" bestFit="1" customWidth="1"/>
    <col min="1023" max="1023" width="10.5703125" style="1" customWidth="1"/>
    <col min="1024" max="1024" width="11.28515625" style="1" customWidth="1"/>
    <col min="1025" max="1025" width="11.42578125" style="1" bestFit="1" customWidth="1"/>
    <col min="1026" max="1026" width="11.7109375" style="1" customWidth="1"/>
    <col min="1027" max="1027" width="13.85546875" style="1" customWidth="1"/>
    <col min="1028" max="1273" width="9.140625" style="1"/>
    <col min="1274" max="1274" width="6.140625" style="1" customWidth="1"/>
    <col min="1275" max="1275" width="31.5703125" style="1" customWidth="1"/>
    <col min="1276" max="1276" width="7.28515625" style="1" customWidth="1"/>
    <col min="1277" max="1277" width="11.85546875" style="1" customWidth="1"/>
    <col min="1278" max="1278" width="9.5703125" style="1" bestFit="1" customWidth="1"/>
    <col min="1279" max="1279" width="10.5703125" style="1" customWidth="1"/>
    <col min="1280" max="1280" width="11.28515625" style="1" customWidth="1"/>
    <col min="1281" max="1281" width="11.42578125" style="1" bestFit="1" customWidth="1"/>
    <col min="1282" max="1282" width="11.7109375" style="1" customWidth="1"/>
    <col min="1283" max="1283" width="13.85546875" style="1" customWidth="1"/>
    <col min="1284" max="1529" width="9.140625" style="1"/>
    <col min="1530" max="1530" width="6.140625" style="1" customWidth="1"/>
    <col min="1531" max="1531" width="31.5703125" style="1" customWidth="1"/>
    <col min="1532" max="1532" width="7.28515625" style="1" customWidth="1"/>
    <col min="1533" max="1533" width="11.85546875" style="1" customWidth="1"/>
    <col min="1534" max="1534" width="9.5703125" style="1" bestFit="1" customWidth="1"/>
    <col min="1535" max="1535" width="10.5703125" style="1" customWidth="1"/>
    <col min="1536" max="1536" width="11.28515625" style="1" customWidth="1"/>
    <col min="1537" max="1537" width="11.42578125" style="1" bestFit="1" customWidth="1"/>
    <col min="1538" max="1538" width="11.7109375" style="1" customWidth="1"/>
    <col min="1539" max="1539" width="13.85546875" style="1" customWidth="1"/>
    <col min="1540" max="1785" width="9.140625" style="1"/>
    <col min="1786" max="1786" width="6.140625" style="1" customWidth="1"/>
    <col min="1787" max="1787" width="31.5703125" style="1" customWidth="1"/>
    <col min="1788" max="1788" width="7.28515625" style="1" customWidth="1"/>
    <col min="1789" max="1789" width="11.85546875" style="1" customWidth="1"/>
    <col min="1790" max="1790" width="9.5703125" style="1" bestFit="1" customWidth="1"/>
    <col min="1791" max="1791" width="10.5703125" style="1" customWidth="1"/>
    <col min="1792" max="1792" width="11.28515625" style="1" customWidth="1"/>
    <col min="1793" max="1793" width="11.42578125" style="1" bestFit="1" customWidth="1"/>
    <col min="1794" max="1794" width="11.7109375" style="1" customWidth="1"/>
    <col min="1795" max="1795" width="13.85546875" style="1" customWidth="1"/>
    <col min="1796" max="2041" width="9.140625" style="1"/>
    <col min="2042" max="2042" width="6.140625" style="1" customWidth="1"/>
    <col min="2043" max="2043" width="31.5703125" style="1" customWidth="1"/>
    <col min="2044" max="2044" width="7.28515625" style="1" customWidth="1"/>
    <col min="2045" max="2045" width="11.85546875" style="1" customWidth="1"/>
    <col min="2046" max="2046" width="9.5703125" style="1" bestFit="1" customWidth="1"/>
    <col min="2047" max="2047" width="10.5703125" style="1" customWidth="1"/>
    <col min="2048" max="2048" width="11.28515625" style="1" customWidth="1"/>
    <col min="2049" max="2049" width="11.42578125" style="1" bestFit="1" customWidth="1"/>
    <col min="2050" max="2050" width="11.7109375" style="1" customWidth="1"/>
    <col min="2051" max="2051" width="13.85546875" style="1" customWidth="1"/>
    <col min="2052" max="2297" width="9.140625" style="1"/>
    <col min="2298" max="2298" width="6.140625" style="1" customWidth="1"/>
    <col min="2299" max="2299" width="31.5703125" style="1" customWidth="1"/>
    <col min="2300" max="2300" width="7.28515625" style="1" customWidth="1"/>
    <col min="2301" max="2301" width="11.85546875" style="1" customWidth="1"/>
    <col min="2302" max="2302" width="9.5703125" style="1" bestFit="1" customWidth="1"/>
    <col min="2303" max="2303" width="10.5703125" style="1" customWidth="1"/>
    <col min="2304" max="2304" width="11.28515625" style="1" customWidth="1"/>
    <col min="2305" max="2305" width="11.42578125" style="1" bestFit="1" customWidth="1"/>
    <col min="2306" max="2306" width="11.7109375" style="1" customWidth="1"/>
    <col min="2307" max="2307" width="13.85546875" style="1" customWidth="1"/>
    <col min="2308" max="2553" width="9.140625" style="1"/>
    <col min="2554" max="2554" width="6.140625" style="1" customWidth="1"/>
    <col min="2555" max="2555" width="31.5703125" style="1" customWidth="1"/>
    <col min="2556" max="2556" width="7.28515625" style="1" customWidth="1"/>
    <col min="2557" max="2557" width="11.85546875" style="1" customWidth="1"/>
    <col min="2558" max="2558" width="9.5703125" style="1" bestFit="1" customWidth="1"/>
    <col min="2559" max="2559" width="10.5703125" style="1" customWidth="1"/>
    <col min="2560" max="2560" width="11.28515625" style="1" customWidth="1"/>
    <col min="2561" max="2561" width="11.42578125" style="1" bestFit="1" customWidth="1"/>
    <col min="2562" max="2562" width="11.7109375" style="1" customWidth="1"/>
    <col min="2563" max="2563" width="13.85546875" style="1" customWidth="1"/>
    <col min="2564" max="2809" width="9.140625" style="1"/>
    <col min="2810" max="2810" width="6.140625" style="1" customWidth="1"/>
    <col min="2811" max="2811" width="31.5703125" style="1" customWidth="1"/>
    <col min="2812" max="2812" width="7.28515625" style="1" customWidth="1"/>
    <col min="2813" max="2813" width="11.85546875" style="1" customWidth="1"/>
    <col min="2814" max="2814" width="9.5703125" style="1" bestFit="1" customWidth="1"/>
    <col min="2815" max="2815" width="10.5703125" style="1" customWidth="1"/>
    <col min="2816" max="2816" width="11.28515625" style="1" customWidth="1"/>
    <col min="2817" max="2817" width="11.42578125" style="1" bestFit="1" customWidth="1"/>
    <col min="2818" max="2818" width="11.7109375" style="1" customWidth="1"/>
    <col min="2819" max="2819" width="13.85546875" style="1" customWidth="1"/>
    <col min="2820" max="3065" width="9.140625" style="1"/>
    <col min="3066" max="3066" width="6.140625" style="1" customWidth="1"/>
    <col min="3067" max="3067" width="31.5703125" style="1" customWidth="1"/>
    <col min="3068" max="3068" width="7.28515625" style="1" customWidth="1"/>
    <col min="3069" max="3069" width="11.85546875" style="1" customWidth="1"/>
    <col min="3070" max="3070" width="9.5703125" style="1" bestFit="1" customWidth="1"/>
    <col min="3071" max="3071" width="10.5703125" style="1" customWidth="1"/>
    <col min="3072" max="3072" width="11.28515625" style="1" customWidth="1"/>
    <col min="3073" max="3073" width="11.42578125" style="1" bestFit="1" customWidth="1"/>
    <col min="3074" max="3074" width="11.7109375" style="1" customWidth="1"/>
    <col min="3075" max="3075" width="13.85546875" style="1" customWidth="1"/>
    <col min="3076" max="3321" width="9.140625" style="1"/>
    <col min="3322" max="3322" width="6.140625" style="1" customWidth="1"/>
    <col min="3323" max="3323" width="31.5703125" style="1" customWidth="1"/>
    <col min="3324" max="3324" width="7.28515625" style="1" customWidth="1"/>
    <col min="3325" max="3325" width="11.85546875" style="1" customWidth="1"/>
    <col min="3326" max="3326" width="9.5703125" style="1" bestFit="1" customWidth="1"/>
    <col min="3327" max="3327" width="10.5703125" style="1" customWidth="1"/>
    <col min="3328" max="3328" width="11.28515625" style="1" customWidth="1"/>
    <col min="3329" max="3329" width="11.42578125" style="1" bestFit="1" customWidth="1"/>
    <col min="3330" max="3330" width="11.7109375" style="1" customWidth="1"/>
    <col min="3331" max="3331" width="13.85546875" style="1" customWidth="1"/>
    <col min="3332" max="3577" width="9.140625" style="1"/>
    <col min="3578" max="3578" width="6.140625" style="1" customWidth="1"/>
    <col min="3579" max="3579" width="31.5703125" style="1" customWidth="1"/>
    <col min="3580" max="3580" width="7.28515625" style="1" customWidth="1"/>
    <col min="3581" max="3581" width="11.85546875" style="1" customWidth="1"/>
    <col min="3582" max="3582" width="9.5703125" style="1" bestFit="1" customWidth="1"/>
    <col min="3583" max="3583" width="10.5703125" style="1" customWidth="1"/>
    <col min="3584" max="3584" width="11.28515625" style="1" customWidth="1"/>
    <col min="3585" max="3585" width="11.42578125" style="1" bestFit="1" customWidth="1"/>
    <col min="3586" max="3586" width="11.7109375" style="1" customWidth="1"/>
    <col min="3587" max="3587" width="13.85546875" style="1" customWidth="1"/>
    <col min="3588" max="3833" width="9.140625" style="1"/>
    <col min="3834" max="3834" width="6.140625" style="1" customWidth="1"/>
    <col min="3835" max="3835" width="31.5703125" style="1" customWidth="1"/>
    <col min="3836" max="3836" width="7.28515625" style="1" customWidth="1"/>
    <col min="3837" max="3837" width="11.85546875" style="1" customWidth="1"/>
    <col min="3838" max="3838" width="9.5703125" style="1" bestFit="1" customWidth="1"/>
    <col min="3839" max="3839" width="10.5703125" style="1" customWidth="1"/>
    <col min="3840" max="3840" width="11.28515625" style="1" customWidth="1"/>
    <col min="3841" max="3841" width="11.42578125" style="1" bestFit="1" customWidth="1"/>
    <col min="3842" max="3842" width="11.7109375" style="1" customWidth="1"/>
    <col min="3843" max="3843" width="13.85546875" style="1" customWidth="1"/>
    <col min="3844" max="4089" width="9.140625" style="1"/>
    <col min="4090" max="4090" width="6.140625" style="1" customWidth="1"/>
    <col min="4091" max="4091" width="31.5703125" style="1" customWidth="1"/>
    <col min="4092" max="4092" width="7.28515625" style="1" customWidth="1"/>
    <col min="4093" max="4093" width="11.85546875" style="1" customWidth="1"/>
    <col min="4094" max="4094" width="9.5703125" style="1" bestFit="1" customWidth="1"/>
    <col min="4095" max="4095" width="10.5703125" style="1" customWidth="1"/>
    <col min="4096" max="4096" width="11.28515625" style="1" customWidth="1"/>
    <col min="4097" max="4097" width="11.42578125" style="1" bestFit="1" customWidth="1"/>
    <col min="4098" max="4098" width="11.7109375" style="1" customWidth="1"/>
    <col min="4099" max="4099" width="13.85546875" style="1" customWidth="1"/>
    <col min="4100" max="4345" width="9.140625" style="1"/>
    <col min="4346" max="4346" width="6.140625" style="1" customWidth="1"/>
    <col min="4347" max="4347" width="31.5703125" style="1" customWidth="1"/>
    <col min="4348" max="4348" width="7.28515625" style="1" customWidth="1"/>
    <col min="4349" max="4349" width="11.85546875" style="1" customWidth="1"/>
    <col min="4350" max="4350" width="9.5703125" style="1" bestFit="1" customWidth="1"/>
    <col min="4351" max="4351" width="10.5703125" style="1" customWidth="1"/>
    <col min="4352" max="4352" width="11.28515625" style="1" customWidth="1"/>
    <col min="4353" max="4353" width="11.42578125" style="1" bestFit="1" customWidth="1"/>
    <col min="4354" max="4354" width="11.7109375" style="1" customWidth="1"/>
    <col min="4355" max="4355" width="13.85546875" style="1" customWidth="1"/>
    <col min="4356" max="4601" width="9.140625" style="1"/>
    <col min="4602" max="4602" width="6.140625" style="1" customWidth="1"/>
    <col min="4603" max="4603" width="31.5703125" style="1" customWidth="1"/>
    <col min="4604" max="4604" width="7.28515625" style="1" customWidth="1"/>
    <col min="4605" max="4605" width="11.85546875" style="1" customWidth="1"/>
    <col min="4606" max="4606" width="9.5703125" style="1" bestFit="1" customWidth="1"/>
    <col min="4607" max="4607" width="10.5703125" style="1" customWidth="1"/>
    <col min="4608" max="4608" width="11.28515625" style="1" customWidth="1"/>
    <col min="4609" max="4609" width="11.42578125" style="1" bestFit="1" customWidth="1"/>
    <col min="4610" max="4610" width="11.7109375" style="1" customWidth="1"/>
    <col min="4611" max="4611" width="13.85546875" style="1" customWidth="1"/>
    <col min="4612" max="4857" width="9.140625" style="1"/>
    <col min="4858" max="4858" width="6.140625" style="1" customWidth="1"/>
    <col min="4859" max="4859" width="31.5703125" style="1" customWidth="1"/>
    <col min="4860" max="4860" width="7.28515625" style="1" customWidth="1"/>
    <col min="4861" max="4861" width="11.85546875" style="1" customWidth="1"/>
    <col min="4862" max="4862" width="9.5703125" style="1" bestFit="1" customWidth="1"/>
    <col min="4863" max="4863" width="10.5703125" style="1" customWidth="1"/>
    <col min="4864" max="4864" width="11.28515625" style="1" customWidth="1"/>
    <col min="4865" max="4865" width="11.42578125" style="1" bestFit="1" customWidth="1"/>
    <col min="4866" max="4866" width="11.7109375" style="1" customWidth="1"/>
    <col min="4867" max="4867" width="13.85546875" style="1" customWidth="1"/>
    <col min="4868" max="5113" width="9.140625" style="1"/>
    <col min="5114" max="5114" width="6.140625" style="1" customWidth="1"/>
    <col min="5115" max="5115" width="31.5703125" style="1" customWidth="1"/>
    <col min="5116" max="5116" width="7.28515625" style="1" customWidth="1"/>
    <col min="5117" max="5117" width="11.85546875" style="1" customWidth="1"/>
    <col min="5118" max="5118" width="9.5703125" style="1" bestFit="1" customWidth="1"/>
    <col min="5119" max="5119" width="10.5703125" style="1" customWidth="1"/>
    <col min="5120" max="5120" width="11.28515625" style="1" customWidth="1"/>
    <col min="5121" max="5121" width="11.42578125" style="1" bestFit="1" customWidth="1"/>
    <col min="5122" max="5122" width="11.7109375" style="1" customWidth="1"/>
    <col min="5123" max="5123" width="13.85546875" style="1" customWidth="1"/>
    <col min="5124" max="5369" width="9.140625" style="1"/>
    <col min="5370" max="5370" width="6.140625" style="1" customWidth="1"/>
    <col min="5371" max="5371" width="31.5703125" style="1" customWidth="1"/>
    <col min="5372" max="5372" width="7.28515625" style="1" customWidth="1"/>
    <col min="5373" max="5373" width="11.85546875" style="1" customWidth="1"/>
    <col min="5374" max="5374" width="9.5703125" style="1" bestFit="1" customWidth="1"/>
    <col min="5375" max="5375" width="10.5703125" style="1" customWidth="1"/>
    <col min="5376" max="5376" width="11.28515625" style="1" customWidth="1"/>
    <col min="5377" max="5377" width="11.42578125" style="1" bestFit="1" customWidth="1"/>
    <col min="5378" max="5378" width="11.7109375" style="1" customWidth="1"/>
    <col min="5379" max="5379" width="13.85546875" style="1" customWidth="1"/>
    <col min="5380" max="5625" width="9.140625" style="1"/>
    <col min="5626" max="5626" width="6.140625" style="1" customWidth="1"/>
    <col min="5627" max="5627" width="31.5703125" style="1" customWidth="1"/>
    <col min="5628" max="5628" width="7.28515625" style="1" customWidth="1"/>
    <col min="5629" max="5629" width="11.85546875" style="1" customWidth="1"/>
    <col min="5630" max="5630" width="9.5703125" style="1" bestFit="1" customWidth="1"/>
    <col min="5631" max="5631" width="10.5703125" style="1" customWidth="1"/>
    <col min="5632" max="5632" width="11.28515625" style="1" customWidth="1"/>
    <col min="5633" max="5633" width="11.42578125" style="1" bestFit="1" customWidth="1"/>
    <col min="5634" max="5634" width="11.7109375" style="1" customWidth="1"/>
    <col min="5635" max="5635" width="13.85546875" style="1" customWidth="1"/>
    <col min="5636" max="5881" width="9.140625" style="1"/>
    <col min="5882" max="5882" width="6.140625" style="1" customWidth="1"/>
    <col min="5883" max="5883" width="31.5703125" style="1" customWidth="1"/>
    <col min="5884" max="5884" width="7.28515625" style="1" customWidth="1"/>
    <col min="5885" max="5885" width="11.85546875" style="1" customWidth="1"/>
    <col min="5886" max="5886" width="9.5703125" style="1" bestFit="1" customWidth="1"/>
    <col min="5887" max="5887" width="10.5703125" style="1" customWidth="1"/>
    <col min="5888" max="5888" width="11.28515625" style="1" customWidth="1"/>
    <col min="5889" max="5889" width="11.42578125" style="1" bestFit="1" customWidth="1"/>
    <col min="5890" max="5890" width="11.7109375" style="1" customWidth="1"/>
    <col min="5891" max="5891" width="13.85546875" style="1" customWidth="1"/>
    <col min="5892" max="6137" width="9.140625" style="1"/>
    <col min="6138" max="6138" width="6.140625" style="1" customWidth="1"/>
    <col min="6139" max="6139" width="31.5703125" style="1" customWidth="1"/>
    <col min="6140" max="6140" width="7.28515625" style="1" customWidth="1"/>
    <col min="6141" max="6141" width="11.85546875" style="1" customWidth="1"/>
    <col min="6142" max="6142" width="9.5703125" style="1" bestFit="1" customWidth="1"/>
    <col min="6143" max="6143" width="10.5703125" style="1" customWidth="1"/>
    <col min="6144" max="6144" width="11.28515625" style="1" customWidth="1"/>
    <col min="6145" max="6145" width="11.42578125" style="1" bestFit="1" customWidth="1"/>
    <col min="6146" max="6146" width="11.7109375" style="1" customWidth="1"/>
    <col min="6147" max="6147" width="13.85546875" style="1" customWidth="1"/>
    <col min="6148" max="6393" width="9.140625" style="1"/>
    <col min="6394" max="6394" width="6.140625" style="1" customWidth="1"/>
    <col min="6395" max="6395" width="31.5703125" style="1" customWidth="1"/>
    <col min="6396" max="6396" width="7.28515625" style="1" customWidth="1"/>
    <col min="6397" max="6397" width="11.85546875" style="1" customWidth="1"/>
    <col min="6398" max="6398" width="9.5703125" style="1" bestFit="1" customWidth="1"/>
    <col min="6399" max="6399" width="10.5703125" style="1" customWidth="1"/>
    <col min="6400" max="6400" width="11.28515625" style="1" customWidth="1"/>
    <col min="6401" max="6401" width="11.42578125" style="1" bestFit="1" customWidth="1"/>
    <col min="6402" max="6402" width="11.7109375" style="1" customWidth="1"/>
    <col min="6403" max="6403" width="13.85546875" style="1" customWidth="1"/>
    <col min="6404" max="6649" width="9.140625" style="1"/>
    <col min="6650" max="6650" width="6.140625" style="1" customWidth="1"/>
    <col min="6651" max="6651" width="31.5703125" style="1" customWidth="1"/>
    <col min="6652" max="6652" width="7.28515625" style="1" customWidth="1"/>
    <col min="6653" max="6653" width="11.85546875" style="1" customWidth="1"/>
    <col min="6654" max="6654" width="9.5703125" style="1" bestFit="1" customWidth="1"/>
    <col min="6655" max="6655" width="10.5703125" style="1" customWidth="1"/>
    <col min="6656" max="6656" width="11.28515625" style="1" customWidth="1"/>
    <col min="6657" max="6657" width="11.42578125" style="1" bestFit="1" customWidth="1"/>
    <col min="6658" max="6658" width="11.7109375" style="1" customWidth="1"/>
    <col min="6659" max="6659" width="13.85546875" style="1" customWidth="1"/>
    <col min="6660" max="6905" width="9.140625" style="1"/>
    <col min="6906" max="6906" width="6.140625" style="1" customWidth="1"/>
    <col min="6907" max="6907" width="31.5703125" style="1" customWidth="1"/>
    <col min="6908" max="6908" width="7.28515625" style="1" customWidth="1"/>
    <col min="6909" max="6909" width="11.85546875" style="1" customWidth="1"/>
    <col min="6910" max="6910" width="9.5703125" style="1" bestFit="1" customWidth="1"/>
    <col min="6911" max="6911" width="10.5703125" style="1" customWidth="1"/>
    <col min="6912" max="6912" width="11.28515625" style="1" customWidth="1"/>
    <col min="6913" max="6913" width="11.42578125" style="1" bestFit="1" customWidth="1"/>
    <col min="6914" max="6914" width="11.7109375" style="1" customWidth="1"/>
    <col min="6915" max="6915" width="13.85546875" style="1" customWidth="1"/>
    <col min="6916" max="7161" width="9.140625" style="1"/>
    <col min="7162" max="7162" width="6.140625" style="1" customWidth="1"/>
    <col min="7163" max="7163" width="31.5703125" style="1" customWidth="1"/>
    <col min="7164" max="7164" width="7.28515625" style="1" customWidth="1"/>
    <col min="7165" max="7165" width="11.85546875" style="1" customWidth="1"/>
    <col min="7166" max="7166" width="9.5703125" style="1" bestFit="1" customWidth="1"/>
    <col min="7167" max="7167" width="10.5703125" style="1" customWidth="1"/>
    <col min="7168" max="7168" width="11.28515625" style="1" customWidth="1"/>
    <col min="7169" max="7169" width="11.42578125" style="1" bestFit="1" customWidth="1"/>
    <col min="7170" max="7170" width="11.7109375" style="1" customWidth="1"/>
    <col min="7171" max="7171" width="13.85546875" style="1" customWidth="1"/>
    <col min="7172" max="7417" width="9.140625" style="1"/>
    <col min="7418" max="7418" width="6.140625" style="1" customWidth="1"/>
    <col min="7419" max="7419" width="31.5703125" style="1" customWidth="1"/>
    <col min="7420" max="7420" width="7.28515625" style="1" customWidth="1"/>
    <col min="7421" max="7421" width="11.85546875" style="1" customWidth="1"/>
    <col min="7422" max="7422" width="9.5703125" style="1" bestFit="1" customWidth="1"/>
    <col min="7423" max="7423" width="10.5703125" style="1" customWidth="1"/>
    <col min="7424" max="7424" width="11.28515625" style="1" customWidth="1"/>
    <col min="7425" max="7425" width="11.42578125" style="1" bestFit="1" customWidth="1"/>
    <col min="7426" max="7426" width="11.7109375" style="1" customWidth="1"/>
    <col min="7427" max="7427" width="13.85546875" style="1" customWidth="1"/>
    <col min="7428" max="7673" width="9.140625" style="1"/>
    <col min="7674" max="7674" width="6.140625" style="1" customWidth="1"/>
    <col min="7675" max="7675" width="31.5703125" style="1" customWidth="1"/>
    <col min="7676" max="7676" width="7.28515625" style="1" customWidth="1"/>
    <col min="7677" max="7677" width="11.85546875" style="1" customWidth="1"/>
    <col min="7678" max="7678" width="9.5703125" style="1" bestFit="1" customWidth="1"/>
    <col min="7679" max="7679" width="10.5703125" style="1" customWidth="1"/>
    <col min="7680" max="7680" width="11.28515625" style="1" customWidth="1"/>
    <col min="7681" max="7681" width="11.42578125" style="1" bestFit="1" customWidth="1"/>
    <col min="7682" max="7682" width="11.7109375" style="1" customWidth="1"/>
    <col min="7683" max="7683" width="13.85546875" style="1" customWidth="1"/>
    <col min="7684" max="7929" width="9.140625" style="1"/>
    <col min="7930" max="7930" width="6.140625" style="1" customWidth="1"/>
    <col min="7931" max="7931" width="31.5703125" style="1" customWidth="1"/>
    <col min="7932" max="7932" width="7.28515625" style="1" customWidth="1"/>
    <col min="7933" max="7933" width="11.85546875" style="1" customWidth="1"/>
    <col min="7934" max="7934" width="9.5703125" style="1" bestFit="1" customWidth="1"/>
    <col min="7935" max="7935" width="10.5703125" style="1" customWidth="1"/>
    <col min="7936" max="7936" width="11.28515625" style="1" customWidth="1"/>
    <col min="7937" max="7937" width="11.42578125" style="1" bestFit="1" customWidth="1"/>
    <col min="7938" max="7938" width="11.7109375" style="1" customWidth="1"/>
    <col min="7939" max="7939" width="13.85546875" style="1" customWidth="1"/>
    <col min="7940" max="8185" width="9.140625" style="1"/>
    <col min="8186" max="8186" width="6.140625" style="1" customWidth="1"/>
    <col min="8187" max="8187" width="31.5703125" style="1" customWidth="1"/>
    <col min="8188" max="8188" width="7.28515625" style="1" customWidth="1"/>
    <col min="8189" max="8189" width="11.85546875" style="1" customWidth="1"/>
    <col min="8190" max="8190" width="9.5703125" style="1" bestFit="1" customWidth="1"/>
    <col min="8191" max="8191" width="10.5703125" style="1" customWidth="1"/>
    <col min="8192" max="8192" width="11.28515625" style="1" customWidth="1"/>
    <col min="8193" max="8193" width="11.42578125" style="1" bestFit="1" customWidth="1"/>
    <col min="8194" max="8194" width="11.7109375" style="1" customWidth="1"/>
    <col min="8195" max="8195" width="13.85546875" style="1" customWidth="1"/>
    <col min="8196" max="8441" width="9.140625" style="1"/>
    <col min="8442" max="8442" width="6.140625" style="1" customWidth="1"/>
    <col min="8443" max="8443" width="31.5703125" style="1" customWidth="1"/>
    <col min="8444" max="8444" width="7.28515625" style="1" customWidth="1"/>
    <col min="8445" max="8445" width="11.85546875" style="1" customWidth="1"/>
    <col min="8446" max="8446" width="9.5703125" style="1" bestFit="1" customWidth="1"/>
    <col min="8447" max="8447" width="10.5703125" style="1" customWidth="1"/>
    <col min="8448" max="8448" width="11.28515625" style="1" customWidth="1"/>
    <col min="8449" max="8449" width="11.42578125" style="1" bestFit="1" customWidth="1"/>
    <col min="8450" max="8450" width="11.7109375" style="1" customWidth="1"/>
    <col min="8451" max="8451" width="13.85546875" style="1" customWidth="1"/>
    <col min="8452" max="8697" width="9.140625" style="1"/>
    <col min="8698" max="8698" width="6.140625" style="1" customWidth="1"/>
    <col min="8699" max="8699" width="31.5703125" style="1" customWidth="1"/>
    <col min="8700" max="8700" width="7.28515625" style="1" customWidth="1"/>
    <col min="8701" max="8701" width="11.85546875" style="1" customWidth="1"/>
    <col min="8702" max="8702" width="9.5703125" style="1" bestFit="1" customWidth="1"/>
    <col min="8703" max="8703" width="10.5703125" style="1" customWidth="1"/>
    <col min="8704" max="8704" width="11.28515625" style="1" customWidth="1"/>
    <col min="8705" max="8705" width="11.42578125" style="1" bestFit="1" customWidth="1"/>
    <col min="8706" max="8706" width="11.7109375" style="1" customWidth="1"/>
    <col min="8707" max="8707" width="13.85546875" style="1" customWidth="1"/>
    <col min="8708" max="8953" width="9.140625" style="1"/>
    <col min="8954" max="8954" width="6.140625" style="1" customWidth="1"/>
    <col min="8955" max="8955" width="31.5703125" style="1" customWidth="1"/>
    <col min="8956" max="8956" width="7.28515625" style="1" customWidth="1"/>
    <col min="8957" max="8957" width="11.85546875" style="1" customWidth="1"/>
    <col min="8958" max="8958" width="9.5703125" style="1" bestFit="1" customWidth="1"/>
    <col min="8959" max="8959" width="10.5703125" style="1" customWidth="1"/>
    <col min="8960" max="8960" width="11.28515625" style="1" customWidth="1"/>
    <col min="8961" max="8961" width="11.42578125" style="1" bestFit="1" customWidth="1"/>
    <col min="8962" max="8962" width="11.7109375" style="1" customWidth="1"/>
    <col min="8963" max="8963" width="13.85546875" style="1" customWidth="1"/>
    <col min="8964" max="9209" width="9.140625" style="1"/>
    <col min="9210" max="9210" width="6.140625" style="1" customWidth="1"/>
    <col min="9211" max="9211" width="31.5703125" style="1" customWidth="1"/>
    <col min="9212" max="9212" width="7.28515625" style="1" customWidth="1"/>
    <col min="9213" max="9213" width="11.85546875" style="1" customWidth="1"/>
    <col min="9214" max="9214" width="9.5703125" style="1" bestFit="1" customWidth="1"/>
    <col min="9215" max="9215" width="10.5703125" style="1" customWidth="1"/>
    <col min="9216" max="9216" width="11.28515625" style="1" customWidth="1"/>
    <col min="9217" max="9217" width="11.42578125" style="1" bestFit="1" customWidth="1"/>
    <col min="9218" max="9218" width="11.7109375" style="1" customWidth="1"/>
    <col min="9219" max="9219" width="13.85546875" style="1" customWidth="1"/>
    <col min="9220" max="9465" width="9.140625" style="1"/>
    <col min="9466" max="9466" width="6.140625" style="1" customWidth="1"/>
    <col min="9467" max="9467" width="31.5703125" style="1" customWidth="1"/>
    <col min="9468" max="9468" width="7.28515625" style="1" customWidth="1"/>
    <col min="9469" max="9469" width="11.85546875" style="1" customWidth="1"/>
    <col min="9470" max="9470" width="9.5703125" style="1" bestFit="1" customWidth="1"/>
    <col min="9471" max="9471" width="10.5703125" style="1" customWidth="1"/>
    <col min="9472" max="9472" width="11.28515625" style="1" customWidth="1"/>
    <col min="9473" max="9473" width="11.42578125" style="1" bestFit="1" customWidth="1"/>
    <col min="9474" max="9474" width="11.7109375" style="1" customWidth="1"/>
    <col min="9475" max="9475" width="13.85546875" style="1" customWidth="1"/>
    <col min="9476" max="9721" width="9.140625" style="1"/>
    <col min="9722" max="9722" width="6.140625" style="1" customWidth="1"/>
    <col min="9723" max="9723" width="31.5703125" style="1" customWidth="1"/>
    <col min="9724" max="9724" width="7.28515625" style="1" customWidth="1"/>
    <col min="9725" max="9725" width="11.85546875" style="1" customWidth="1"/>
    <col min="9726" max="9726" width="9.5703125" style="1" bestFit="1" customWidth="1"/>
    <col min="9727" max="9727" width="10.5703125" style="1" customWidth="1"/>
    <col min="9728" max="9728" width="11.28515625" style="1" customWidth="1"/>
    <col min="9729" max="9729" width="11.42578125" style="1" bestFit="1" customWidth="1"/>
    <col min="9730" max="9730" width="11.7109375" style="1" customWidth="1"/>
    <col min="9731" max="9731" width="13.85546875" style="1" customWidth="1"/>
    <col min="9732" max="9977" width="9.140625" style="1"/>
    <col min="9978" max="9978" width="6.140625" style="1" customWidth="1"/>
    <col min="9979" max="9979" width="31.5703125" style="1" customWidth="1"/>
    <col min="9980" max="9980" width="7.28515625" style="1" customWidth="1"/>
    <col min="9981" max="9981" width="11.85546875" style="1" customWidth="1"/>
    <col min="9982" max="9982" width="9.5703125" style="1" bestFit="1" customWidth="1"/>
    <col min="9983" max="9983" width="10.5703125" style="1" customWidth="1"/>
    <col min="9984" max="9984" width="11.28515625" style="1" customWidth="1"/>
    <col min="9985" max="9985" width="11.42578125" style="1" bestFit="1" customWidth="1"/>
    <col min="9986" max="9986" width="11.7109375" style="1" customWidth="1"/>
    <col min="9987" max="9987" width="13.85546875" style="1" customWidth="1"/>
    <col min="9988" max="10233" width="9.140625" style="1"/>
    <col min="10234" max="10234" width="6.140625" style="1" customWidth="1"/>
    <col min="10235" max="10235" width="31.5703125" style="1" customWidth="1"/>
    <col min="10236" max="10236" width="7.28515625" style="1" customWidth="1"/>
    <col min="10237" max="10237" width="11.85546875" style="1" customWidth="1"/>
    <col min="10238" max="10238" width="9.5703125" style="1" bestFit="1" customWidth="1"/>
    <col min="10239" max="10239" width="10.5703125" style="1" customWidth="1"/>
    <col min="10240" max="10240" width="11.28515625" style="1" customWidth="1"/>
    <col min="10241" max="10241" width="11.42578125" style="1" bestFit="1" customWidth="1"/>
    <col min="10242" max="10242" width="11.7109375" style="1" customWidth="1"/>
    <col min="10243" max="10243" width="13.85546875" style="1" customWidth="1"/>
    <col min="10244" max="10489" width="9.140625" style="1"/>
    <col min="10490" max="10490" width="6.140625" style="1" customWidth="1"/>
    <col min="10491" max="10491" width="31.5703125" style="1" customWidth="1"/>
    <col min="10492" max="10492" width="7.28515625" style="1" customWidth="1"/>
    <col min="10493" max="10493" width="11.85546875" style="1" customWidth="1"/>
    <col min="10494" max="10494" width="9.5703125" style="1" bestFit="1" customWidth="1"/>
    <col min="10495" max="10495" width="10.5703125" style="1" customWidth="1"/>
    <col min="10496" max="10496" width="11.28515625" style="1" customWidth="1"/>
    <col min="10497" max="10497" width="11.42578125" style="1" bestFit="1" customWidth="1"/>
    <col min="10498" max="10498" width="11.7109375" style="1" customWidth="1"/>
    <col min="10499" max="10499" width="13.85546875" style="1" customWidth="1"/>
    <col min="10500" max="10745" width="9.140625" style="1"/>
    <col min="10746" max="10746" width="6.140625" style="1" customWidth="1"/>
    <col min="10747" max="10747" width="31.5703125" style="1" customWidth="1"/>
    <col min="10748" max="10748" width="7.28515625" style="1" customWidth="1"/>
    <col min="10749" max="10749" width="11.85546875" style="1" customWidth="1"/>
    <col min="10750" max="10750" width="9.5703125" style="1" bestFit="1" customWidth="1"/>
    <col min="10751" max="10751" width="10.5703125" style="1" customWidth="1"/>
    <col min="10752" max="10752" width="11.28515625" style="1" customWidth="1"/>
    <col min="10753" max="10753" width="11.42578125" style="1" bestFit="1" customWidth="1"/>
    <col min="10754" max="10754" width="11.7109375" style="1" customWidth="1"/>
    <col min="10755" max="10755" width="13.85546875" style="1" customWidth="1"/>
    <col min="10756" max="11001" width="9.140625" style="1"/>
    <col min="11002" max="11002" width="6.140625" style="1" customWidth="1"/>
    <col min="11003" max="11003" width="31.5703125" style="1" customWidth="1"/>
    <col min="11004" max="11004" width="7.28515625" style="1" customWidth="1"/>
    <col min="11005" max="11005" width="11.85546875" style="1" customWidth="1"/>
    <col min="11006" max="11006" width="9.5703125" style="1" bestFit="1" customWidth="1"/>
    <col min="11007" max="11007" width="10.5703125" style="1" customWidth="1"/>
    <col min="11008" max="11008" width="11.28515625" style="1" customWidth="1"/>
    <col min="11009" max="11009" width="11.42578125" style="1" bestFit="1" customWidth="1"/>
    <col min="11010" max="11010" width="11.7109375" style="1" customWidth="1"/>
    <col min="11011" max="11011" width="13.85546875" style="1" customWidth="1"/>
    <col min="11012" max="11257" width="9.140625" style="1"/>
    <col min="11258" max="11258" width="6.140625" style="1" customWidth="1"/>
    <col min="11259" max="11259" width="31.5703125" style="1" customWidth="1"/>
    <col min="11260" max="11260" width="7.28515625" style="1" customWidth="1"/>
    <col min="11261" max="11261" width="11.85546875" style="1" customWidth="1"/>
    <col min="11262" max="11262" width="9.5703125" style="1" bestFit="1" customWidth="1"/>
    <col min="11263" max="11263" width="10.5703125" style="1" customWidth="1"/>
    <col min="11264" max="11264" width="11.28515625" style="1" customWidth="1"/>
    <col min="11265" max="11265" width="11.42578125" style="1" bestFit="1" customWidth="1"/>
    <col min="11266" max="11266" width="11.7109375" style="1" customWidth="1"/>
    <col min="11267" max="11267" width="13.85546875" style="1" customWidth="1"/>
    <col min="11268" max="11513" width="9.140625" style="1"/>
    <col min="11514" max="11514" width="6.140625" style="1" customWidth="1"/>
    <col min="11515" max="11515" width="31.5703125" style="1" customWidth="1"/>
    <col min="11516" max="11516" width="7.28515625" style="1" customWidth="1"/>
    <col min="11517" max="11517" width="11.85546875" style="1" customWidth="1"/>
    <col min="11518" max="11518" width="9.5703125" style="1" bestFit="1" customWidth="1"/>
    <col min="11519" max="11519" width="10.5703125" style="1" customWidth="1"/>
    <col min="11520" max="11520" width="11.28515625" style="1" customWidth="1"/>
    <col min="11521" max="11521" width="11.42578125" style="1" bestFit="1" customWidth="1"/>
    <col min="11522" max="11522" width="11.7109375" style="1" customWidth="1"/>
    <col min="11523" max="11523" width="13.85546875" style="1" customWidth="1"/>
    <col min="11524" max="11769" width="9.140625" style="1"/>
    <col min="11770" max="11770" width="6.140625" style="1" customWidth="1"/>
    <col min="11771" max="11771" width="31.5703125" style="1" customWidth="1"/>
    <col min="11772" max="11772" width="7.28515625" style="1" customWidth="1"/>
    <col min="11773" max="11773" width="11.85546875" style="1" customWidth="1"/>
    <col min="11774" max="11774" width="9.5703125" style="1" bestFit="1" customWidth="1"/>
    <col min="11775" max="11775" width="10.5703125" style="1" customWidth="1"/>
    <col min="11776" max="11776" width="11.28515625" style="1" customWidth="1"/>
    <col min="11777" max="11777" width="11.42578125" style="1" bestFit="1" customWidth="1"/>
    <col min="11778" max="11778" width="11.7109375" style="1" customWidth="1"/>
    <col min="11779" max="11779" width="13.85546875" style="1" customWidth="1"/>
    <col min="11780" max="12025" width="9.140625" style="1"/>
    <col min="12026" max="12026" width="6.140625" style="1" customWidth="1"/>
    <col min="12027" max="12027" width="31.5703125" style="1" customWidth="1"/>
    <col min="12028" max="12028" width="7.28515625" style="1" customWidth="1"/>
    <col min="12029" max="12029" width="11.85546875" style="1" customWidth="1"/>
    <col min="12030" max="12030" width="9.5703125" style="1" bestFit="1" customWidth="1"/>
    <col min="12031" max="12031" width="10.5703125" style="1" customWidth="1"/>
    <col min="12032" max="12032" width="11.28515625" style="1" customWidth="1"/>
    <col min="12033" max="12033" width="11.42578125" style="1" bestFit="1" customWidth="1"/>
    <col min="12034" max="12034" width="11.7109375" style="1" customWidth="1"/>
    <col min="12035" max="12035" width="13.85546875" style="1" customWidth="1"/>
    <col min="12036" max="12281" width="9.140625" style="1"/>
    <col min="12282" max="12282" width="6.140625" style="1" customWidth="1"/>
    <col min="12283" max="12283" width="31.5703125" style="1" customWidth="1"/>
    <col min="12284" max="12284" width="7.28515625" style="1" customWidth="1"/>
    <col min="12285" max="12285" width="11.85546875" style="1" customWidth="1"/>
    <col min="12286" max="12286" width="9.5703125" style="1" bestFit="1" customWidth="1"/>
    <col min="12287" max="12287" width="10.5703125" style="1" customWidth="1"/>
    <col min="12288" max="12288" width="11.28515625" style="1" customWidth="1"/>
    <col min="12289" max="12289" width="11.42578125" style="1" bestFit="1" customWidth="1"/>
    <col min="12290" max="12290" width="11.7109375" style="1" customWidth="1"/>
    <col min="12291" max="12291" width="13.85546875" style="1" customWidth="1"/>
    <col min="12292" max="12537" width="9.140625" style="1"/>
    <col min="12538" max="12538" width="6.140625" style="1" customWidth="1"/>
    <col min="12539" max="12539" width="31.5703125" style="1" customWidth="1"/>
    <col min="12540" max="12540" width="7.28515625" style="1" customWidth="1"/>
    <col min="12541" max="12541" width="11.85546875" style="1" customWidth="1"/>
    <col min="12542" max="12542" width="9.5703125" style="1" bestFit="1" customWidth="1"/>
    <col min="12543" max="12543" width="10.5703125" style="1" customWidth="1"/>
    <col min="12544" max="12544" width="11.28515625" style="1" customWidth="1"/>
    <col min="12545" max="12545" width="11.42578125" style="1" bestFit="1" customWidth="1"/>
    <col min="12546" max="12546" width="11.7109375" style="1" customWidth="1"/>
    <col min="12547" max="12547" width="13.85546875" style="1" customWidth="1"/>
    <col min="12548" max="12793" width="9.140625" style="1"/>
    <col min="12794" max="12794" width="6.140625" style="1" customWidth="1"/>
    <col min="12795" max="12795" width="31.5703125" style="1" customWidth="1"/>
    <col min="12796" max="12796" width="7.28515625" style="1" customWidth="1"/>
    <col min="12797" max="12797" width="11.85546875" style="1" customWidth="1"/>
    <col min="12798" max="12798" width="9.5703125" style="1" bestFit="1" customWidth="1"/>
    <col min="12799" max="12799" width="10.5703125" style="1" customWidth="1"/>
    <col min="12800" max="12800" width="11.28515625" style="1" customWidth="1"/>
    <col min="12801" max="12801" width="11.42578125" style="1" bestFit="1" customWidth="1"/>
    <col min="12802" max="12802" width="11.7109375" style="1" customWidth="1"/>
    <col min="12803" max="12803" width="13.85546875" style="1" customWidth="1"/>
    <col min="12804" max="13049" width="9.140625" style="1"/>
    <col min="13050" max="13050" width="6.140625" style="1" customWidth="1"/>
    <col min="13051" max="13051" width="31.5703125" style="1" customWidth="1"/>
    <col min="13052" max="13052" width="7.28515625" style="1" customWidth="1"/>
    <col min="13053" max="13053" width="11.85546875" style="1" customWidth="1"/>
    <col min="13054" max="13054" width="9.5703125" style="1" bestFit="1" customWidth="1"/>
    <col min="13055" max="13055" width="10.5703125" style="1" customWidth="1"/>
    <col min="13056" max="13056" width="11.28515625" style="1" customWidth="1"/>
    <col min="13057" max="13057" width="11.42578125" style="1" bestFit="1" customWidth="1"/>
    <col min="13058" max="13058" width="11.7109375" style="1" customWidth="1"/>
    <col min="13059" max="13059" width="13.85546875" style="1" customWidth="1"/>
    <col min="13060" max="13305" width="9.140625" style="1"/>
    <col min="13306" max="13306" width="6.140625" style="1" customWidth="1"/>
    <col min="13307" max="13307" width="31.5703125" style="1" customWidth="1"/>
    <col min="13308" max="13308" width="7.28515625" style="1" customWidth="1"/>
    <col min="13309" max="13309" width="11.85546875" style="1" customWidth="1"/>
    <col min="13310" max="13310" width="9.5703125" style="1" bestFit="1" customWidth="1"/>
    <col min="13311" max="13311" width="10.5703125" style="1" customWidth="1"/>
    <col min="13312" max="13312" width="11.28515625" style="1" customWidth="1"/>
    <col min="13313" max="13313" width="11.42578125" style="1" bestFit="1" customWidth="1"/>
    <col min="13314" max="13314" width="11.7109375" style="1" customWidth="1"/>
    <col min="13315" max="13315" width="13.85546875" style="1" customWidth="1"/>
    <col min="13316" max="13561" width="9.140625" style="1"/>
    <col min="13562" max="13562" width="6.140625" style="1" customWidth="1"/>
    <col min="13563" max="13563" width="31.5703125" style="1" customWidth="1"/>
    <col min="13564" max="13564" width="7.28515625" style="1" customWidth="1"/>
    <col min="13565" max="13565" width="11.85546875" style="1" customWidth="1"/>
    <col min="13566" max="13566" width="9.5703125" style="1" bestFit="1" customWidth="1"/>
    <col min="13567" max="13567" width="10.5703125" style="1" customWidth="1"/>
    <col min="13568" max="13568" width="11.28515625" style="1" customWidth="1"/>
    <col min="13569" max="13569" width="11.42578125" style="1" bestFit="1" customWidth="1"/>
    <col min="13570" max="13570" width="11.7109375" style="1" customWidth="1"/>
    <col min="13571" max="13571" width="13.85546875" style="1" customWidth="1"/>
    <col min="13572" max="13817" width="9.140625" style="1"/>
    <col min="13818" max="13818" width="6.140625" style="1" customWidth="1"/>
    <col min="13819" max="13819" width="31.5703125" style="1" customWidth="1"/>
    <col min="13820" max="13820" width="7.28515625" style="1" customWidth="1"/>
    <col min="13821" max="13821" width="11.85546875" style="1" customWidth="1"/>
    <col min="13822" max="13822" width="9.5703125" style="1" bestFit="1" customWidth="1"/>
    <col min="13823" max="13823" width="10.5703125" style="1" customWidth="1"/>
    <col min="13824" max="13824" width="11.28515625" style="1" customWidth="1"/>
    <col min="13825" max="13825" width="11.42578125" style="1" bestFit="1" customWidth="1"/>
    <col min="13826" max="13826" width="11.7109375" style="1" customWidth="1"/>
    <col min="13827" max="13827" width="13.85546875" style="1" customWidth="1"/>
    <col min="13828" max="14073" width="9.140625" style="1"/>
    <col min="14074" max="14074" width="6.140625" style="1" customWidth="1"/>
    <col min="14075" max="14075" width="31.5703125" style="1" customWidth="1"/>
    <col min="14076" max="14076" width="7.28515625" style="1" customWidth="1"/>
    <col min="14077" max="14077" width="11.85546875" style="1" customWidth="1"/>
    <col min="14078" max="14078" width="9.5703125" style="1" bestFit="1" customWidth="1"/>
    <col min="14079" max="14079" width="10.5703125" style="1" customWidth="1"/>
    <col min="14080" max="14080" width="11.28515625" style="1" customWidth="1"/>
    <col min="14081" max="14081" width="11.42578125" style="1" bestFit="1" customWidth="1"/>
    <col min="14082" max="14082" width="11.7109375" style="1" customWidth="1"/>
    <col min="14083" max="14083" width="13.85546875" style="1" customWidth="1"/>
    <col min="14084" max="14329" width="9.140625" style="1"/>
    <col min="14330" max="14330" width="6.140625" style="1" customWidth="1"/>
    <col min="14331" max="14331" width="31.5703125" style="1" customWidth="1"/>
    <col min="14332" max="14332" width="7.28515625" style="1" customWidth="1"/>
    <col min="14333" max="14333" width="11.85546875" style="1" customWidth="1"/>
    <col min="14334" max="14334" width="9.5703125" style="1" bestFit="1" customWidth="1"/>
    <col min="14335" max="14335" width="10.5703125" style="1" customWidth="1"/>
    <col min="14336" max="14336" width="11.28515625" style="1" customWidth="1"/>
    <col min="14337" max="14337" width="11.42578125" style="1" bestFit="1" customWidth="1"/>
    <col min="14338" max="14338" width="11.7109375" style="1" customWidth="1"/>
    <col min="14339" max="14339" width="13.85546875" style="1" customWidth="1"/>
    <col min="14340" max="14585" width="9.140625" style="1"/>
    <col min="14586" max="14586" width="6.140625" style="1" customWidth="1"/>
    <col min="14587" max="14587" width="31.5703125" style="1" customWidth="1"/>
    <col min="14588" max="14588" width="7.28515625" style="1" customWidth="1"/>
    <col min="14589" max="14589" width="11.85546875" style="1" customWidth="1"/>
    <col min="14590" max="14590" width="9.5703125" style="1" bestFit="1" customWidth="1"/>
    <col min="14591" max="14591" width="10.5703125" style="1" customWidth="1"/>
    <col min="14592" max="14592" width="11.28515625" style="1" customWidth="1"/>
    <col min="14593" max="14593" width="11.42578125" style="1" bestFit="1" customWidth="1"/>
    <col min="14594" max="14594" width="11.7109375" style="1" customWidth="1"/>
    <col min="14595" max="14595" width="13.85546875" style="1" customWidth="1"/>
    <col min="14596" max="14841" width="9.140625" style="1"/>
    <col min="14842" max="14842" width="6.140625" style="1" customWidth="1"/>
    <col min="14843" max="14843" width="31.5703125" style="1" customWidth="1"/>
    <col min="14844" max="14844" width="7.28515625" style="1" customWidth="1"/>
    <col min="14845" max="14845" width="11.85546875" style="1" customWidth="1"/>
    <col min="14846" max="14846" width="9.5703125" style="1" bestFit="1" customWidth="1"/>
    <col min="14847" max="14847" width="10.5703125" style="1" customWidth="1"/>
    <col min="14848" max="14848" width="11.28515625" style="1" customWidth="1"/>
    <col min="14849" max="14849" width="11.42578125" style="1" bestFit="1" customWidth="1"/>
    <col min="14850" max="14850" width="11.7109375" style="1" customWidth="1"/>
    <col min="14851" max="14851" width="13.85546875" style="1" customWidth="1"/>
    <col min="14852" max="15097" width="9.140625" style="1"/>
    <col min="15098" max="15098" width="6.140625" style="1" customWidth="1"/>
    <col min="15099" max="15099" width="31.5703125" style="1" customWidth="1"/>
    <col min="15100" max="15100" width="7.28515625" style="1" customWidth="1"/>
    <col min="15101" max="15101" width="11.85546875" style="1" customWidth="1"/>
    <col min="15102" max="15102" width="9.5703125" style="1" bestFit="1" customWidth="1"/>
    <col min="15103" max="15103" width="10.5703125" style="1" customWidth="1"/>
    <col min="15104" max="15104" width="11.28515625" style="1" customWidth="1"/>
    <col min="15105" max="15105" width="11.42578125" style="1" bestFit="1" customWidth="1"/>
    <col min="15106" max="15106" width="11.7109375" style="1" customWidth="1"/>
    <col min="15107" max="15107" width="13.85546875" style="1" customWidth="1"/>
    <col min="15108" max="15353" width="9.140625" style="1"/>
    <col min="15354" max="15354" width="6.140625" style="1" customWidth="1"/>
    <col min="15355" max="15355" width="31.5703125" style="1" customWidth="1"/>
    <col min="15356" max="15356" width="7.28515625" style="1" customWidth="1"/>
    <col min="15357" max="15357" width="11.85546875" style="1" customWidth="1"/>
    <col min="15358" max="15358" width="9.5703125" style="1" bestFit="1" customWidth="1"/>
    <col min="15359" max="15359" width="10.5703125" style="1" customWidth="1"/>
    <col min="15360" max="15360" width="11.28515625" style="1" customWidth="1"/>
    <col min="15361" max="15361" width="11.42578125" style="1" bestFit="1" customWidth="1"/>
    <col min="15362" max="15362" width="11.7109375" style="1" customWidth="1"/>
    <col min="15363" max="15363" width="13.85546875" style="1" customWidth="1"/>
    <col min="15364" max="15609" width="9.140625" style="1"/>
    <col min="15610" max="15610" width="6.140625" style="1" customWidth="1"/>
    <col min="15611" max="15611" width="31.5703125" style="1" customWidth="1"/>
    <col min="15612" max="15612" width="7.28515625" style="1" customWidth="1"/>
    <col min="15613" max="15613" width="11.85546875" style="1" customWidth="1"/>
    <col min="15614" max="15614" width="9.5703125" style="1" bestFit="1" customWidth="1"/>
    <col min="15615" max="15615" width="10.5703125" style="1" customWidth="1"/>
    <col min="15616" max="15616" width="11.28515625" style="1" customWidth="1"/>
    <col min="15617" max="15617" width="11.42578125" style="1" bestFit="1" customWidth="1"/>
    <col min="15618" max="15618" width="11.7109375" style="1" customWidth="1"/>
    <col min="15619" max="15619" width="13.85546875" style="1" customWidth="1"/>
    <col min="15620" max="15865" width="9.140625" style="1"/>
    <col min="15866" max="15866" width="6.140625" style="1" customWidth="1"/>
    <col min="15867" max="15867" width="31.5703125" style="1" customWidth="1"/>
    <col min="15868" max="15868" width="7.28515625" style="1" customWidth="1"/>
    <col min="15869" max="15869" width="11.85546875" style="1" customWidth="1"/>
    <col min="15870" max="15870" width="9.5703125" style="1" bestFit="1" customWidth="1"/>
    <col min="15871" max="15871" width="10.5703125" style="1" customWidth="1"/>
    <col min="15872" max="15872" width="11.28515625" style="1" customWidth="1"/>
    <col min="15873" max="15873" width="11.42578125" style="1" bestFit="1" customWidth="1"/>
    <col min="15874" max="15874" width="11.7109375" style="1" customWidth="1"/>
    <col min="15875" max="15875" width="13.85546875" style="1" customWidth="1"/>
    <col min="15876" max="16121" width="9.140625" style="1"/>
    <col min="16122" max="16122" width="6.140625" style="1" customWidth="1"/>
    <col min="16123" max="16123" width="31.5703125" style="1" customWidth="1"/>
    <col min="16124" max="16124" width="7.28515625" style="1" customWidth="1"/>
    <col min="16125" max="16125" width="11.85546875" style="1" customWidth="1"/>
    <col min="16126" max="16126" width="9.5703125" style="1" bestFit="1" customWidth="1"/>
    <col min="16127" max="16127" width="10.5703125" style="1" customWidth="1"/>
    <col min="16128" max="16128" width="11.28515625" style="1" customWidth="1"/>
    <col min="16129" max="16129" width="11.42578125" style="1" bestFit="1" customWidth="1"/>
    <col min="16130" max="16130" width="11.7109375" style="1" customWidth="1"/>
    <col min="16131" max="16131" width="13.85546875" style="1" customWidth="1"/>
    <col min="16132" max="16384" width="9.140625" style="1"/>
  </cols>
  <sheetData>
    <row r="1" spans="1:14" ht="33.75" customHeight="1" x14ac:dyDescent="0.25">
      <c r="A1" s="1157" t="s">
        <v>24</v>
      </c>
      <c r="B1" s="1157"/>
      <c r="C1" s="1157"/>
      <c r="D1" s="1157"/>
      <c r="E1" s="1157"/>
      <c r="F1" s="1157"/>
      <c r="G1" s="1157"/>
    </row>
    <row r="2" spans="1:14" s="14" customFormat="1" ht="24.75" customHeight="1" x14ac:dyDescent="0.25">
      <c r="A2" s="14" t="s">
        <v>1410</v>
      </c>
      <c r="C2" s="870"/>
      <c r="F2" s="870"/>
      <c r="H2" s="1161"/>
      <c r="I2" s="1161"/>
      <c r="J2" s="1161"/>
      <c r="K2" s="1161"/>
      <c r="L2" s="1161"/>
      <c r="M2" s="1161"/>
      <c r="N2" s="1161"/>
    </row>
    <row r="3" spans="1:14" s="14" customFormat="1" ht="24.75" customHeight="1" x14ac:dyDescent="0.25">
      <c r="A3" s="14" t="s">
        <v>1411</v>
      </c>
      <c r="C3" s="870"/>
      <c r="F3" s="870"/>
      <c r="H3" s="1161"/>
      <c r="I3" s="1161"/>
      <c r="J3" s="1161"/>
      <c r="K3" s="1161"/>
      <c r="L3" s="1161"/>
      <c r="M3" s="1161"/>
      <c r="N3" s="1161"/>
    </row>
    <row r="4" spans="1:14" s="14" customFormat="1" ht="24.75" customHeight="1" x14ac:dyDescent="0.25">
      <c r="A4" s="14" t="s">
        <v>634</v>
      </c>
      <c r="B4" s="15"/>
      <c r="C4" s="870"/>
      <c r="D4" s="15"/>
      <c r="E4" s="15"/>
      <c r="F4" s="870"/>
      <c r="G4" s="15"/>
      <c r="H4" s="871"/>
      <c r="I4" s="871"/>
      <c r="J4" s="871"/>
      <c r="K4" s="871"/>
      <c r="L4" s="871"/>
      <c r="M4" s="871"/>
      <c r="N4" s="871"/>
    </row>
    <row r="5" spans="1:14" s="14" customFormat="1" ht="24.75" customHeight="1" x14ac:dyDescent="0.25">
      <c r="A5" s="14" t="s">
        <v>1412</v>
      </c>
      <c r="C5" s="870"/>
      <c r="F5" s="870"/>
      <c r="H5" s="1161"/>
      <c r="I5" s="1161"/>
      <c r="J5" s="1161"/>
      <c r="K5" s="1161"/>
      <c r="L5" s="1161"/>
      <c r="M5" s="1161"/>
      <c r="N5" s="1161"/>
    </row>
    <row r="6" spans="1:14" s="14" customFormat="1" ht="24.75" customHeight="1" x14ac:dyDescent="0.25">
      <c r="A6" s="14" t="s">
        <v>1413</v>
      </c>
      <c r="C6" s="870"/>
      <c r="F6" s="870"/>
      <c r="H6" s="1161"/>
      <c r="I6" s="1161"/>
      <c r="J6" s="1161"/>
      <c r="K6" s="1161"/>
      <c r="L6" s="1161"/>
      <c r="M6" s="1161"/>
      <c r="N6" s="1161"/>
    </row>
    <row r="7" spans="1:14" s="14" customFormat="1" ht="24.75" customHeight="1" x14ac:dyDescent="0.25">
      <c r="A7" s="14" t="s">
        <v>1414</v>
      </c>
      <c r="C7" s="870"/>
      <c r="F7" s="870"/>
      <c r="H7" s="1161"/>
      <c r="I7" s="1161"/>
      <c r="J7" s="1161"/>
      <c r="K7" s="1161"/>
      <c r="L7" s="1161"/>
      <c r="M7" s="1161"/>
      <c r="N7" s="1161"/>
    </row>
    <row r="8" spans="1:14" s="14" customFormat="1" ht="24.75" customHeight="1" x14ac:dyDescent="0.25">
      <c r="A8" s="14" t="s">
        <v>1415</v>
      </c>
      <c r="C8" s="870"/>
      <c r="F8" s="870"/>
      <c r="H8" s="1161"/>
      <c r="I8" s="1161"/>
      <c r="J8" s="1161"/>
      <c r="K8" s="1161"/>
      <c r="L8" s="1161"/>
      <c r="M8" s="1161"/>
      <c r="N8" s="1161"/>
    </row>
    <row r="9" spans="1:14" s="14" customFormat="1" ht="24.75" customHeight="1" x14ac:dyDescent="0.25">
      <c r="A9" s="14" t="s">
        <v>635</v>
      </c>
      <c r="B9" s="15"/>
      <c r="C9" s="870"/>
      <c r="D9" s="15"/>
      <c r="E9" s="15"/>
      <c r="F9" s="870"/>
      <c r="G9" s="15"/>
      <c r="H9" s="15"/>
      <c r="I9" s="15"/>
      <c r="J9" s="15"/>
      <c r="K9" s="15"/>
      <c r="L9" s="15"/>
      <c r="M9" s="15"/>
      <c r="N9" s="15"/>
    </row>
    <row r="10" spans="1:14" ht="13.5" customHeight="1" x14ac:dyDescent="0.25">
      <c r="A10" s="1153"/>
      <c r="B10" s="1153"/>
      <c r="C10" s="1153"/>
      <c r="D10" s="1153"/>
      <c r="E10" s="1153"/>
      <c r="F10" s="1153"/>
      <c r="G10" s="1153"/>
    </row>
    <row r="11" spans="1:14" s="14" customFormat="1" ht="24.75" customHeight="1" x14ac:dyDescent="0.25">
      <c r="A11" s="1159" t="s">
        <v>2</v>
      </c>
      <c r="B11" s="1159" t="s">
        <v>636</v>
      </c>
      <c r="C11" s="1159" t="s">
        <v>1</v>
      </c>
      <c r="D11" s="1159" t="s">
        <v>31</v>
      </c>
      <c r="E11" s="1159"/>
      <c r="F11" s="1159" t="s">
        <v>25</v>
      </c>
      <c r="G11" s="1159" t="s">
        <v>0</v>
      </c>
    </row>
    <row r="12" spans="1:14" s="14" customFormat="1" ht="9" customHeight="1" x14ac:dyDescent="0.25">
      <c r="A12" s="1159"/>
      <c r="B12" s="1159"/>
      <c r="C12" s="1159"/>
      <c r="D12" s="1159"/>
      <c r="E12" s="1159"/>
      <c r="F12" s="1159"/>
      <c r="G12" s="1159"/>
    </row>
    <row r="13" spans="1:14" s="14" customFormat="1" ht="36.75" customHeight="1" x14ac:dyDescent="0.25">
      <c r="A13" s="1159"/>
      <c r="B13" s="1159"/>
      <c r="C13" s="1159"/>
      <c r="D13" s="906" t="s">
        <v>32</v>
      </c>
      <c r="E13" s="906" t="s">
        <v>33</v>
      </c>
      <c r="F13" s="1159"/>
      <c r="G13" s="1159"/>
    </row>
    <row r="14" spans="1:14" s="14" customFormat="1" ht="34.5" customHeight="1" x14ac:dyDescent="0.25">
      <c r="A14" s="622" t="s">
        <v>26</v>
      </c>
      <c r="B14" s="622" t="s">
        <v>27</v>
      </c>
      <c r="C14" s="622" t="s">
        <v>28</v>
      </c>
      <c r="D14" s="622" t="s">
        <v>29</v>
      </c>
      <c r="E14" s="622" t="s">
        <v>30</v>
      </c>
      <c r="F14" s="622" t="s">
        <v>37</v>
      </c>
      <c r="G14" s="622" t="s">
        <v>38</v>
      </c>
    </row>
    <row r="15" spans="1:14" s="14" customFormat="1" ht="34.5" customHeight="1" x14ac:dyDescent="0.25">
      <c r="A15" s="913" t="s">
        <v>962</v>
      </c>
      <c r="B15" s="914" t="s">
        <v>974</v>
      </c>
      <c r="C15" s="915"/>
      <c r="D15" s="916"/>
      <c r="E15" s="917">
        <f>D15</f>
        <v>0</v>
      </c>
      <c r="F15" s="918"/>
      <c r="G15" s="918"/>
    </row>
    <row r="16" spans="1:14" s="14" customFormat="1" ht="34.5" hidden="1" customHeight="1" outlineLevel="1" x14ac:dyDescent="0.25">
      <c r="A16" s="57">
        <v>1</v>
      </c>
      <c r="B16" s="58" t="s">
        <v>975</v>
      </c>
      <c r="C16" s="57" t="s">
        <v>970</v>
      </c>
      <c r="D16" s="52"/>
      <c r="E16" s="609">
        <f t="shared" ref="E16:E79" si="0">D16</f>
        <v>0</v>
      </c>
      <c r="F16" s="607"/>
      <c r="G16" s="607"/>
    </row>
    <row r="17" spans="1:7" s="14" customFormat="1" ht="34.5" hidden="1" customHeight="1" outlineLevel="2" x14ac:dyDescent="0.25">
      <c r="A17" s="57"/>
      <c r="B17" s="64" t="s">
        <v>976</v>
      </c>
      <c r="C17" s="60" t="s">
        <v>970</v>
      </c>
      <c r="D17" s="588">
        <v>1</v>
      </c>
      <c r="E17" s="609">
        <f t="shared" si="0"/>
        <v>1</v>
      </c>
      <c r="F17" s="607"/>
      <c r="G17" s="607"/>
    </row>
    <row r="18" spans="1:7" s="14" customFormat="1" ht="34.5" hidden="1" customHeight="1" outlineLevel="2" x14ac:dyDescent="0.25">
      <c r="A18" s="57"/>
      <c r="B18" s="61" t="s">
        <v>977</v>
      </c>
      <c r="C18" s="63" t="s">
        <v>77</v>
      </c>
      <c r="D18" s="49">
        <v>4.7228399999999997</v>
      </c>
      <c r="E18" s="609">
        <f t="shared" si="0"/>
        <v>4.7228399999999997</v>
      </c>
      <c r="F18" s="607"/>
      <c r="G18" s="607"/>
    </row>
    <row r="19" spans="1:7" s="14" customFormat="1" ht="34.5" hidden="1" customHeight="1" outlineLevel="2" x14ac:dyDescent="0.25">
      <c r="A19" s="57"/>
      <c r="B19" s="61" t="s">
        <v>978</v>
      </c>
      <c r="C19" s="63" t="s">
        <v>77</v>
      </c>
      <c r="D19" s="49">
        <v>9.2645400000000002</v>
      </c>
      <c r="E19" s="609">
        <f t="shared" si="0"/>
        <v>9.2645400000000002</v>
      </c>
      <c r="F19" s="607"/>
      <c r="G19" s="607"/>
    </row>
    <row r="20" spans="1:7" s="14" customFormat="1" ht="34.5" hidden="1" customHeight="1" outlineLevel="2" x14ac:dyDescent="0.25">
      <c r="A20" s="57"/>
      <c r="B20" s="61" t="s">
        <v>979</v>
      </c>
      <c r="C20" s="63" t="s">
        <v>77</v>
      </c>
      <c r="D20" s="49">
        <v>0.8</v>
      </c>
      <c r="E20" s="609">
        <f t="shared" si="0"/>
        <v>0.8</v>
      </c>
      <c r="F20" s="607"/>
      <c r="G20" s="607"/>
    </row>
    <row r="21" spans="1:7" s="14" customFormat="1" ht="34.5" hidden="1" customHeight="1" outlineLevel="2" x14ac:dyDescent="0.25">
      <c r="A21" s="57"/>
      <c r="B21" s="61" t="s">
        <v>980</v>
      </c>
      <c r="C21" s="63" t="s">
        <v>77</v>
      </c>
      <c r="D21" s="49">
        <v>2.5688</v>
      </c>
      <c r="E21" s="609">
        <f t="shared" si="0"/>
        <v>2.5688</v>
      </c>
      <c r="F21" s="607"/>
      <c r="G21" s="607"/>
    </row>
    <row r="22" spans="1:7" s="14" customFormat="1" ht="34.5" hidden="1" customHeight="1" outlineLevel="2" x14ac:dyDescent="0.25">
      <c r="A22" s="57"/>
      <c r="B22" s="61" t="s">
        <v>981</v>
      </c>
      <c r="C22" s="63" t="s">
        <v>77</v>
      </c>
      <c r="D22" s="49">
        <v>3.0467499999999998</v>
      </c>
      <c r="E22" s="609">
        <f t="shared" si="0"/>
        <v>3.0467499999999998</v>
      </c>
      <c r="F22" s="607"/>
      <c r="G22" s="607"/>
    </row>
    <row r="23" spans="1:7" s="14" customFormat="1" ht="34.5" hidden="1" customHeight="1" outlineLevel="2" x14ac:dyDescent="0.25">
      <c r="A23" s="57"/>
      <c r="B23" s="61" t="s">
        <v>982</v>
      </c>
      <c r="C23" s="63" t="s">
        <v>77</v>
      </c>
      <c r="D23" s="49">
        <v>12.828989999999999</v>
      </c>
      <c r="E23" s="609">
        <f t="shared" si="0"/>
        <v>12.828989999999999</v>
      </c>
      <c r="F23" s="607"/>
      <c r="G23" s="607"/>
    </row>
    <row r="24" spans="1:7" s="14" customFormat="1" ht="34.5" hidden="1" customHeight="1" outlineLevel="2" x14ac:dyDescent="0.25">
      <c r="A24" s="57"/>
      <c r="B24" s="61" t="s">
        <v>983</v>
      </c>
      <c r="C24" s="63" t="s">
        <v>77</v>
      </c>
      <c r="D24" s="49">
        <v>9.55762</v>
      </c>
      <c r="E24" s="609">
        <f t="shared" si="0"/>
        <v>9.55762</v>
      </c>
      <c r="F24" s="607"/>
      <c r="G24" s="607"/>
    </row>
    <row r="25" spans="1:7" s="14" customFormat="1" ht="34.5" hidden="1" customHeight="1" outlineLevel="2" x14ac:dyDescent="0.25">
      <c r="A25" s="57"/>
      <c r="B25" s="61" t="s">
        <v>984</v>
      </c>
      <c r="C25" s="63" t="s">
        <v>10</v>
      </c>
      <c r="D25" s="49">
        <v>197.9</v>
      </c>
      <c r="E25" s="609">
        <f t="shared" si="0"/>
        <v>197.9</v>
      </c>
      <c r="F25" s="607"/>
      <c r="G25" s="607"/>
    </row>
    <row r="26" spans="1:7" s="14" customFormat="1" ht="34.5" hidden="1" customHeight="1" outlineLevel="2" x14ac:dyDescent="0.25">
      <c r="A26" s="57"/>
      <c r="B26" s="61" t="s">
        <v>102</v>
      </c>
      <c r="C26" s="63" t="s">
        <v>68</v>
      </c>
      <c r="D26" s="49">
        <v>435.3</v>
      </c>
      <c r="E26" s="609">
        <f t="shared" si="0"/>
        <v>435.3</v>
      </c>
      <c r="F26" s="607"/>
      <c r="G26" s="607"/>
    </row>
    <row r="27" spans="1:7" s="14" customFormat="1" ht="34.5" hidden="1" customHeight="1" outlineLevel="2" x14ac:dyDescent="0.25">
      <c r="A27" s="57"/>
      <c r="B27" s="64" t="s">
        <v>985</v>
      </c>
      <c r="C27" s="59" t="s">
        <v>134</v>
      </c>
      <c r="D27" s="49"/>
      <c r="E27" s="609">
        <f t="shared" si="0"/>
        <v>0</v>
      </c>
      <c r="F27" s="607"/>
      <c r="G27" s="607"/>
    </row>
    <row r="28" spans="1:7" s="14" customFormat="1" ht="34.5" hidden="1" customHeight="1" outlineLevel="2" x14ac:dyDescent="0.25">
      <c r="A28" s="57"/>
      <c r="B28" s="76" t="s">
        <v>986</v>
      </c>
      <c r="C28" s="62" t="s">
        <v>77</v>
      </c>
      <c r="D28" s="49">
        <v>0.38018200000000002</v>
      </c>
      <c r="E28" s="609">
        <f t="shared" si="0"/>
        <v>0.38018200000000002</v>
      </c>
      <c r="F28" s="607"/>
      <c r="G28" s="607"/>
    </row>
    <row r="29" spans="1:7" s="14" customFormat="1" ht="34.5" hidden="1" customHeight="1" outlineLevel="2" x14ac:dyDescent="0.25">
      <c r="A29" s="57"/>
      <c r="B29" s="76" t="s">
        <v>987</v>
      </c>
      <c r="C29" s="62" t="s">
        <v>124</v>
      </c>
      <c r="D29" s="49">
        <v>359.4</v>
      </c>
      <c r="E29" s="609">
        <f t="shared" si="0"/>
        <v>359.4</v>
      </c>
      <c r="F29" s="607"/>
      <c r="G29" s="607"/>
    </row>
    <row r="30" spans="1:7" s="14" customFormat="1" ht="34.5" hidden="1" customHeight="1" outlineLevel="2" x14ac:dyDescent="0.25">
      <c r="A30" s="57"/>
      <c r="B30" s="76" t="s">
        <v>988</v>
      </c>
      <c r="C30" s="62" t="s">
        <v>124</v>
      </c>
      <c r="D30" s="49">
        <v>11.2</v>
      </c>
      <c r="E30" s="609">
        <f t="shared" si="0"/>
        <v>11.2</v>
      </c>
      <c r="F30" s="607"/>
      <c r="G30" s="607"/>
    </row>
    <row r="31" spans="1:7" s="14" customFormat="1" ht="34.5" hidden="1" customHeight="1" outlineLevel="2" x14ac:dyDescent="0.25">
      <c r="A31" s="57"/>
      <c r="B31" s="61" t="s">
        <v>989</v>
      </c>
      <c r="C31" s="63" t="s">
        <v>78</v>
      </c>
      <c r="D31" s="49">
        <v>4</v>
      </c>
      <c r="E31" s="609">
        <f t="shared" si="0"/>
        <v>4</v>
      </c>
      <c r="F31" s="607"/>
      <c r="G31" s="607"/>
    </row>
    <row r="32" spans="1:7" s="14" customFormat="1" ht="34.5" hidden="1" customHeight="1" outlineLevel="2" x14ac:dyDescent="0.25">
      <c r="A32" s="57"/>
      <c r="B32" s="61" t="s">
        <v>990</v>
      </c>
      <c r="C32" s="63" t="s">
        <v>78</v>
      </c>
      <c r="D32" s="49">
        <v>4</v>
      </c>
      <c r="E32" s="609">
        <f t="shared" si="0"/>
        <v>4</v>
      </c>
      <c r="F32" s="607"/>
      <c r="G32" s="607"/>
    </row>
    <row r="33" spans="1:7" s="14" customFormat="1" ht="34.5" hidden="1" customHeight="1" outlineLevel="2" x14ac:dyDescent="0.25">
      <c r="A33" s="57"/>
      <c r="B33" s="76" t="s">
        <v>991</v>
      </c>
      <c r="C33" s="62" t="s">
        <v>10</v>
      </c>
      <c r="D33" s="49">
        <v>1.6830000000000001</v>
      </c>
      <c r="E33" s="609">
        <f t="shared" si="0"/>
        <v>1.6830000000000001</v>
      </c>
      <c r="F33" s="607"/>
      <c r="G33" s="607"/>
    </row>
    <row r="34" spans="1:7" s="14" customFormat="1" ht="34.5" hidden="1" customHeight="1" outlineLevel="1" collapsed="1" x14ac:dyDescent="0.25">
      <c r="A34" s="57">
        <v>2</v>
      </c>
      <c r="B34" s="58" t="s">
        <v>992</v>
      </c>
      <c r="C34" s="57" t="s">
        <v>970</v>
      </c>
      <c r="D34" s="49">
        <v>1</v>
      </c>
      <c r="E34" s="609">
        <f t="shared" si="0"/>
        <v>1</v>
      </c>
      <c r="F34" s="607"/>
      <c r="G34" s="607"/>
    </row>
    <row r="35" spans="1:7" s="14" customFormat="1" ht="34.5" hidden="1" customHeight="1" outlineLevel="2" x14ac:dyDescent="0.25">
      <c r="A35" s="57"/>
      <c r="B35" s="64" t="s">
        <v>993</v>
      </c>
      <c r="C35" s="60" t="s">
        <v>970</v>
      </c>
      <c r="D35" s="49">
        <v>1</v>
      </c>
      <c r="E35" s="609">
        <f t="shared" si="0"/>
        <v>1</v>
      </c>
      <c r="F35" s="607"/>
      <c r="G35" s="607"/>
    </row>
    <row r="36" spans="1:7" s="14" customFormat="1" ht="34.5" hidden="1" customHeight="1" outlineLevel="2" x14ac:dyDescent="0.25">
      <c r="A36" s="57"/>
      <c r="B36" s="61" t="s">
        <v>105</v>
      </c>
      <c r="C36" s="62" t="s">
        <v>77</v>
      </c>
      <c r="D36" s="49">
        <v>0.94457000000000002</v>
      </c>
      <c r="E36" s="609">
        <f t="shared" si="0"/>
        <v>0.94457000000000002</v>
      </c>
      <c r="F36" s="607"/>
      <c r="G36" s="607"/>
    </row>
    <row r="37" spans="1:7" s="14" customFormat="1" ht="34.5" hidden="1" customHeight="1" outlineLevel="2" x14ac:dyDescent="0.25">
      <c r="A37" s="57"/>
      <c r="B37" s="61" t="s">
        <v>83</v>
      </c>
      <c r="C37" s="62" t="s">
        <v>77</v>
      </c>
      <c r="D37" s="49">
        <v>1.58433</v>
      </c>
      <c r="E37" s="609">
        <f t="shared" si="0"/>
        <v>1.58433</v>
      </c>
      <c r="F37" s="607"/>
      <c r="G37" s="607"/>
    </row>
    <row r="38" spans="1:7" s="14" customFormat="1" ht="34.5" hidden="1" customHeight="1" outlineLevel="2" x14ac:dyDescent="0.25">
      <c r="A38" s="57"/>
      <c r="B38" s="61" t="s">
        <v>84</v>
      </c>
      <c r="C38" s="62" t="s">
        <v>77</v>
      </c>
      <c r="D38" s="49">
        <v>0.22</v>
      </c>
      <c r="E38" s="609">
        <f t="shared" si="0"/>
        <v>0.22</v>
      </c>
      <c r="F38" s="607"/>
      <c r="G38" s="607"/>
    </row>
    <row r="39" spans="1:7" s="14" customFormat="1" ht="34.5" hidden="1" customHeight="1" outlineLevel="2" x14ac:dyDescent="0.25">
      <c r="A39" s="57"/>
      <c r="B39" s="61" t="s">
        <v>85</v>
      </c>
      <c r="C39" s="62" t="s">
        <v>77</v>
      </c>
      <c r="D39" s="49">
        <v>0.70641999999999994</v>
      </c>
      <c r="E39" s="609">
        <f t="shared" si="0"/>
        <v>0.70641999999999994</v>
      </c>
      <c r="F39" s="607"/>
      <c r="G39" s="607"/>
    </row>
    <row r="40" spans="1:7" s="14" customFormat="1" ht="34.5" hidden="1" customHeight="1" outlineLevel="2" x14ac:dyDescent="0.25">
      <c r="A40" s="57"/>
      <c r="B40" s="61" t="s">
        <v>86</v>
      </c>
      <c r="C40" s="62" t="s">
        <v>77</v>
      </c>
      <c r="D40" s="49">
        <v>0.83786000000000005</v>
      </c>
      <c r="E40" s="609">
        <f t="shared" si="0"/>
        <v>0.83786000000000005</v>
      </c>
      <c r="F40" s="607"/>
      <c r="G40" s="607"/>
    </row>
    <row r="41" spans="1:7" s="14" customFormat="1" ht="34.5" hidden="1" customHeight="1" outlineLevel="2" x14ac:dyDescent="0.25">
      <c r="A41" s="57"/>
      <c r="B41" s="61" t="s">
        <v>87</v>
      </c>
      <c r="C41" s="62" t="s">
        <v>77</v>
      </c>
      <c r="D41" s="49">
        <v>0.62215999999999994</v>
      </c>
      <c r="E41" s="609">
        <f t="shared" si="0"/>
        <v>0.62215999999999994</v>
      </c>
      <c r="F41" s="607"/>
      <c r="G41" s="607"/>
    </row>
    <row r="42" spans="1:7" s="14" customFormat="1" ht="34.5" hidden="1" customHeight="1" outlineLevel="2" x14ac:dyDescent="0.25">
      <c r="A42" s="57"/>
      <c r="B42" s="61" t="s">
        <v>143</v>
      </c>
      <c r="C42" s="62" t="s">
        <v>77</v>
      </c>
      <c r="D42" s="49">
        <v>2.3749199999999999</v>
      </c>
      <c r="E42" s="609">
        <f t="shared" si="0"/>
        <v>2.3749199999999999</v>
      </c>
      <c r="F42" s="607"/>
      <c r="G42" s="607"/>
    </row>
    <row r="43" spans="1:7" s="14" customFormat="1" ht="34.5" hidden="1" customHeight="1" outlineLevel="2" x14ac:dyDescent="0.25">
      <c r="A43" s="57"/>
      <c r="B43" s="61" t="s">
        <v>984</v>
      </c>
      <c r="C43" s="63" t="s">
        <v>10</v>
      </c>
      <c r="D43" s="49">
        <v>32</v>
      </c>
      <c r="E43" s="609">
        <f t="shared" si="0"/>
        <v>32</v>
      </c>
      <c r="F43" s="607"/>
      <c r="G43" s="607"/>
    </row>
    <row r="44" spans="1:7" s="14" customFormat="1" ht="34.5" hidden="1" customHeight="1" outlineLevel="2" x14ac:dyDescent="0.25">
      <c r="A44" s="57"/>
      <c r="B44" s="61" t="s">
        <v>102</v>
      </c>
      <c r="C44" s="63" t="s">
        <v>68</v>
      </c>
      <c r="D44" s="49">
        <v>115.62</v>
      </c>
      <c r="E44" s="609">
        <f t="shared" si="0"/>
        <v>115.62</v>
      </c>
      <c r="F44" s="607"/>
      <c r="G44" s="607"/>
    </row>
    <row r="45" spans="1:7" s="14" customFormat="1" ht="34.5" hidden="1" customHeight="1" outlineLevel="2" x14ac:dyDescent="0.25">
      <c r="A45" s="57"/>
      <c r="B45" s="64" t="s">
        <v>985</v>
      </c>
      <c r="C45" s="59" t="s">
        <v>134</v>
      </c>
      <c r="D45" s="49"/>
      <c r="E45" s="609">
        <f t="shared" si="0"/>
        <v>0</v>
      </c>
      <c r="F45" s="607"/>
      <c r="G45" s="607"/>
    </row>
    <row r="46" spans="1:7" s="14" customFormat="1" ht="34.5" hidden="1" customHeight="1" outlineLevel="2" x14ac:dyDescent="0.25">
      <c r="A46" s="57"/>
      <c r="B46" s="76" t="s">
        <v>986</v>
      </c>
      <c r="C46" s="62" t="s">
        <v>77</v>
      </c>
      <c r="D46" s="49">
        <v>0.26929599999999998</v>
      </c>
      <c r="E46" s="609">
        <f t="shared" si="0"/>
        <v>0.26929599999999998</v>
      </c>
      <c r="F46" s="607"/>
      <c r="G46" s="607"/>
    </row>
    <row r="47" spans="1:7" s="14" customFormat="1" ht="34.5" hidden="1" customHeight="1" outlineLevel="2" x14ac:dyDescent="0.25">
      <c r="A47" s="57"/>
      <c r="B47" s="76" t="s">
        <v>987</v>
      </c>
      <c r="C47" s="62" t="s">
        <v>124</v>
      </c>
      <c r="D47" s="49">
        <v>83.700999999999993</v>
      </c>
      <c r="E47" s="609">
        <f t="shared" si="0"/>
        <v>83.700999999999993</v>
      </c>
      <c r="F47" s="607"/>
      <c r="G47" s="607"/>
    </row>
    <row r="48" spans="1:7" s="14" customFormat="1" ht="34.5" hidden="1" customHeight="1" outlineLevel="2" x14ac:dyDescent="0.25">
      <c r="A48" s="57"/>
      <c r="B48" s="76" t="s">
        <v>988</v>
      </c>
      <c r="C48" s="62" t="s">
        <v>124</v>
      </c>
      <c r="D48" s="49">
        <v>2.4</v>
      </c>
      <c r="E48" s="609">
        <f t="shared" si="0"/>
        <v>2.4</v>
      </c>
      <c r="F48" s="607"/>
      <c r="G48" s="607"/>
    </row>
    <row r="49" spans="1:7" s="14" customFormat="1" ht="34.5" hidden="1" customHeight="1" outlineLevel="2" x14ac:dyDescent="0.25">
      <c r="A49" s="57"/>
      <c r="B49" s="61" t="s">
        <v>989</v>
      </c>
      <c r="C49" s="63" t="s">
        <v>78</v>
      </c>
      <c r="D49" s="49">
        <v>2</v>
      </c>
      <c r="E49" s="609">
        <f t="shared" si="0"/>
        <v>2</v>
      </c>
      <c r="F49" s="607"/>
      <c r="G49" s="607"/>
    </row>
    <row r="50" spans="1:7" s="14" customFormat="1" ht="34.5" hidden="1" customHeight="1" outlineLevel="2" x14ac:dyDescent="0.25">
      <c r="A50" s="57"/>
      <c r="B50" s="61" t="s">
        <v>990</v>
      </c>
      <c r="C50" s="63" t="s">
        <v>78</v>
      </c>
      <c r="D50" s="49">
        <v>2</v>
      </c>
      <c r="E50" s="609">
        <f t="shared" si="0"/>
        <v>2</v>
      </c>
      <c r="F50" s="607"/>
      <c r="G50" s="607"/>
    </row>
    <row r="51" spans="1:7" s="14" customFormat="1" ht="34.5" hidden="1" customHeight="1" outlineLevel="2" x14ac:dyDescent="0.25">
      <c r="A51" s="57"/>
      <c r="B51" s="76" t="s">
        <v>991</v>
      </c>
      <c r="C51" s="62" t="s">
        <v>10</v>
      </c>
      <c r="D51" s="49">
        <v>0.39200000000000002</v>
      </c>
      <c r="E51" s="609">
        <f t="shared" si="0"/>
        <v>0.39200000000000002</v>
      </c>
      <c r="F51" s="607"/>
      <c r="G51" s="607"/>
    </row>
    <row r="52" spans="1:7" s="14" customFormat="1" ht="34.5" hidden="1" customHeight="1" outlineLevel="1" collapsed="1" x14ac:dyDescent="0.25">
      <c r="A52" s="57">
        <v>3</v>
      </c>
      <c r="B52" s="58" t="s">
        <v>994</v>
      </c>
      <c r="C52" s="57" t="s">
        <v>970</v>
      </c>
      <c r="D52" s="49">
        <v>1</v>
      </c>
      <c r="E52" s="609">
        <f t="shared" si="0"/>
        <v>1</v>
      </c>
      <c r="F52" s="607"/>
      <c r="G52" s="607"/>
    </row>
    <row r="53" spans="1:7" s="14" customFormat="1" ht="34.5" hidden="1" customHeight="1" outlineLevel="2" x14ac:dyDescent="0.25">
      <c r="A53" s="57"/>
      <c r="B53" s="64" t="s">
        <v>995</v>
      </c>
      <c r="C53" s="60" t="s">
        <v>970</v>
      </c>
      <c r="D53" s="49">
        <v>1</v>
      </c>
      <c r="E53" s="609">
        <f t="shared" si="0"/>
        <v>1</v>
      </c>
      <c r="F53" s="607"/>
      <c r="G53" s="607"/>
    </row>
    <row r="54" spans="1:7" s="14" customFormat="1" ht="34.5" hidden="1" customHeight="1" outlineLevel="2" x14ac:dyDescent="0.25">
      <c r="A54" s="57"/>
      <c r="B54" s="61" t="s">
        <v>105</v>
      </c>
      <c r="C54" s="62" t="s">
        <v>77</v>
      </c>
      <c r="D54" s="49">
        <v>0.94457000000000002</v>
      </c>
      <c r="E54" s="609">
        <f t="shared" si="0"/>
        <v>0.94457000000000002</v>
      </c>
      <c r="F54" s="607"/>
      <c r="G54" s="607"/>
    </row>
    <row r="55" spans="1:7" s="14" customFormat="1" ht="34.5" hidden="1" customHeight="1" outlineLevel="2" x14ac:dyDescent="0.25">
      <c r="A55" s="57"/>
      <c r="B55" s="61" t="s">
        <v>83</v>
      </c>
      <c r="C55" s="62" t="s">
        <v>77</v>
      </c>
      <c r="D55" s="49">
        <v>1.58433</v>
      </c>
      <c r="E55" s="609">
        <f t="shared" si="0"/>
        <v>1.58433</v>
      </c>
      <c r="F55" s="607"/>
      <c r="G55" s="607"/>
    </row>
    <row r="56" spans="1:7" s="14" customFormat="1" ht="34.5" hidden="1" customHeight="1" outlineLevel="2" x14ac:dyDescent="0.25">
      <c r="A56" s="57"/>
      <c r="B56" s="61" t="s">
        <v>84</v>
      </c>
      <c r="C56" s="62" t="s">
        <v>77</v>
      </c>
      <c r="D56" s="49">
        <v>0.22</v>
      </c>
      <c r="E56" s="609">
        <f t="shared" si="0"/>
        <v>0.22</v>
      </c>
      <c r="F56" s="607"/>
      <c r="G56" s="607"/>
    </row>
    <row r="57" spans="1:7" s="14" customFormat="1" ht="34.5" hidden="1" customHeight="1" outlineLevel="2" x14ac:dyDescent="0.25">
      <c r="A57" s="57"/>
      <c r="B57" s="61" t="s">
        <v>85</v>
      </c>
      <c r="C57" s="62" t="s">
        <v>77</v>
      </c>
      <c r="D57" s="49">
        <v>0.70641999999999994</v>
      </c>
      <c r="E57" s="609">
        <f t="shared" si="0"/>
        <v>0.70641999999999994</v>
      </c>
      <c r="F57" s="607"/>
      <c r="G57" s="607"/>
    </row>
    <row r="58" spans="1:7" s="14" customFormat="1" ht="34.5" hidden="1" customHeight="1" outlineLevel="2" x14ac:dyDescent="0.25">
      <c r="A58" s="57"/>
      <c r="B58" s="61" t="s">
        <v>86</v>
      </c>
      <c r="C58" s="62" t="s">
        <v>77</v>
      </c>
      <c r="D58" s="49">
        <v>0.83786000000000005</v>
      </c>
      <c r="E58" s="609">
        <f t="shared" si="0"/>
        <v>0.83786000000000005</v>
      </c>
      <c r="F58" s="607"/>
      <c r="G58" s="607"/>
    </row>
    <row r="59" spans="1:7" s="14" customFormat="1" ht="34.5" hidden="1" customHeight="1" outlineLevel="2" x14ac:dyDescent="0.25">
      <c r="A59" s="57"/>
      <c r="B59" s="61" t="s">
        <v>87</v>
      </c>
      <c r="C59" s="62" t="s">
        <v>77</v>
      </c>
      <c r="D59" s="49">
        <v>0.62215999999999994</v>
      </c>
      <c r="E59" s="609">
        <f t="shared" si="0"/>
        <v>0.62215999999999994</v>
      </c>
      <c r="F59" s="607"/>
      <c r="G59" s="607"/>
    </row>
    <row r="60" spans="1:7" s="14" customFormat="1" ht="34.5" hidden="1" customHeight="1" outlineLevel="2" x14ac:dyDescent="0.25">
      <c r="A60" s="57"/>
      <c r="B60" s="61" t="s">
        <v>143</v>
      </c>
      <c r="C60" s="62" t="s">
        <v>77</v>
      </c>
      <c r="D60" s="49">
        <v>2.3749199999999999</v>
      </c>
      <c r="E60" s="609">
        <f t="shared" si="0"/>
        <v>2.3749199999999999</v>
      </c>
      <c r="F60" s="607"/>
      <c r="G60" s="607"/>
    </row>
    <row r="61" spans="1:7" s="14" customFormat="1" ht="34.5" hidden="1" customHeight="1" outlineLevel="2" x14ac:dyDescent="0.25">
      <c r="A61" s="57"/>
      <c r="B61" s="61" t="s">
        <v>984</v>
      </c>
      <c r="C61" s="63" t="s">
        <v>10</v>
      </c>
      <c r="D61" s="49">
        <v>32</v>
      </c>
      <c r="E61" s="609">
        <f t="shared" si="0"/>
        <v>32</v>
      </c>
      <c r="F61" s="607"/>
      <c r="G61" s="607"/>
    </row>
    <row r="62" spans="1:7" s="14" customFormat="1" ht="34.5" hidden="1" customHeight="1" outlineLevel="2" x14ac:dyDescent="0.25">
      <c r="A62" s="57"/>
      <c r="B62" s="61" t="s">
        <v>102</v>
      </c>
      <c r="C62" s="63" t="s">
        <v>68</v>
      </c>
      <c r="D62" s="49">
        <v>115.62</v>
      </c>
      <c r="E62" s="609">
        <f t="shared" si="0"/>
        <v>115.62</v>
      </c>
      <c r="F62" s="607"/>
      <c r="G62" s="607"/>
    </row>
    <row r="63" spans="1:7" s="14" customFormat="1" ht="34.5" hidden="1" customHeight="1" outlineLevel="2" x14ac:dyDescent="0.25">
      <c r="A63" s="57"/>
      <c r="B63" s="64" t="s">
        <v>985</v>
      </c>
      <c r="C63" s="59" t="s">
        <v>134</v>
      </c>
      <c r="D63" s="49"/>
      <c r="E63" s="609">
        <f t="shared" si="0"/>
        <v>0</v>
      </c>
      <c r="F63" s="607"/>
      <c r="G63" s="607"/>
    </row>
    <row r="64" spans="1:7" s="14" customFormat="1" ht="34.5" hidden="1" customHeight="1" outlineLevel="2" x14ac:dyDescent="0.25">
      <c r="A64" s="57"/>
      <c r="B64" s="76" t="s">
        <v>986</v>
      </c>
      <c r="C64" s="62" t="s">
        <v>77</v>
      </c>
      <c r="D64" s="49">
        <v>0.26929599999999998</v>
      </c>
      <c r="E64" s="609">
        <f t="shared" si="0"/>
        <v>0.26929599999999998</v>
      </c>
      <c r="F64" s="607"/>
      <c r="G64" s="607"/>
    </row>
    <row r="65" spans="1:7" s="14" customFormat="1" ht="34.5" hidden="1" customHeight="1" outlineLevel="2" x14ac:dyDescent="0.25">
      <c r="A65" s="57"/>
      <c r="B65" s="76" t="s">
        <v>987</v>
      </c>
      <c r="C65" s="62" t="s">
        <v>124</v>
      </c>
      <c r="D65" s="49">
        <v>83.700999999999993</v>
      </c>
      <c r="E65" s="609">
        <f t="shared" si="0"/>
        <v>83.700999999999993</v>
      </c>
      <c r="F65" s="607"/>
      <c r="G65" s="607"/>
    </row>
    <row r="66" spans="1:7" s="14" customFormat="1" ht="34.5" hidden="1" customHeight="1" outlineLevel="2" x14ac:dyDescent="0.25">
      <c r="A66" s="57"/>
      <c r="B66" s="76" t="s">
        <v>988</v>
      </c>
      <c r="C66" s="62" t="s">
        <v>124</v>
      </c>
      <c r="D66" s="49">
        <v>3.2</v>
      </c>
      <c r="E66" s="609">
        <f t="shared" si="0"/>
        <v>3.2</v>
      </c>
      <c r="F66" s="607"/>
      <c r="G66" s="607"/>
    </row>
    <row r="67" spans="1:7" s="14" customFormat="1" ht="34.5" hidden="1" customHeight="1" outlineLevel="2" x14ac:dyDescent="0.25">
      <c r="A67" s="57"/>
      <c r="B67" s="61" t="s">
        <v>989</v>
      </c>
      <c r="C67" s="63" t="s">
        <v>78</v>
      </c>
      <c r="D67" s="49">
        <v>2</v>
      </c>
      <c r="E67" s="609">
        <f t="shared" si="0"/>
        <v>2</v>
      </c>
      <c r="F67" s="607"/>
      <c r="G67" s="607"/>
    </row>
    <row r="68" spans="1:7" s="14" customFormat="1" ht="34.5" hidden="1" customHeight="1" outlineLevel="2" x14ac:dyDescent="0.25">
      <c r="A68" s="57"/>
      <c r="B68" s="61" t="s">
        <v>990</v>
      </c>
      <c r="C68" s="63" t="s">
        <v>78</v>
      </c>
      <c r="D68" s="49">
        <v>2</v>
      </c>
      <c r="E68" s="609">
        <f t="shared" si="0"/>
        <v>2</v>
      </c>
      <c r="F68" s="607"/>
      <c r="G68" s="607"/>
    </row>
    <row r="69" spans="1:7" s="14" customFormat="1" ht="34.5" hidden="1" customHeight="1" outlineLevel="2" x14ac:dyDescent="0.25">
      <c r="A69" s="57"/>
      <c r="B69" s="76" t="s">
        <v>991</v>
      </c>
      <c r="C69" s="62" t="s">
        <v>10</v>
      </c>
      <c r="D69" s="49">
        <v>0.39200000000000002</v>
      </c>
      <c r="E69" s="609">
        <f t="shared" si="0"/>
        <v>0.39200000000000002</v>
      </c>
      <c r="F69" s="607"/>
      <c r="G69" s="607"/>
    </row>
    <row r="70" spans="1:7" s="14" customFormat="1" ht="34.5" hidden="1" customHeight="1" outlineLevel="1" collapsed="1" x14ac:dyDescent="0.25">
      <c r="A70" s="57">
        <v>4</v>
      </c>
      <c r="B70" s="58" t="s">
        <v>996</v>
      </c>
      <c r="C70" s="57" t="s">
        <v>970</v>
      </c>
      <c r="D70" s="49">
        <v>1</v>
      </c>
      <c r="E70" s="609">
        <f t="shared" si="0"/>
        <v>1</v>
      </c>
      <c r="F70" s="607"/>
      <c r="G70" s="607"/>
    </row>
    <row r="71" spans="1:7" s="14" customFormat="1" ht="34.5" hidden="1" customHeight="1" outlineLevel="2" x14ac:dyDescent="0.25">
      <c r="A71" s="57"/>
      <c r="B71" s="64" t="s">
        <v>997</v>
      </c>
      <c r="C71" s="60" t="s">
        <v>970</v>
      </c>
      <c r="D71" s="49">
        <v>1</v>
      </c>
      <c r="E71" s="609">
        <f t="shared" si="0"/>
        <v>1</v>
      </c>
      <c r="F71" s="607"/>
      <c r="G71" s="607"/>
    </row>
    <row r="72" spans="1:7" s="14" customFormat="1" ht="34.5" hidden="1" customHeight="1" outlineLevel="2" x14ac:dyDescent="0.25">
      <c r="A72" s="57"/>
      <c r="B72" s="61" t="s">
        <v>105</v>
      </c>
      <c r="C72" s="62" t="s">
        <v>77</v>
      </c>
      <c r="D72" s="49">
        <v>0.95648</v>
      </c>
      <c r="E72" s="609">
        <f t="shared" si="0"/>
        <v>0.95648</v>
      </c>
      <c r="F72" s="607"/>
      <c r="G72" s="607"/>
    </row>
    <row r="73" spans="1:7" s="14" customFormat="1" ht="34.5" hidden="1" customHeight="1" outlineLevel="2" x14ac:dyDescent="0.25">
      <c r="A73" s="57"/>
      <c r="B73" s="61" t="s">
        <v>83</v>
      </c>
      <c r="C73" s="62" t="s">
        <v>77</v>
      </c>
      <c r="D73" s="49">
        <v>1.57874</v>
      </c>
      <c r="E73" s="609">
        <f t="shared" si="0"/>
        <v>1.57874</v>
      </c>
      <c r="F73" s="607"/>
      <c r="G73" s="607"/>
    </row>
    <row r="74" spans="1:7" s="14" customFormat="1" ht="34.5" hidden="1" customHeight="1" outlineLevel="2" x14ac:dyDescent="0.25">
      <c r="A74" s="57"/>
      <c r="B74" s="61" t="s">
        <v>84</v>
      </c>
      <c r="C74" s="62" t="s">
        <v>77</v>
      </c>
      <c r="D74" s="49">
        <v>0.22</v>
      </c>
      <c r="E74" s="609">
        <f t="shared" si="0"/>
        <v>0.22</v>
      </c>
      <c r="F74" s="607"/>
      <c r="G74" s="607"/>
    </row>
    <row r="75" spans="1:7" s="14" customFormat="1" ht="34.5" hidden="1" customHeight="1" outlineLevel="2" x14ac:dyDescent="0.25">
      <c r="A75" s="57"/>
      <c r="B75" s="61" t="s">
        <v>85</v>
      </c>
      <c r="C75" s="62" t="s">
        <v>77</v>
      </c>
      <c r="D75" s="49">
        <v>0.70641999999999994</v>
      </c>
      <c r="E75" s="609">
        <f t="shared" si="0"/>
        <v>0.70641999999999994</v>
      </c>
      <c r="F75" s="607"/>
      <c r="G75" s="607"/>
    </row>
    <row r="76" spans="1:7" s="14" customFormat="1" ht="34.5" hidden="1" customHeight="1" outlineLevel="2" x14ac:dyDescent="0.25">
      <c r="A76" s="57"/>
      <c r="B76" s="61" t="s">
        <v>86</v>
      </c>
      <c r="C76" s="62" t="s">
        <v>77</v>
      </c>
      <c r="D76" s="49">
        <v>0.83786000000000005</v>
      </c>
      <c r="E76" s="609">
        <f t="shared" si="0"/>
        <v>0.83786000000000005</v>
      </c>
      <c r="F76" s="607"/>
      <c r="G76" s="607"/>
    </row>
    <row r="77" spans="1:7" s="14" customFormat="1" ht="34.5" hidden="1" customHeight="1" outlineLevel="2" x14ac:dyDescent="0.25">
      <c r="A77" s="57"/>
      <c r="B77" s="61" t="s">
        <v>87</v>
      </c>
      <c r="C77" s="62" t="s">
        <v>77</v>
      </c>
      <c r="D77" s="49">
        <v>0.62215999999999994</v>
      </c>
      <c r="E77" s="609">
        <f t="shared" si="0"/>
        <v>0.62215999999999994</v>
      </c>
      <c r="F77" s="607"/>
      <c r="G77" s="607"/>
    </row>
    <row r="78" spans="1:7" s="14" customFormat="1" ht="34.5" hidden="1" customHeight="1" outlineLevel="2" x14ac:dyDescent="0.25">
      <c r="A78" s="57"/>
      <c r="B78" s="61" t="s">
        <v>143</v>
      </c>
      <c r="C78" s="62" t="s">
        <v>77</v>
      </c>
      <c r="D78" s="49">
        <v>2.2176399999999998</v>
      </c>
      <c r="E78" s="609">
        <f t="shared" si="0"/>
        <v>2.2176399999999998</v>
      </c>
      <c r="F78" s="607"/>
      <c r="G78" s="607"/>
    </row>
    <row r="79" spans="1:7" s="14" customFormat="1" ht="34.5" hidden="1" customHeight="1" outlineLevel="2" x14ac:dyDescent="0.25">
      <c r="A79" s="57"/>
      <c r="B79" s="61" t="s">
        <v>984</v>
      </c>
      <c r="C79" s="63" t="s">
        <v>10</v>
      </c>
      <c r="D79" s="49">
        <v>30.5</v>
      </c>
      <c r="E79" s="609">
        <f t="shared" si="0"/>
        <v>30.5</v>
      </c>
      <c r="F79" s="607"/>
      <c r="G79" s="607"/>
    </row>
    <row r="80" spans="1:7" s="14" customFormat="1" ht="34.5" hidden="1" customHeight="1" outlineLevel="2" x14ac:dyDescent="0.25">
      <c r="A80" s="57"/>
      <c r="B80" s="61" t="s">
        <v>102</v>
      </c>
      <c r="C80" s="63" t="s">
        <v>68</v>
      </c>
      <c r="D80" s="49">
        <v>110.92</v>
      </c>
      <c r="E80" s="609">
        <f t="shared" ref="E80:E143" si="1">D80</f>
        <v>110.92</v>
      </c>
      <c r="F80" s="607"/>
      <c r="G80" s="607"/>
    </row>
    <row r="81" spans="1:7" s="14" customFormat="1" ht="34.5" hidden="1" customHeight="1" outlineLevel="2" x14ac:dyDescent="0.25">
      <c r="A81" s="57"/>
      <c r="B81" s="64" t="s">
        <v>998</v>
      </c>
      <c r="C81" s="590" t="s">
        <v>79</v>
      </c>
      <c r="D81" s="49">
        <v>2</v>
      </c>
      <c r="E81" s="609">
        <f t="shared" si="1"/>
        <v>2</v>
      </c>
      <c r="F81" s="607"/>
      <c r="G81" s="607"/>
    </row>
    <row r="82" spans="1:7" s="14" customFormat="1" ht="34.5" hidden="1" customHeight="1" outlineLevel="2" x14ac:dyDescent="0.25">
      <c r="A82" s="57"/>
      <c r="B82" s="61" t="s">
        <v>83</v>
      </c>
      <c r="C82" s="62" t="s">
        <v>77</v>
      </c>
      <c r="D82" s="49">
        <v>0.12229000000000001</v>
      </c>
      <c r="E82" s="609">
        <f t="shared" si="1"/>
        <v>0.12229000000000001</v>
      </c>
      <c r="F82" s="607"/>
      <c r="G82" s="607"/>
    </row>
    <row r="83" spans="1:7" s="14" customFormat="1" ht="34.5" hidden="1" customHeight="1" outlineLevel="2" x14ac:dyDescent="0.25">
      <c r="A83" s="57"/>
      <c r="B83" s="61" t="s">
        <v>85</v>
      </c>
      <c r="C83" s="62" t="s">
        <v>77</v>
      </c>
      <c r="D83" s="49">
        <v>0.99078999999999995</v>
      </c>
      <c r="E83" s="609">
        <f t="shared" si="1"/>
        <v>0.99078999999999995</v>
      </c>
      <c r="F83" s="607"/>
      <c r="G83" s="607"/>
    </row>
    <row r="84" spans="1:7" s="14" customFormat="1" ht="34.5" hidden="1" customHeight="1" outlineLevel="2" x14ac:dyDescent="0.25">
      <c r="A84" s="57"/>
      <c r="B84" s="61" t="s">
        <v>87</v>
      </c>
      <c r="C84" s="62" t="s">
        <v>77</v>
      </c>
      <c r="D84" s="49">
        <v>0.3286</v>
      </c>
      <c r="E84" s="609">
        <f t="shared" si="1"/>
        <v>0.3286</v>
      </c>
      <c r="F84" s="607"/>
      <c r="G84" s="607"/>
    </row>
    <row r="85" spans="1:7" s="14" customFormat="1" ht="34.5" hidden="1" customHeight="1" outlineLevel="2" x14ac:dyDescent="0.25">
      <c r="A85" s="57"/>
      <c r="B85" s="61" t="s">
        <v>984</v>
      </c>
      <c r="C85" s="63" t="s">
        <v>10</v>
      </c>
      <c r="D85" s="49">
        <v>1.56</v>
      </c>
      <c r="E85" s="609">
        <f t="shared" si="1"/>
        <v>1.56</v>
      </c>
      <c r="F85" s="607"/>
      <c r="G85" s="607"/>
    </row>
    <row r="86" spans="1:7" s="14" customFormat="1" ht="34.5" hidden="1" customHeight="1" outlineLevel="2" x14ac:dyDescent="0.25">
      <c r="A86" s="57"/>
      <c r="B86" s="61" t="s">
        <v>102</v>
      </c>
      <c r="C86" s="62" t="s">
        <v>68</v>
      </c>
      <c r="D86" s="49">
        <v>2.56</v>
      </c>
      <c r="E86" s="609">
        <f t="shared" si="1"/>
        <v>2.56</v>
      </c>
      <c r="F86" s="607"/>
      <c r="G86" s="607"/>
    </row>
    <row r="87" spans="1:7" s="14" customFormat="1" ht="34.5" hidden="1" customHeight="1" outlineLevel="2" x14ac:dyDescent="0.25">
      <c r="A87" s="57"/>
      <c r="B87" s="64" t="s">
        <v>985</v>
      </c>
      <c r="C87" s="59" t="s">
        <v>134</v>
      </c>
      <c r="D87" s="49">
        <v>1</v>
      </c>
      <c r="E87" s="609">
        <f t="shared" si="1"/>
        <v>1</v>
      </c>
      <c r="F87" s="607"/>
      <c r="G87" s="607"/>
    </row>
    <row r="88" spans="1:7" s="14" customFormat="1" ht="34.5" hidden="1" customHeight="1" outlineLevel="2" x14ac:dyDescent="0.25">
      <c r="A88" s="57"/>
      <c r="B88" s="76" t="s">
        <v>986</v>
      </c>
      <c r="C88" s="62" t="s">
        <v>77</v>
      </c>
      <c r="D88" s="49">
        <v>0.35525000000000001</v>
      </c>
      <c r="E88" s="609">
        <f t="shared" si="1"/>
        <v>0.35525000000000001</v>
      </c>
      <c r="F88" s="607"/>
      <c r="G88" s="607"/>
    </row>
    <row r="89" spans="1:7" s="14" customFormat="1" ht="34.5" hidden="1" customHeight="1" outlineLevel="2" x14ac:dyDescent="0.25">
      <c r="A89" s="57"/>
      <c r="B89" s="76" t="s">
        <v>987</v>
      </c>
      <c r="C89" s="62" t="s">
        <v>124</v>
      </c>
      <c r="D89" s="49">
        <v>88.29</v>
      </c>
      <c r="E89" s="609">
        <f t="shared" si="1"/>
        <v>88.29</v>
      </c>
      <c r="F89" s="607"/>
      <c r="G89" s="607"/>
    </row>
    <row r="90" spans="1:7" s="14" customFormat="1" ht="34.5" hidden="1" customHeight="1" outlineLevel="2" x14ac:dyDescent="0.25">
      <c r="A90" s="57"/>
      <c r="B90" s="76" t="s">
        <v>988</v>
      </c>
      <c r="C90" s="62" t="s">
        <v>124</v>
      </c>
      <c r="D90" s="49">
        <v>1.6</v>
      </c>
      <c r="E90" s="609">
        <f t="shared" si="1"/>
        <v>1.6</v>
      </c>
      <c r="F90" s="607"/>
      <c r="G90" s="607"/>
    </row>
    <row r="91" spans="1:7" s="14" customFormat="1" ht="34.5" hidden="1" customHeight="1" outlineLevel="2" x14ac:dyDescent="0.25">
      <c r="A91" s="57"/>
      <c r="B91" s="61" t="s">
        <v>989</v>
      </c>
      <c r="C91" s="63" t="s">
        <v>78</v>
      </c>
      <c r="D91" s="49">
        <v>2</v>
      </c>
      <c r="E91" s="609">
        <f t="shared" si="1"/>
        <v>2</v>
      </c>
      <c r="F91" s="607"/>
      <c r="G91" s="607"/>
    </row>
    <row r="92" spans="1:7" s="14" customFormat="1" ht="34.5" hidden="1" customHeight="1" outlineLevel="2" x14ac:dyDescent="0.25">
      <c r="A92" s="57"/>
      <c r="B92" s="61" t="s">
        <v>990</v>
      </c>
      <c r="C92" s="63" t="s">
        <v>78</v>
      </c>
      <c r="D92" s="49">
        <v>2</v>
      </c>
      <c r="E92" s="609">
        <f t="shared" si="1"/>
        <v>2</v>
      </c>
      <c r="F92" s="607"/>
      <c r="G92" s="607"/>
    </row>
    <row r="93" spans="1:7" s="14" customFormat="1" ht="34.5" hidden="1" customHeight="1" outlineLevel="2" x14ac:dyDescent="0.25">
      <c r="A93" s="57"/>
      <c r="B93" s="76" t="s">
        <v>991</v>
      </c>
      <c r="C93" s="62" t="s">
        <v>10</v>
      </c>
      <c r="D93" s="49">
        <v>0.41299999999999998</v>
      </c>
      <c r="E93" s="609">
        <f t="shared" si="1"/>
        <v>0.41299999999999998</v>
      </c>
      <c r="F93" s="607"/>
      <c r="G93" s="607"/>
    </row>
    <row r="94" spans="1:7" s="14" customFormat="1" ht="34.5" hidden="1" customHeight="1" outlineLevel="1" collapsed="1" x14ac:dyDescent="0.25">
      <c r="A94" s="57">
        <v>5</v>
      </c>
      <c r="B94" s="58" t="s">
        <v>999</v>
      </c>
      <c r="C94" s="57" t="s">
        <v>970</v>
      </c>
      <c r="D94" s="49">
        <v>1</v>
      </c>
      <c r="E94" s="609">
        <f t="shared" si="1"/>
        <v>1</v>
      </c>
      <c r="F94" s="607"/>
      <c r="G94" s="607"/>
    </row>
    <row r="95" spans="1:7" s="14" customFormat="1" ht="34.5" hidden="1" customHeight="1" outlineLevel="2" x14ac:dyDescent="0.25">
      <c r="A95" s="57"/>
      <c r="B95" s="64" t="s">
        <v>1000</v>
      </c>
      <c r="C95" s="60" t="s">
        <v>970</v>
      </c>
      <c r="D95" s="49">
        <v>1</v>
      </c>
      <c r="E95" s="609">
        <f t="shared" si="1"/>
        <v>1</v>
      </c>
      <c r="F95" s="607"/>
      <c r="G95" s="607"/>
    </row>
    <row r="96" spans="1:7" s="14" customFormat="1" ht="34.5" hidden="1" customHeight="1" outlineLevel="2" x14ac:dyDescent="0.25">
      <c r="A96" s="57"/>
      <c r="B96" s="61" t="s">
        <v>105</v>
      </c>
      <c r="C96" s="62" t="s">
        <v>77</v>
      </c>
      <c r="D96" s="49">
        <v>0.95648</v>
      </c>
      <c r="E96" s="609">
        <f t="shared" si="1"/>
        <v>0.95648</v>
      </c>
      <c r="F96" s="607"/>
      <c r="G96" s="607"/>
    </row>
    <row r="97" spans="1:7" s="14" customFormat="1" ht="34.5" hidden="1" customHeight="1" outlineLevel="2" x14ac:dyDescent="0.25">
      <c r="A97" s="57"/>
      <c r="B97" s="61" t="s">
        <v>83</v>
      </c>
      <c r="C97" s="62" t="s">
        <v>77</v>
      </c>
      <c r="D97" s="49">
        <v>1.57874</v>
      </c>
      <c r="E97" s="609">
        <f t="shared" si="1"/>
        <v>1.57874</v>
      </c>
      <c r="F97" s="607"/>
      <c r="G97" s="607"/>
    </row>
    <row r="98" spans="1:7" s="14" customFormat="1" ht="34.5" hidden="1" customHeight="1" outlineLevel="2" x14ac:dyDescent="0.25">
      <c r="A98" s="57"/>
      <c r="B98" s="61" t="s">
        <v>84</v>
      </c>
      <c r="C98" s="62" t="s">
        <v>77</v>
      </c>
      <c r="D98" s="49">
        <v>0.22</v>
      </c>
      <c r="E98" s="609">
        <f t="shared" si="1"/>
        <v>0.22</v>
      </c>
      <c r="F98" s="607"/>
      <c r="G98" s="607"/>
    </row>
    <row r="99" spans="1:7" s="14" customFormat="1" ht="34.5" hidden="1" customHeight="1" outlineLevel="2" x14ac:dyDescent="0.25">
      <c r="A99" s="57"/>
      <c r="B99" s="61" t="s">
        <v>85</v>
      </c>
      <c r="C99" s="62" t="s">
        <v>77</v>
      </c>
      <c r="D99" s="49">
        <v>0.70641999999999994</v>
      </c>
      <c r="E99" s="609">
        <f t="shared" si="1"/>
        <v>0.70641999999999994</v>
      </c>
      <c r="F99" s="607"/>
      <c r="G99" s="607"/>
    </row>
    <row r="100" spans="1:7" s="14" customFormat="1" ht="34.5" hidden="1" customHeight="1" outlineLevel="2" x14ac:dyDescent="0.25">
      <c r="A100" s="57"/>
      <c r="B100" s="61" t="s">
        <v>86</v>
      </c>
      <c r="C100" s="62" t="s">
        <v>77</v>
      </c>
      <c r="D100" s="49">
        <v>0.83786000000000005</v>
      </c>
      <c r="E100" s="609">
        <f t="shared" si="1"/>
        <v>0.83786000000000005</v>
      </c>
      <c r="F100" s="607"/>
      <c r="G100" s="607"/>
    </row>
    <row r="101" spans="1:7" s="14" customFormat="1" ht="34.5" hidden="1" customHeight="1" outlineLevel="2" x14ac:dyDescent="0.25">
      <c r="A101" s="57"/>
      <c r="B101" s="61" t="s">
        <v>87</v>
      </c>
      <c r="C101" s="62" t="s">
        <v>77</v>
      </c>
      <c r="D101" s="49">
        <v>0.62215999999999994</v>
      </c>
      <c r="E101" s="609">
        <f t="shared" si="1"/>
        <v>0.62215999999999994</v>
      </c>
      <c r="F101" s="607"/>
      <c r="G101" s="607"/>
    </row>
    <row r="102" spans="1:7" s="14" customFormat="1" ht="34.5" hidden="1" customHeight="1" outlineLevel="2" x14ac:dyDescent="0.25">
      <c r="A102" s="57"/>
      <c r="B102" s="61" t="s">
        <v>143</v>
      </c>
      <c r="C102" s="62" t="s">
        <v>77</v>
      </c>
      <c r="D102" s="49">
        <v>2.2176399999999998</v>
      </c>
      <c r="E102" s="609">
        <f t="shared" si="1"/>
        <v>2.2176399999999998</v>
      </c>
      <c r="F102" s="607"/>
      <c r="G102" s="607"/>
    </row>
    <row r="103" spans="1:7" s="14" customFormat="1" ht="34.5" hidden="1" customHeight="1" outlineLevel="2" x14ac:dyDescent="0.25">
      <c r="A103" s="57"/>
      <c r="B103" s="61" t="s">
        <v>984</v>
      </c>
      <c r="C103" s="63" t="s">
        <v>10</v>
      </c>
      <c r="D103" s="49">
        <v>30.5</v>
      </c>
      <c r="E103" s="609">
        <f t="shared" si="1"/>
        <v>30.5</v>
      </c>
      <c r="F103" s="607"/>
      <c r="G103" s="607"/>
    </row>
    <row r="104" spans="1:7" s="14" customFormat="1" ht="34.5" hidden="1" customHeight="1" outlineLevel="2" x14ac:dyDescent="0.25">
      <c r="A104" s="57"/>
      <c r="B104" s="61" t="s">
        <v>102</v>
      </c>
      <c r="C104" s="63" t="s">
        <v>68</v>
      </c>
      <c r="D104" s="49">
        <v>110.92</v>
      </c>
      <c r="E104" s="609">
        <f t="shared" si="1"/>
        <v>110.92</v>
      </c>
      <c r="F104" s="607"/>
      <c r="G104" s="607"/>
    </row>
    <row r="105" spans="1:7" s="14" customFormat="1" ht="34.5" hidden="1" customHeight="1" outlineLevel="2" x14ac:dyDescent="0.25">
      <c r="A105" s="57"/>
      <c r="B105" s="64" t="s">
        <v>985</v>
      </c>
      <c r="C105" s="59" t="s">
        <v>134</v>
      </c>
      <c r="D105" s="49">
        <v>1</v>
      </c>
      <c r="E105" s="609">
        <f t="shared" si="1"/>
        <v>1</v>
      </c>
      <c r="F105" s="607"/>
      <c r="G105" s="607"/>
    </row>
    <row r="106" spans="1:7" s="14" customFormat="1" ht="34.5" hidden="1" customHeight="1" outlineLevel="2" x14ac:dyDescent="0.25">
      <c r="A106" s="57"/>
      <c r="B106" s="76" t="s">
        <v>986</v>
      </c>
      <c r="C106" s="62" t="s">
        <v>77</v>
      </c>
      <c r="D106" s="49">
        <v>0.35525000000000001</v>
      </c>
      <c r="E106" s="609">
        <f t="shared" si="1"/>
        <v>0.35525000000000001</v>
      </c>
      <c r="F106" s="607"/>
      <c r="G106" s="607"/>
    </row>
    <row r="107" spans="1:7" s="14" customFormat="1" ht="34.5" hidden="1" customHeight="1" outlineLevel="2" x14ac:dyDescent="0.25">
      <c r="A107" s="57"/>
      <c r="B107" s="76" t="s">
        <v>987</v>
      </c>
      <c r="C107" s="62" t="s">
        <v>124</v>
      </c>
      <c r="D107" s="49">
        <v>77.712999999999994</v>
      </c>
      <c r="E107" s="609">
        <f t="shared" si="1"/>
        <v>77.712999999999994</v>
      </c>
      <c r="F107" s="607"/>
      <c r="G107" s="607"/>
    </row>
    <row r="108" spans="1:7" s="14" customFormat="1" ht="34.5" hidden="1" customHeight="1" outlineLevel="2" x14ac:dyDescent="0.25">
      <c r="A108" s="57"/>
      <c r="B108" s="76" t="s">
        <v>988</v>
      </c>
      <c r="C108" s="62" t="s">
        <v>124</v>
      </c>
      <c r="D108" s="49">
        <v>2.4</v>
      </c>
      <c r="E108" s="609">
        <f t="shared" si="1"/>
        <v>2.4</v>
      </c>
      <c r="F108" s="607"/>
      <c r="G108" s="607"/>
    </row>
    <row r="109" spans="1:7" s="14" customFormat="1" ht="34.5" hidden="1" customHeight="1" outlineLevel="2" x14ac:dyDescent="0.25">
      <c r="A109" s="57"/>
      <c r="B109" s="61" t="s">
        <v>989</v>
      </c>
      <c r="C109" s="63" t="s">
        <v>78</v>
      </c>
      <c r="D109" s="49">
        <v>2</v>
      </c>
      <c r="E109" s="609">
        <f t="shared" si="1"/>
        <v>2</v>
      </c>
      <c r="F109" s="607"/>
      <c r="G109" s="607"/>
    </row>
    <row r="110" spans="1:7" s="14" customFormat="1" ht="34.5" hidden="1" customHeight="1" outlineLevel="2" x14ac:dyDescent="0.25">
      <c r="A110" s="57"/>
      <c r="B110" s="61" t="s">
        <v>990</v>
      </c>
      <c r="C110" s="63" t="s">
        <v>78</v>
      </c>
      <c r="D110" s="49">
        <v>2</v>
      </c>
      <c r="E110" s="609">
        <f t="shared" si="1"/>
        <v>2</v>
      </c>
      <c r="F110" s="607"/>
      <c r="G110" s="607"/>
    </row>
    <row r="111" spans="1:7" s="14" customFormat="1" ht="34.5" hidden="1" customHeight="1" outlineLevel="2" x14ac:dyDescent="0.25">
      <c r="A111" s="57"/>
      <c r="B111" s="76" t="s">
        <v>991</v>
      </c>
      <c r="C111" s="62" t="s">
        <v>10</v>
      </c>
      <c r="D111" s="49">
        <v>0.36399999999999999</v>
      </c>
      <c r="E111" s="609">
        <f t="shared" si="1"/>
        <v>0.36399999999999999</v>
      </c>
      <c r="F111" s="607"/>
      <c r="G111" s="607"/>
    </row>
    <row r="112" spans="1:7" s="14" customFormat="1" ht="34.5" hidden="1" customHeight="1" outlineLevel="1" collapsed="1" x14ac:dyDescent="0.25">
      <c r="A112" s="57">
        <v>6</v>
      </c>
      <c r="B112" s="58" t="s">
        <v>1001</v>
      </c>
      <c r="C112" s="57" t="s">
        <v>970</v>
      </c>
      <c r="D112" s="49">
        <v>1</v>
      </c>
      <c r="E112" s="609">
        <f t="shared" si="1"/>
        <v>1</v>
      </c>
      <c r="F112" s="607"/>
      <c r="G112" s="607"/>
    </row>
    <row r="113" spans="1:7" s="14" customFormat="1" ht="34.5" hidden="1" customHeight="1" outlineLevel="2" x14ac:dyDescent="0.25">
      <c r="A113" s="57"/>
      <c r="B113" s="64" t="s">
        <v>1002</v>
      </c>
      <c r="C113" s="60" t="s">
        <v>970</v>
      </c>
      <c r="D113" s="49">
        <v>1</v>
      </c>
      <c r="E113" s="609">
        <f t="shared" si="1"/>
        <v>1</v>
      </c>
      <c r="F113" s="607"/>
      <c r="G113" s="607"/>
    </row>
    <row r="114" spans="1:7" s="14" customFormat="1" ht="34.5" hidden="1" customHeight="1" outlineLevel="2" x14ac:dyDescent="0.25">
      <c r="A114" s="57"/>
      <c r="B114" s="61" t="s">
        <v>105</v>
      </c>
      <c r="C114" s="62" t="s">
        <v>77</v>
      </c>
      <c r="D114" s="49">
        <v>0.93774999999999997</v>
      </c>
      <c r="E114" s="609">
        <f t="shared" si="1"/>
        <v>0.93774999999999997</v>
      </c>
      <c r="F114" s="607"/>
      <c r="G114" s="607"/>
    </row>
    <row r="115" spans="1:7" s="14" customFormat="1" ht="34.5" hidden="1" customHeight="1" outlineLevel="2" x14ac:dyDescent="0.25">
      <c r="A115" s="57"/>
      <c r="B115" s="61" t="s">
        <v>83</v>
      </c>
      <c r="C115" s="62" t="s">
        <v>77</v>
      </c>
      <c r="D115" s="49">
        <v>1.57176</v>
      </c>
      <c r="E115" s="609">
        <f t="shared" si="1"/>
        <v>1.57176</v>
      </c>
      <c r="F115" s="607"/>
      <c r="G115" s="607"/>
    </row>
    <row r="116" spans="1:7" s="14" customFormat="1" ht="34.5" hidden="1" customHeight="1" outlineLevel="2" x14ac:dyDescent="0.25">
      <c r="A116" s="57"/>
      <c r="B116" s="61" t="s">
        <v>84</v>
      </c>
      <c r="C116" s="62" t="s">
        <v>77</v>
      </c>
      <c r="D116" s="49">
        <v>0.22</v>
      </c>
      <c r="E116" s="609">
        <f t="shared" si="1"/>
        <v>0.22</v>
      </c>
      <c r="F116" s="607"/>
      <c r="G116" s="607"/>
    </row>
    <row r="117" spans="1:7" s="14" customFormat="1" ht="34.5" hidden="1" customHeight="1" outlineLevel="2" x14ac:dyDescent="0.25">
      <c r="A117" s="57"/>
      <c r="B117" s="61" t="s">
        <v>85</v>
      </c>
      <c r="C117" s="62" t="s">
        <v>77</v>
      </c>
      <c r="D117" s="49">
        <v>0.70641999999999994</v>
      </c>
      <c r="E117" s="609">
        <f t="shared" si="1"/>
        <v>0.70641999999999994</v>
      </c>
      <c r="F117" s="607"/>
      <c r="G117" s="607"/>
    </row>
    <row r="118" spans="1:7" s="14" customFormat="1" ht="34.5" hidden="1" customHeight="1" outlineLevel="2" x14ac:dyDescent="0.25">
      <c r="A118" s="57"/>
      <c r="B118" s="61" t="s">
        <v>86</v>
      </c>
      <c r="C118" s="62" t="s">
        <v>77</v>
      </c>
      <c r="D118" s="49">
        <v>0.83786000000000005</v>
      </c>
      <c r="E118" s="609">
        <f t="shared" si="1"/>
        <v>0.83786000000000005</v>
      </c>
      <c r="F118" s="607"/>
      <c r="G118" s="607"/>
    </row>
    <row r="119" spans="1:7" s="14" customFormat="1" ht="34.5" hidden="1" customHeight="1" outlineLevel="2" x14ac:dyDescent="0.25">
      <c r="A119" s="57"/>
      <c r="B119" s="61" t="s">
        <v>87</v>
      </c>
      <c r="C119" s="62" t="s">
        <v>77</v>
      </c>
      <c r="D119" s="49">
        <v>0.62215999999999994</v>
      </c>
      <c r="E119" s="609">
        <f t="shared" si="1"/>
        <v>0.62215999999999994</v>
      </c>
      <c r="F119" s="607"/>
      <c r="G119" s="607"/>
    </row>
    <row r="120" spans="1:7" s="14" customFormat="1" ht="34.5" hidden="1" customHeight="1" outlineLevel="2" x14ac:dyDescent="0.25">
      <c r="A120" s="57"/>
      <c r="B120" s="61" t="s">
        <v>143</v>
      </c>
      <c r="C120" s="62" t="s">
        <v>77</v>
      </c>
      <c r="D120" s="49">
        <v>2.0773899999999998</v>
      </c>
      <c r="E120" s="609">
        <f t="shared" si="1"/>
        <v>2.0773899999999998</v>
      </c>
      <c r="F120" s="607"/>
      <c r="G120" s="607"/>
    </row>
    <row r="121" spans="1:7" s="14" customFormat="1" ht="34.5" hidden="1" customHeight="1" outlineLevel="2" x14ac:dyDescent="0.25">
      <c r="A121" s="57"/>
      <c r="B121" s="61" t="s">
        <v>984</v>
      </c>
      <c r="C121" s="63" t="s">
        <v>10</v>
      </c>
      <c r="D121" s="49">
        <v>29.08</v>
      </c>
      <c r="E121" s="609">
        <f t="shared" si="1"/>
        <v>29.08</v>
      </c>
      <c r="F121" s="607"/>
      <c r="G121" s="607"/>
    </row>
    <row r="122" spans="1:7" s="14" customFormat="1" ht="34.5" hidden="1" customHeight="1" outlineLevel="2" x14ac:dyDescent="0.25">
      <c r="A122" s="57"/>
      <c r="B122" s="61" t="s">
        <v>102</v>
      </c>
      <c r="C122" s="63" t="s">
        <v>68</v>
      </c>
      <c r="D122" s="49">
        <v>107.02</v>
      </c>
      <c r="E122" s="609">
        <f t="shared" si="1"/>
        <v>107.02</v>
      </c>
      <c r="F122" s="607"/>
      <c r="G122" s="607"/>
    </row>
    <row r="123" spans="1:7" s="14" customFormat="1" ht="34.5" hidden="1" customHeight="1" outlineLevel="2" x14ac:dyDescent="0.25">
      <c r="A123" s="57"/>
      <c r="B123" s="64" t="s">
        <v>998</v>
      </c>
      <c r="C123" s="590" t="s">
        <v>79</v>
      </c>
      <c r="D123" s="49">
        <v>2</v>
      </c>
      <c r="E123" s="609">
        <f t="shared" si="1"/>
        <v>2</v>
      </c>
      <c r="F123" s="607"/>
      <c r="G123" s="607"/>
    </row>
    <row r="124" spans="1:7" s="14" customFormat="1" ht="34.5" hidden="1" customHeight="1" outlineLevel="2" x14ac:dyDescent="0.25">
      <c r="A124" s="57"/>
      <c r="B124" s="61" t="s">
        <v>83</v>
      </c>
      <c r="C124" s="62" t="s">
        <v>77</v>
      </c>
      <c r="D124" s="49">
        <v>0.1166</v>
      </c>
      <c r="E124" s="609">
        <f t="shared" si="1"/>
        <v>0.1166</v>
      </c>
      <c r="F124" s="607"/>
      <c r="G124" s="607"/>
    </row>
    <row r="125" spans="1:7" s="14" customFormat="1" ht="34.5" hidden="1" customHeight="1" outlineLevel="2" x14ac:dyDescent="0.25">
      <c r="A125" s="57"/>
      <c r="B125" s="61" t="s">
        <v>85</v>
      </c>
      <c r="C125" s="62" t="s">
        <v>77</v>
      </c>
      <c r="D125" s="49">
        <v>0.95077999999999996</v>
      </c>
      <c r="E125" s="609">
        <f t="shared" si="1"/>
        <v>0.95077999999999996</v>
      </c>
      <c r="F125" s="607"/>
      <c r="G125" s="607"/>
    </row>
    <row r="126" spans="1:7" s="14" customFormat="1" ht="34.5" hidden="1" customHeight="1" outlineLevel="2" x14ac:dyDescent="0.25">
      <c r="A126" s="57"/>
      <c r="B126" s="61" t="s">
        <v>87</v>
      </c>
      <c r="C126" s="62" t="s">
        <v>77</v>
      </c>
      <c r="D126" s="49">
        <v>0.32005</v>
      </c>
      <c r="E126" s="609">
        <f t="shared" si="1"/>
        <v>0.32005</v>
      </c>
      <c r="F126" s="607"/>
      <c r="G126" s="607"/>
    </row>
    <row r="127" spans="1:7" s="14" customFormat="1" ht="34.5" hidden="1" customHeight="1" outlineLevel="2" x14ac:dyDescent="0.25">
      <c r="A127" s="57"/>
      <c r="B127" s="61" t="s">
        <v>984</v>
      </c>
      <c r="C127" s="63" t="s">
        <v>10</v>
      </c>
      <c r="D127" s="49">
        <v>1.4</v>
      </c>
      <c r="E127" s="609">
        <f t="shared" si="1"/>
        <v>1.4</v>
      </c>
      <c r="F127" s="607"/>
      <c r="G127" s="607"/>
    </row>
    <row r="128" spans="1:7" s="14" customFormat="1" ht="34.5" hidden="1" customHeight="1" outlineLevel="2" x14ac:dyDescent="0.25">
      <c r="A128" s="57"/>
      <c r="B128" s="61" t="s">
        <v>102</v>
      </c>
      <c r="C128" s="62" t="s">
        <v>68</v>
      </c>
      <c r="D128" s="49">
        <v>2.46</v>
      </c>
      <c r="E128" s="609">
        <f t="shared" si="1"/>
        <v>2.46</v>
      </c>
      <c r="F128" s="607"/>
      <c r="G128" s="607"/>
    </row>
    <row r="129" spans="1:7" s="14" customFormat="1" ht="34.5" hidden="1" customHeight="1" outlineLevel="2" x14ac:dyDescent="0.25">
      <c r="A129" s="57"/>
      <c r="B129" s="64" t="s">
        <v>985</v>
      </c>
      <c r="C129" s="59" t="s">
        <v>134</v>
      </c>
      <c r="D129" s="49">
        <v>1</v>
      </c>
      <c r="E129" s="609">
        <f t="shared" si="1"/>
        <v>1</v>
      </c>
      <c r="F129" s="607"/>
      <c r="G129" s="607"/>
    </row>
    <row r="130" spans="1:7" s="14" customFormat="1" ht="34.5" hidden="1" customHeight="1" outlineLevel="2" x14ac:dyDescent="0.25">
      <c r="A130" s="57"/>
      <c r="B130" s="76" t="s">
        <v>986</v>
      </c>
      <c r="C130" s="62" t="s">
        <v>77</v>
      </c>
      <c r="D130" s="49">
        <v>0.43445</v>
      </c>
      <c r="E130" s="609">
        <f t="shared" si="1"/>
        <v>0.43445</v>
      </c>
      <c r="F130" s="607"/>
      <c r="G130" s="607"/>
    </row>
    <row r="131" spans="1:7" s="14" customFormat="1" ht="34.5" hidden="1" customHeight="1" outlineLevel="2" x14ac:dyDescent="0.25">
      <c r="A131" s="57"/>
      <c r="B131" s="76" t="s">
        <v>987</v>
      </c>
      <c r="C131" s="62" t="s">
        <v>124</v>
      </c>
      <c r="D131" s="49">
        <v>94.09</v>
      </c>
      <c r="E131" s="609">
        <f t="shared" si="1"/>
        <v>94.09</v>
      </c>
      <c r="F131" s="607"/>
      <c r="G131" s="607"/>
    </row>
    <row r="132" spans="1:7" s="14" customFormat="1" ht="34.5" hidden="1" customHeight="1" outlineLevel="2" x14ac:dyDescent="0.25">
      <c r="A132" s="57"/>
      <c r="B132" s="76" t="s">
        <v>988</v>
      </c>
      <c r="C132" s="62" t="s">
        <v>124</v>
      </c>
      <c r="D132" s="49">
        <v>1.6</v>
      </c>
      <c r="E132" s="609">
        <f t="shared" si="1"/>
        <v>1.6</v>
      </c>
      <c r="F132" s="607"/>
      <c r="G132" s="607"/>
    </row>
    <row r="133" spans="1:7" s="14" customFormat="1" ht="34.5" hidden="1" customHeight="1" outlineLevel="2" x14ac:dyDescent="0.25">
      <c r="A133" s="57"/>
      <c r="B133" s="61" t="s">
        <v>989</v>
      </c>
      <c r="C133" s="63" t="s">
        <v>78</v>
      </c>
      <c r="D133" s="49">
        <v>2</v>
      </c>
      <c r="E133" s="609">
        <f t="shared" si="1"/>
        <v>2</v>
      </c>
      <c r="F133" s="607"/>
      <c r="G133" s="607"/>
    </row>
    <row r="134" spans="1:7" s="14" customFormat="1" ht="34.5" hidden="1" customHeight="1" outlineLevel="2" x14ac:dyDescent="0.25">
      <c r="A134" s="57"/>
      <c r="B134" s="61" t="s">
        <v>990</v>
      </c>
      <c r="C134" s="63" t="s">
        <v>78</v>
      </c>
      <c r="D134" s="49">
        <v>2</v>
      </c>
      <c r="E134" s="609">
        <f t="shared" si="1"/>
        <v>2</v>
      </c>
      <c r="F134" s="607"/>
      <c r="G134" s="607"/>
    </row>
    <row r="135" spans="1:7" s="14" customFormat="1" ht="34.5" hidden="1" customHeight="1" outlineLevel="2" x14ac:dyDescent="0.25">
      <c r="A135" s="57"/>
      <c r="B135" s="76" t="s">
        <v>991</v>
      </c>
      <c r="C135" s="62" t="s">
        <v>10</v>
      </c>
      <c r="D135" s="49">
        <v>0.44</v>
      </c>
      <c r="E135" s="609">
        <f t="shared" si="1"/>
        <v>0.44</v>
      </c>
      <c r="F135" s="607"/>
      <c r="G135" s="607"/>
    </row>
    <row r="136" spans="1:7" s="14" customFormat="1" ht="34.5" hidden="1" customHeight="1" outlineLevel="1" collapsed="1" x14ac:dyDescent="0.25">
      <c r="A136" s="57">
        <v>7</v>
      </c>
      <c r="B136" s="58" t="s">
        <v>1003</v>
      </c>
      <c r="C136" s="57" t="s">
        <v>970</v>
      </c>
      <c r="D136" s="49">
        <v>1</v>
      </c>
      <c r="E136" s="609">
        <f t="shared" si="1"/>
        <v>1</v>
      </c>
      <c r="F136" s="607"/>
      <c r="G136" s="607"/>
    </row>
    <row r="137" spans="1:7" s="14" customFormat="1" ht="34.5" hidden="1" customHeight="1" outlineLevel="2" x14ac:dyDescent="0.25">
      <c r="A137" s="57"/>
      <c r="B137" s="64" t="s">
        <v>1004</v>
      </c>
      <c r="C137" s="60" t="s">
        <v>970</v>
      </c>
      <c r="D137" s="49">
        <v>1</v>
      </c>
      <c r="E137" s="609">
        <f t="shared" si="1"/>
        <v>1</v>
      </c>
      <c r="F137" s="607"/>
      <c r="G137" s="607"/>
    </row>
    <row r="138" spans="1:7" s="14" customFormat="1" ht="34.5" hidden="1" customHeight="1" outlineLevel="2" x14ac:dyDescent="0.25">
      <c r="A138" s="57"/>
      <c r="B138" s="61" t="s">
        <v>105</v>
      </c>
      <c r="C138" s="62" t="s">
        <v>77</v>
      </c>
      <c r="D138" s="49">
        <v>0.93774999999999997</v>
      </c>
      <c r="E138" s="609">
        <f t="shared" si="1"/>
        <v>0.93774999999999997</v>
      </c>
      <c r="F138" s="607"/>
      <c r="G138" s="607"/>
    </row>
    <row r="139" spans="1:7" s="14" customFormat="1" ht="34.5" hidden="1" customHeight="1" outlineLevel="2" x14ac:dyDescent="0.25">
      <c r="A139" s="57"/>
      <c r="B139" s="61" t="s">
        <v>83</v>
      </c>
      <c r="C139" s="62" t="s">
        <v>77</v>
      </c>
      <c r="D139" s="49">
        <v>1.57176</v>
      </c>
      <c r="E139" s="609">
        <f t="shared" si="1"/>
        <v>1.57176</v>
      </c>
      <c r="F139" s="607"/>
      <c r="G139" s="607"/>
    </row>
    <row r="140" spans="1:7" s="14" customFormat="1" ht="34.5" hidden="1" customHeight="1" outlineLevel="2" x14ac:dyDescent="0.25">
      <c r="A140" s="57"/>
      <c r="B140" s="61" t="s">
        <v>84</v>
      </c>
      <c r="C140" s="62" t="s">
        <v>77</v>
      </c>
      <c r="D140" s="49">
        <v>0.22</v>
      </c>
      <c r="E140" s="609">
        <f t="shared" si="1"/>
        <v>0.22</v>
      </c>
      <c r="F140" s="607"/>
      <c r="G140" s="607"/>
    </row>
    <row r="141" spans="1:7" s="14" customFormat="1" ht="34.5" hidden="1" customHeight="1" outlineLevel="2" x14ac:dyDescent="0.25">
      <c r="A141" s="57"/>
      <c r="B141" s="61" t="s">
        <v>85</v>
      </c>
      <c r="C141" s="62" t="s">
        <v>77</v>
      </c>
      <c r="D141" s="49">
        <v>0.70641999999999994</v>
      </c>
      <c r="E141" s="609">
        <f t="shared" si="1"/>
        <v>0.70641999999999994</v>
      </c>
      <c r="F141" s="607"/>
      <c r="G141" s="607"/>
    </row>
    <row r="142" spans="1:7" s="14" customFormat="1" ht="34.5" hidden="1" customHeight="1" outlineLevel="2" x14ac:dyDescent="0.25">
      <c r="A142" s="57"/>
      <c r="B142" s="61" t="s">
        <v>86</v>
      </c>
      <c r="C142" s="62" t="s">
        <v>77</v>
      </c>
      <c r="D142" s="49">
        <v>0.83786000000000005</v>
      </c>
      <c r="E142" s="609">
        <f t="shared" si="1"/>
        <v>0.83786000000000005</v>
      </c>
      <c r="F142" s="607"/>
      <c r="G142" s="607"/>
    </row>
    <row r="143" spans="1:7" s="14" customFormat="1" ht="34.5" hidden="1" customHeight="1" outlineLevel="2" x14ac:dyDescent="0.25">
      <c r="A143" s="57"/>
      <c r="B143" s="61" t="s">
        <v>87</v>
      </c>
      <c r="C143" s="62" t="s">
        <v>77</v>
      </c>
      <c r="D143" s="49">
        <v>0.62215999999999994</v>
      </c>
      <c r="E143" s="609">
        <f t="shared" si="1"/>
        <v>0.62215999999999994</v>
      </c>
      <c r="F143" s="607"/>
      <c r="G143" s="607"/>
    </row>
    <row r="144" spans="1:7" s="14" customFormat="1" ht="34.5" hidden="1" customHeight="1" outlineLevel="2" x14ac:dyDescent="0.25">
      <c r="A144" s="57"/>
      <c r="B144" s="61" t="s">
        <v>143</v>
      </c>
      <c r="C144" s="62" t="s">
        <v>77</v>
      </c>
      <c r="D144" s="49">
        <v>2.0773899999999998</v>
      </c>
      <c r="E144" s="609">
        <f t="shared" ref="E144:E207" si="2">D144</f>
        <v>2.0773899999999998</v>
      </c>
      <c r="F144" s="607"/>
      <c r="G144" s="607"/>
    </row>
    <row r="145" spans="1:7" s="14" customFormat="1" ht="34.5" hidden="1" customHeight="1" outlineLevel="2" x14ac:dyDescent="0.25">
      <c r="A145" s="57"/>
      <c r="B145" s="61" t="s">
        <v>984</v>
      </c>
      <c r="C145" s="63" t="s">
        <v>10</v>
      </c>
      <c r="D145" s="49">
        <v>29.08</v>
      </c>
      <c r="E145" s="609">
        <f t="shared" si="2"/>
        <v>29.08</v>
      </c>
      <c r="F145" s="607"/>
      <c r="G145" s="607"/>
    </row>
    <row r="146" spans="1:7" s="14" customFormat="1" ht="34.5" hidden="1" customHeight="1" outlineLevel="2" x14ac:dyDescent="0.25">
      <c r="A146" s="57"/>
      <c r="B146" s="61" t="s">
        <v>102</v>
      </c>
      <c r="C146" s="63" t="s">
        <v>68</v>
      </c>
      <c r="D146" s="49">
        <v>107.02</v>
      </c>
      <c r="E146" s="609">
        <f t="shared" si="2"/>
        <v>107.02</v>
      </c>
      <c r="F146" s="607"/>
      <c r="G146" s="607"/>
    </row>
    <row r="147" spans="1:7" s="14" customFormat="1" ht="34.5" hidden="1" customHeight="1" outlineLevel="2" x14ac:dyDescent="0.25">
      <c r="A147" s="57"/>
      <c r="B147" s="64" t="s">
        <v>998</v>
      </c>
      <c r="C147" s="590" t="s">
        <v>79</v>
      </c>
      <c r="D147" s="49">
        <v>2</v>
      </c>
      <c r="E147" s="609">
        <f t="shared" si="2"/>
        <v>2</v>
      </c>
      <c r="F147" s="607"/>
      <c r="G147" s="607"/>
    </row>
    <row r="148" spans="1:7" s="14" customFormat="1" ht="34.5" hidden="1" customHeight="1" outlineLevel="2" x14ac:dyDescent="0.25">
      <c r="A148" s="57"/>
      <c r="B148" s="61" t="s">
        <v>83</v>
      </c>
      <c r="C148" s="62" t="s">
        <v>77</v>
      </c>
      <c r="D148" s="49">
        <v>0.10365000000000001</v>
      </c>
      <c r="E148" s="609">
        <f t="shared" si="2"/>
        <v>0.10365000000000001</v>
      </c>
      <c r="F148" s="607"/>
      <c r="G148" s="607"/>
    </row>
    <row r="149" spans="1:7" s="14" customFormat="1" ht="34.5" hidden="1" customHeight="1" outlineLevel="2" x14ac:dyDescent="0.25">
      <c r="A149" s="57"/>
      <c r="B149" s="61" t="s">
        <v>85</v>
      </c>
      <c r="C149" s="62" t="s">
        <v>77</v>
      </c>
      <c r="D149" s="49">
        <v>0.89870000000000005</v>
      </c>
      <c r="E149" s="609">
        <f t="shared" si="2"/>
        <v>0.89870000000000005</v>
      </c>
      <c r="F149" s="607"/>
      <c r="G149" s="607"/>
    </row>
    <row r="150" spans="1:7" s="14" customFormat="1" ht="34.5" hidden="1" customHeight="1" outlineLevel="2" x14ac:dyDescent="0.25">
      <c r="A150" s="57"/>
      <c r="B150" s="61" t="s">
        <v>87</v>
      </c>
      <c r="C150" s="62" t="s">
        <v>77</v>
      </c>
      <c r="D150" s="49">
        <v>0.29394999999999999</v>
      </c>
      <c r="E150" s="609">
        <f t="shared" si="2"/>
        <v>0.29394999999999999</v>
      </c>
      <c r="F150" s="607"/>
      <c r="G150" s="607"/>
    </row>
    <row r="151" spans="1:7" s="14" customFormat="1" ht="34.5" hidden="1" customHeight="1" outlineLevel="2" x14ac:dyDescent="0.25">
      <c r="A151" s="57"/>
      <c r="B151" s="61" t="s">
        <v>984</v>
      </c>
      <c r="C151" s="63" t="s">
        <v>10</v>
      </c>
      <c r="D151" s="49">
        <v>1.38</v>
      </c>
      <c r="E151" s="609">
        <f t="shared" si="2"/>
        <v>1.38</v>
      </c>
      <c r="F151" s="607"/>
      <c r="G151" s="607"/>
    </row>
    <row r="152" spans="1:7" s="14" customFormat="1" ht="34.5" hidden="1" customHeight="1" outlineLevel="2" x14ac:dyDescent="0.25">
      <c r="A152" s="57"/>
      <c r="B152" s="61" t="s">
        <v>102</v>
      </c>
      <c r="C152" s="62" t="s">
        <v>68</v>
      </c>
      <c r="D152" s="49">
        <v>6.08</v>
      </c>
      <c r="E152" s="609">
        <f t="shared" si="2"/>
        <v>6.08</v>
      </c>
      <c r="F152" s="607"/>
      <c r="G152" s="607"/>
    </row>
    <row r="153" spans="1:7" s="14" customFormat="1" ht="34.5" hidden="1" customHeight="1" outlineLevel="2" x14ac:dyDescent="0.25">
      <c r="A153" s="57"/>
      <c r="B153" s="64" t="s">
        <v>985</v>
      </c>
      <c r="C153" s="59" t="s">
        <v>134</v>
      </c>
      <c r="D153" s="49">
        <v>1</v>
      </c>
      <c r="E153" s="609">
        <f t="shared" si="2"/>
        <v>1</v>
      </c>
      <c r="F153" s="607"/>
      <c r="G153" s="607"/>
    </row>
    <row r="154" spans="1:7" s="14" customFormat="1" ht="34.5" hidden="1" customHeight="1" outlineLevel="2" x14ac:dyDescent="0.25">
      <c r="A154" s="57"/>
      <c r="B154" s="76" t="s">
        <v>986</v>
      </c>
      <c r="C154" s="62" t="s">
        <v>77</v>
      </c>
      <c r="D154" s="49">
        <v>0.43445</v>
      </c>
      <c r="E154" s="609">
        <f t="shared" si="2"/>
        <v>0.43445</v>
      </c>
      <c r="F154" s="607"/>
      <c r="G154" s="607"/>
    </row>
    <row r="155" spans="1:7" s="14" customFormat="1" ht="34.5" hidden="1" customHeight="1" outlineLevel="2" x14ac:dyDescent="0.25">
      <c r="A155" s="57"/>
      <c r="B155" s="76" t="s">
        <v>987</v>
      </c>
      <c r="C155" s="62" t="s">
        <v>124</v>
      </c>
      <c r="D155" s="49">
        <v>82.07</v>
      </c>
      <c r="E155" s="609">
        <f t="shared" si="2"/>
        <v>82.07</v>
      </c>
      <c r="F155" s="607"/>
      <c r="G155" s="607"/>
    </row>
    <row r="156" spans="1:7" s="14" customFormat="1" ht="34.5" hidden="1" customHeight="1" outlineLevel="2" x14ac:dyDescent="0.25">
      <c r="A156" s="57"/>
      <c r="B156" s="76" t="s">
        <v>988</v>
      </c>
      <c r="C156" s="62" t="s">
        <v>124</v>
      </c>
      <c r="D156" s="49">
        <v>1.6</v>
      </c>
      <c r="E156" s="609">
        <f t="shared" si="2"/>
        <v>1.6</v>
      </c>
      <c r="F156" s="607"/>
      <c r="G156" s="607"/>
    </row>
    <row r="157" spans="1:7" s="14" customFormat="1" ht="34.5" hidden="1" customHeight="1" outlineLevel="2" x14ac:dyDescent="0.25">
      <c r="A157" s="57"/>
      <c r="B157" s="61" t="s">
        <v>989</v>
      </c>
      <c r="C157" s="63" t="s">
        <v>78</v>
      </c>
      <c r="D157" s="49">
        <v>2</v>
      </c>
      <c r="E157" s="609">
        <f t="shared" si="2"/>
        <v>2</v>
      </c>
      <c r="F157" s="607"/>
      <c r="G157" s="607"/>
    </row>
    <row r="158" spans="1:7" s="14" customFormat="1" ht="34.5" hidden="1" customHeight="1" outlineLevel="2" x14ac:dyDescent="0.25">
      <c r="A158" s="57"/>
      <c r="B158" s="61" t="s">
        <v>990</v>
      </c>
      <c r="C158" s="63" t="s">
        <v>78</v>
      </c>
      <c r="D158" s="49">
        <v>2</v>
      </c>
      <c r="E158" s="609">
        <f t="shared" si="2"/>
        <v>2</v>
      </c>
      <c r="F158" s="607"/>
      <c r="G158" s="607"/>
    </row>
    <row r="159" spans="1:7" s="14" customFormat="1" ht="34.5" hidden="1" customHeight="1" outlineLevel="2" x14ac:dyDescent="0.25">
      <c r="A159" s="57"/>
      <c r="B159" s="76" t="s">
        <v>991</v>
      </c>
      <c r="C159" s="62" t="s">
        <v>10</v>
      </c>
      <c r="D159" s="49">
        <v>0.38400000000000001</v>
      </c>
      <c r="E159" s="609">
        <f t="shared" si="2"/>
        <v>0.38400000000000001</v>
      </c>
      <c r="F159" s="607"/>
      <c r="G159" s="607"/>
    </row>
    <row r="160" spans="1:7" s="14" customFormat="1" ht="34.5" hidden="1" customHeight="1" outlineLevel="1" collapsed="1" x14ac:dyDescent="0.25">
      <c r="A160" s="57">
        <v>8</v>
      </c>
      <c r="B160" s="58" t="s">
        <v>1005</v>
      </c>
      <c r="C160" s="57" t="s">
        <v>970</v>
      </c>
      <c r="D160" s="49">
        <v>1</v>
      </c>
      <c r="E160" s="609">
        <f t="shared" si="2"/>
        <v>1</v>
      </c>
      <c r="F160" s="607"/>
      <c r="G160" s="607"/>
    </row>
    <row r="161" spans="1:7" s="14" customFormat="1" ht="34.5" hidden="1" customHeight="1" outlineLevel="2" x14ac:dyDescent="0.25">
      <c r="A161" s="57"/>
      <c r="B161" s="64" t="s">
        <v>1006</v>
      </c>
      <c r="C161" s="60" t="s">
        <v>970</v>
      </c>
      <c r="D161" s="49">
        <v>1</v>
      </c>
      <c r="E161" s="609">
        <f t="shared" si="2"/>
        <v>1</v>
      </c>
      <c r="F161" s="607"/>
      <c r="G161" s="607"/>
    </row>
    <row r="162" spans="1:7" s="14" customFormat="1" ht="34.5" hidden="1" customHeight="1" outlineLevel="2" x14ac:dyDescent="0.25">
      <c r="A162" s="57"/>
      <c r="B162" s="61" t="s">
        <v>105</v>
      </c>
      <c r="C162" s="62" t="s">
        <v>77</v>
      </c>
      <c r="D162" s="49">
        <v>0.88029999999999997</v>
      </c>
      <c r="E162" s="609">
        <f t="shared" si="2"/>
        <v>0.88029999999999997</v>
      </c>
      <c r="F162" s="607"/>
      <c r="G162" s="607"/>
    </row>
    <row r="163" spans="1:7" s="14" customFormat="1" ht="34.5" hidden="1" customHeight="1" outlineLevel="2" x14ac:dyDescent="0.25">
      <c r="A163" s="57"/>
      <c r="B163" s="61" t="s">
        <v>83</v>
      </c>
      <c r="C163" s="62" t="s">
        <v>77</v>
      </c>
      <c r="D163" s="49">
        <v>1.56552</v>
      </c>
      <c r="E163" s="609">
        <f t="shared" si="2"/>
        <v>1.56552</v>
      </c>
      <c r="F163" s="607"/>
      <c r="G163" s="607"/>
    </row>
    <row r="164" spans="1:7" s="14" customFormat="1" ht="34.5" hidden="1" customHeight="1" outlineLevel="2" x14ac:dyDescent="0.25">
      <c r="A164" s="57"/>
      <c r="B164" s="61" t="s">
        <v>84</v>
      </c>
      <c r="C164" s="62" t="s">
        <v>77</v>
      </c>
      <c r="D164" s="49">
        <v>0.22</v>
      </c>
      <c r="E164" s="609">
        <f t="shared" si="2"/>
        <v>0.22</v>
      </c>
      <c r="F164" s="607"/>
      <c r="G164" s="607"/>
    </row>
    <row r="165" spans="1:7" s="14" customFormat="1" ht="34.5" hidden="1" customHeight="1" outlineLevel="2" x14ac:dyDescent="0.25">
      <c r="A165" s="57"/>
      <c r="B165" s="61" t="s">
        <v>85</v>
      </c>
      <c r="C165" s="62" t="s">
        <v>77</v>
      </c>
      <c r="D165" s="49">
        <v>0.70641999999999994</v>
      </c>
      <c r="E165" s="609">
        <f t="shared" si="2"/>
        <v>0.70641999999999994</v>
      </c>
      <c r="F165" s="607"/>
      <c r="G165" s="607"/>
    </row>
    <row r="166" spans="1:7" s="14" customFormat="1" ht="34.5" hidden="1" customHeight="1" outlineLevel="2" x14ac:dyDescent="0.25">
      <c r="A166" s="57"/>
      <c r="B166" s="61" t="s">
        <v>86</v>
      </c>
      <c r="C166" s="62" t="s">
        <v>77</v>
      </c>
      <c r="D166" s="49">
        <v>0.83786000000000005</v>
      </c>
      <c r="E166" s="609">
        <f t="shared" si="2"/>
        <v>0.83786000000000005</v>
      </c>
      <c r="F166" s="607"/>
      <c r="G166" s="607"/>
    </row>
    <row r="167" spans="1:7" s="14" customFormat="1" ht="34.5" hidden="1" customHeight="1" outlineLevel="2" x14ac:dyDescent="0.25">
      <c r="A167" s="57"/>
      <c r="B167" s="61" t="s">
        <v>87</v>
      </c>
      <c r="C167" s="62" t="s">
        <v>77</v>
      </c>
      <c r="D167" s="49">
        <v>0.62215999999999994</v>
      </c>
      <c r="E167" s="609">
        <f t="shared" si="2"/>
        <v>0.62215999999999994</v>
      </c>
      <c r="F167" s="607"/>
      <c r="G167" s="607"/>
    </row>
    <row r="168" spans="1:7" s="14" customFormat="1" ht="34.5" hidden="1" customHeight="1" outlineLevel="2" x14ac:dyDescent="0.25">
      <c r="A168" s="57"/>
      <c r="B168" s="61" t="s">
        <v>143</v>
      </c>
      <c r="C168" s="62" t="s">
        <v>77</v>
      </c>
      <c r="D168" s="49">
        <v>1.94031</v>
      </c>
      <c r="E168" s="609">
        <f t="shared" si="2"/>
        <v>1.94031</v>
      </c>
      <c r="F168" s="607"/>
      <c r="G168" s="607"/>
    </row>
    <row r="169" spans="1:7" s="14" customFormat="1" ht="34.5" hidden="1" customHeight="1" outlineLevel="2" x14ac:dyDescent="0.25">
      <c r="A169" s="57"/>
      <c r="B169" s="61" t="s">
        <v>984</v>
      </c>
      <c r="C169" s="63" t="s">
        <v>10</v>
      </c>
      <c r="D169" s="49">
        <v>27.77</v>
      </c>
      <c r="E169" s="609">
        <f t="shared" si="2"/>
        <v>27.77</v>
      </c>
      <c r="F169" s="607"/>
      <c r="G169" s="607"/>
    </row>
    <row r="170" spans="1:7" s="14" customFormat="1" ht="34.5" hidden="1" customHeight="1" outlineLevel="2" x14ac:dyDescent="0.25">
      <c r="A170" s="57"/>
      <c r="B170" s="61" t="s">
        <v>102</v>
      </c>
      <c r="C170" s="63" t="s">
        <v>68</v>
      </c>
      <c r="D170" s="49">
        <v>103.19</v>
      </c>
      <c r="E170" s="609">
        <f t="shared" si="2"/>
        <v>103.19</v>
      </c>
      <c r="F170" s="607"/>
      <c r="G170" s="607"/>
    </row>
    <row r="171" spans="1:7" s="14" customFormat="1" ht="34.5" hidden="1" customHeight="1" outlineLevel="2" x14ac:dyDescent="0.25">
      <c r="A171" s="57"/>
      <c r="B171" s="64" t="s">
        <v>998</v>
      </c>
      <c r="C171" s="590" t="s">
        <v>79</v>
      </c>
      <c r="D171" s="49">
        <v>2</v>
      </c>
      <c r="E171" s="609">
        <f t="shared" si="2"/>
        <v>2</v>
      </c>
      <c r="F171" s="607"/>
      <c r="G171" s="607"/>
    </row>
    <row r="172" spans="1:7" s="14" customFormat="1" ht="34.5" hidden="1" customHeight="1" outlineLevel="2" x14ac:dyDescent="0.25">
      <c r="A172" s="57"/>
      <c r="B172" s="61" t="s">
        <v>83</v>
      </c>
      <c r="C172" s="62" t="s">
        <v>77</v>
      </c>
      <c r="D172" s="49">
        <v>0.1166</v>
      </c>
      <c r="E172" s="609">
        <f t="shared" si="2"/>
        <v>0.1166</v>
      </c>
      <c r="F172" s="607"/>
      <c r="G172" s="607"/>
    </row>
    <row r="173" spans="1:7" s="14" customFormat="1" ht="34.5" hidden="1" customHeight="1" outlineLevel="2" x14ac:dyDescent="0.25">
      <c r="A173" s="57"/>
      <c r="B173" s="61" t="s">
        <v>85</v>
      </c>
      <c r="C173" s="62" t="s">
        <v>77</v>
      </c>
      <c r="D173" s="49">
        <v>0.93967000000000001</v>
      </c>
      <c r="E173" s="609">
        <f t="shared" si="2"/>
        <v>0.93967000000000001</v>
      </c>
      <c r="F173" s="607"/>
      <c r="G173" s="607"/>
    </row>
    <row r="174" spans="1:7" s="14" customFormat="1" ht="34.5" hidden="1" customHeight="1" outlineLevel="2" x14ac:dyDescent="0.25">
      <c r="A174" s="57"/>
      <c r="B174" s="61" t="s">
        <v>87</v>
      </c>
      <c r="C174" s="62" t="s">
        <v>77</v>
      </c>
      <c r="D174" s="49">
        <v>0.31180000000000002</v>
      </c>
      <c r="E174" s="609">
        <f t="shared" si="2"/>
        <v>0.31180000000000002</v>
      </c>
      <c r="F174" s="607"/>
      <c r="G174" s="607"/>
    </row>
    <row r="175" spans="1:7" s="14" customFormat="1" ht="34.5" hidden="1" customHeight="1" outlineLevel="2" x14ac:dyDescent="0.25">
      <c r="A175" s="57"/>
      <c r="B175" s="61" t="s">
        <v>984</v>
      </c>
      <c r="C175" s="63" t="s">
        <v>10</v>
      </c>
      <c r="D175" s="49">
        <v>1.4</v>
      </c>
      <c r="E175" s="609">
        <f t="shared" si="2"/>
        <v>1.4</v>
      </c>
      <c r="F175" s="607"/>
      <c r="G175" s="607"/>
    </row>
    <row r="176" spans="1:7" s="14" customFormat="1" ht="34.5" hidden="1" customHeight="1" outlineLevel="2" x14ac:dyDescent="0.25">
      <c r="A176" s="57"/>
      <c r="B176" s="61" t="s">
        <v>102</v>
      </c>
      <c r="C176" s="62" t="s">
        <v>68</v>
      </c>
      <c r="D176" s="49">
        <v>2.46</v>
      </c>
      <c r="E176" s="609">
        <f t="shared" si="2"/>
        <v>2.46</v>
      </c>
      <c r="F176" s="607"/>
      <c r="G176" s="607"/>
    </row>
    <row r="177" spans="1:7" s="14" customFormat="1" ht="34.5" hidden="1" customHeight="1" outlineLevel="2" x14ac:dyDescent="0.25">
      <c r="A177" s="57"/>
      <c r="B177" s="64" t="s">
        <v>985</v>
      </c>
      <c r="C177" s="59" t="s">
        <v>134</v>
      </c>
      <c r="D177" s="49">
        <v>1</v>
      </c>
      <c r="E177" s="609">
        <f t="shared" si="2"/>
        <v>1</v>
      </c>
      <c r="F177" s="607"/>
      <c r="G177" s="607"/>
    </row>
    <row r="178" spans="1:7" s="14" customFormat="1" ht="34.5" hidden="1" customHeight="1" outlineLevel="2" x14ac:dyDescent="0.25">
      <c r="A178" s="57"/>
      <c r="B178" s="76" t="s">
        <v>986</v>
      </c>
      <c r="C178" s="62" t="s">
        <v>77</v>
      </c>
      <c r="D178" s="49">
        <v>0.51400999999999997</v>
      </c>
      <c r="E178" s="609">
        <f t="shared" si="2"/>
        <v>0.51400999999999997</v>
      </c>
      <c r="F178" s="607"/>
      <c r="G178" s="607"/>
    </row>
    <row r="179" spans="1:7" s="14" customFormat="1" ht="34.5" hidden="1" customHeight="1" outlineLevel="2" x14ac:dyDescent="0.25">
      <c r="A179" s="57"/>
      <c r="B179" s="76" t="s">
        <v>987</v>
      </c>
      <c r="C179" s="62" t="s">
        <v>124</v>
      </c>
      <c r="D179" s="49">
        <v>100.04</v>
      </c>
      <c r="E179" s="609">
        <f t="shared" si="2"/>
        <v>100.04</v>
      </c>
      <c r="F179" s="607"/>
      <c r="G179" s="607"/>
    </row>
    <row r="180" spans="1:7" s="14" customFormat="1" ht="34.5" hidden="1" customHeight="1" outlineLevel="2" x14ac:dyDescent="0.25">
      <c r="A180" s="57"/>
      <c r="B180" s="76" t="s">
        <v>988</v>
      </c>
      <c r="C180" s="62" t="s">
        <v>124</v>
      </c>
      <c r="D180" s="49">
        <v>2.4</v>
      </c>
      <c r="E180" s="609">
        <f t="shared" si="2"/>
        <v>2.4</v>
      </c>
      <c r="F180" s="607"/>
      <c r="G180" s="607"/>
    </row>
    <row r="181" spans="1:7" s="14" customFormat="1" ht="34.5" hidden="1" customHeight="1" outlineLevel="2" x14ac:dyDescent="0.25">
      <c r="A181" s="57"/>
      <c r="B181" s="61" t="s">
        <v>989</v>
      </c>
      <c r="C181" s="63" t="s">
        <v>78</v>
      </c>
      <c r="D181" s="49">
        <v>2</v>
      </c>
      <c r="E181" s="609">
        <f t="shared" si="2"/>
        <v>2</v>
      </c>
      <c r="F181" s="607"/>
      <c r="G181" s="607"/>
    </row>
    <row r="182" spans="1:7" s="14" customFormat="1" ht="34.5" hidden="1" customHeight="1" outlineLevel="2" x14ac:dyDescent="0.25">
      <c r="A182" s="57"/>
      <c r="B182" s="61" t="s">
        <v>990</v>
      </c>
      <c r="C182" s="63" t="s">
        <v>78</v>
      </c>
      <c r="D182" s="49">
        <v>2</v>
      </c>
      <c r="E182" s="609">
        <f t="shared" si="2"/>
        <v>2</v>
      </c>
      <c r="F182" s="607"/>
      <c r="G182" s="607"/>
    </row>
    <row r="183" spans="1:7" s="14" customFormat="1" ht="34.5" hidden="1" customHeight="1" outlineLevel="2" x14ac:dyDescent="0.25">
      <c r="A183" s="57"/>
      <c r="B183" s="76" t="s">
        <v>991</v>
      </c>
      <c r="C183" s="62" t="s">
        <v>10</v>
      </c>
      <c r="D183" s="49">
        <v>0.46800000000000003</v>
      </c>
      <c r="E183" s="609">
        <f t="shared" si="2"/>
        <v>0.46800000000000003</v>
      </c>
      <c r="F183" s="607"/>
      <c r="G183" s="607"/>
    </row>
    <row r="184" spans="1:7" s="14" customFormat="1" ht="34.5" hidden="1" customHeight="1" outlineLevel="1" collapsed="1" x14ac:dyDescent="0.25">
      <c r="A184" s="57">
        <v>9</v>
      </c>
      <c r="B184" s="58" t="s">
        <v>1007</v>
      </c>
      <c r="C184" s="57" t="s">
        <v>970</v>
      </c>
      <c r="D184" s="49">
        <v>1</v>
      </c>
      <c r="E184" s="609">
        <f t="shared" si="2"/>
        <v>1</v>
      </c>
      <c r="F184" s="607"/>
      <c r="G184" s="607"/>
    </row>
    <row r="185" spans="1:7" s="14" customFormat="1" ht="34.5" hidden="1" customHeight="1" outlineLevel="2" x14ac:dyDescent="0.25">
      <c r="A185" s="57"/>
      <c r="B185" s="64" t="s">
        <v>1008</v>
      </c>
      <c r="C185" s="60" t="s">
        <v>970</v>
      </c>
      <c r="D185" s="49">
        <v>1</v>
      </c>
      <c r="E185" s="609">
        <f t="shared" si="2"/>
        <v>1</v>
      </c>
      <c r="F185" s="607"/>
      <c r="G185" s="607"/>
    </row>
    <row r="186" spans="1:7" s="14" customFormat="1" ht="34.5" hidden="1" customHeight="1" outlineLevel="2" x14ac:dyDescent="0.25">
      <c r="A186" s="57"/>
      <c r="B186" s="61" t="s">
        <v>105</v>
      </c>
      <c r="C186" s="62" t="s">
        <v>77</v>
      </c>
      <c r="D186" s="49">
        <v>0.88029999999999997</v>
      </c>
      <c r="E186" s="609">
        <f t="shared" si="2"/>
        <v>0.88029999999999997</v>
      </c>
      <c r="F186" s="607"/>
      <c r="G186" s="607"/>
    </row>
    <row r="187" spans="1:7" s="14" customFormat="1" ht="34.5" hidden="1" customHeight="1" outlineLevel="2" x14ac:dyDescent="0.25">
      <c r="A187" s="57"/>
      <c r="B187" s="61" t="s">
        <v>83</v>
      </c>
      <c r="C187" s="62" t="s">
        <v>77</v>
      </c>
      <c r="D187" s="49">
        <v>1.56552</v>
      </c>
      <c r="E187" s="609">
        <f t="shared" si="2"/>
        <v>1.56552</v>
      </c>
      <c r="F187" s="607"/>
      <c r="G187" s="607"/>
    </row>
    <row r="188" spans="1:7" s="14" customFormat="1" ht="34.5" hidden="1" customHeight="1" outlineLevel="2" x14ac:dyDescent="0.25">
      <c r="A188" s="57"/>
      <c r="B188" s="61" t="s">
        <v>84</v>
      </c>
      <c r="C188" s="62" t="s">
        <v>77</v>
      </c>
      <c r="D188" s="49">
        <v>0.22</v>
      </c>
      <c r="E188" s="609">
        <f t="shared" si="2"/>
        <v>0.22</v>
      </c>
      <c r="F188" s="607"/>
      <c r="G188" s="607"/>
    </row>
    <row r="189" spans="1:7" s="14" customFormat="1" ht="34.5" hidden="1" customHeight="1" outlineLevel="2" x14ac:dyDescent="0.25">
      <c r="A189" s="57"/>
      <c r="B189" s="61" t="s">
        <v>85</v>
      </c>
      <c r="C189" s="62" t="s">
        <v>77</v>
      </c>
      <c r="D189" s="49">
        <v>0.70641999999999994</v>
      </c>
      <c r="E189" s="609">
        <f t="shared" si="2"/>
        <v>0.70641999999999994</v>
      </c>
      <c r="F189" s="607"/>
      <c r="G189" s="607"/>
    </row>
    <row r="190" spans="1:7" s="14" customFormat="1" ht="34.5" hidden="1" customHeight="1" outlineLevel="2" x14ac:dyDescent="0.25">
      <c r="A190" s="57"/>
      <c r="B190" s="61" t="s">
        <v>86</v>
      </c>
      <c r="C190" s="62" t="s">
        <v>77</v>
      </c>
      <c r="D190" s="49">
        <v>0.83786000000000005</v>
      </c>
      <c r="E190" s="609">
        <f t="shared" si="2"/>
        <v>0.83786000000000005</v>
      </c>
      <c r="F190" s="607"/>
      <c r="G190" s="607"/>
    </row>
    <row r="191" spans="1:7" s="14" customFormat="1" ht="34.5" hidden="1" customHeight="1" outlineLevel="2" x14ac:dyDescent="0.25">
      <c r="A191" s="57"/>
      <c r="B191" s="61" t="s">
        <v>87</v>
      </c>
      <c r="C191" s="62" t="s">
        <v>77</v>
      </c>
      <c r="D191" s="49">
        <v>0.62215999999999994</v>
      </c>
      <c r="E191" s="609">
        <f t="shared" si="2"/>
        <v>0.62215999999999994</v>
      </c>
      <c r="F191" s="607"/>
      <c r="G191" s="607"/>
    </row>
    <row r="192" spans="1:7" s="14" customFormat="1" ht="34.5" hidden="1" customHeight="1" outlineLevel="2" x14ac:dyDescent="0.25">
      <c r="A192" s="57"/>
      <c r="B192" s="61" t="s">
        <v>143</v>
      </c>
      <c r="C192" s="62" t="s">
        <v>77</v>
      </c>
      <c r="D192" s="49">
        <v>1.94031</v>
      </c>
      <c r="E192" s="609">
        <f t="shared" si="2"/>
        <v>1.94031</v>
      </c>
      <c r="F192" s="607"/>
      <c r="G192" s="607"/>
    </row>
    <row r="193" spans="1:7" s="14" customFormat="1" ht="34.5" hidden="1" customHeight="1" outlineLevel="2" x14ac:dyDescent="0.25">
      <c r="A193" s="57"/>
      <c r="B193" s="61" t="s">
        <v>984</v>
      </c>
      <c r="C193" s="63" t="s">
        <v>10</v>
      </c>
      <c r="D193" s="49">
        <v>27.77</v>
      </c>
      <c r="E193" s="609">
        <f t="shared" si="2"/>
        <v>27.77</v>
      </c>
      <c r="F193" s="607"/>
      <c r="G193" s="607"/>
    </row>
    <row r="194" spans="1:7" s="14" customFormat="1" ht="34.5" hidden="1" customHeight="1" outlineLevel="2" x14ac:dyDescent="0.25">
      <c r="A194" s="57"/>
      <c r="B194" s="61" t="s">
        <v>102</v>
      </c>
      <c r="C194" s="63" t="s">
        <v>68</v>
      </c>
      <c r="D194" s="49">
        <v>103.19</v>
      </c>
      <c r="E194" s="609">
        <f t="shared" si="2"/>
        <v>103.19</v>
      </c>
      <c r="F194" s="607"/>
      <c r="G194" s="607"/>
    </row>
    <row r="195" spans="1:7" s="14" customFormat="1" ht="34.5" hidden="1" customHeight="1" outlineLevel="2" x14ac:dyDescent="0.25">
      <c r="A195" s="57"/>
      <c r="B195" s="64" t="s">
        <v>998</v>
      </c>
      <c r="C195" s="590" t="s">
        <v>79</v>
      </c>
      <c r="D195" s="49">
        <v>2</v>
      </c>
      <c r="E195" s="609">
        <f t="shared" si="2"/>
        <v>2</v>
      </c>
      <c r="F195" s="607"/>
      <c r="G195" s="607"/>
    </row>
    <row r="196" spans="1:7" s="14" customFormat="1" ht="34.5" hidden="1" customHeight="1" outlineLevel="2" x14ac:dyDescent="0.25">
      <c r="A196" s="57"/>
      <c r="B196" s="61" t="s">
        <v>83</v>
      </c>
      <c r="C196" s="62" t="s">
        <v>77</v>
      </c>
      <c r="D196" s="49">
        <v>8.5949999999999999E-2</v>
      </c>
      <c r="E196" s="609">
        <f t="shared" si="2"/>
        <v>8.5949999999999999E-2</v>
      </c>
      <c r="F196" s="607"/>
      <c r="G196" s="607"/>
    </row>
    <row r="197" spans="1:7" s="14" customFormat="1" ht="34.5" hidden="1" customHeight="1" outlineLevel="2" x14ac:dyDescent="0.25">
      <c r="A197" s="57"/>
      <c r="B197" s="61" t="s">
        <v>85</v>
      </c>
      <c r="C197" s="62" t="s">
        <v>77</v>
      </c>
      <c r="D197" s="49">
        <v>0.64590000000000003</v>
      </c>
      <c r="E197" s="609">
        <f t="shared" si="2"/>
        <v>0.64590000000000003</v>
      </c>
      <c r="F197" s="607"/>
      <c r="G197" s="607"/>
    </row>
    <row r="198" spans="1:7" s="14" customFormat="1" ht="34.5" hidden="1" customHeight="1" outlineLevel="2" x14ac:dyDescent="0.25">
      <c r="A198" s="57"/>
      <c r="B198" s="61" t="s">
        <v>87</v>
      </c>
      <c r="C198" s="62" t="s">
        <v>77</v>
      </c>
      <c r="D198" s="49">
        <v>0.18787999999999999</v>
      </c>
      <c r="E198" s="609">
        <f t="shared" si="2"/>
        <v>0.18787999999999999</v>
      </c>
      <c r="F198" s="607"/>
      <c r="G198" s="607"/>
    </row>
    <row r="199" spans="1:7" s="14" customFormat="1" ht="34.5" hidden="1" customHeight="1" outlineLevel="2" x14ac:dyDescent="0.25">
      <c r="A199" s="57"/>
      <c r="B199" s="61" t="s">
        <v>984</v>
      </c>
      <c r="C199" s="63" t="s">
        <v>10</v>
      </c>
      <c r="D199" s="49">
        <v>1.01</v>
      </c>
      <c r="E199" s="609">
        <f t="shared" si="2"/>
        <v>1.01</v>
      </c>
      <c r="F199" s="607"/>
      <c r="G199" s="607"/>
    </row>
    <row r="200" spans="1:7" s="14" customFormat="1" ht="34.5" hidden="1" customHeight="1" outlineLevel="2" x14ac:dyDescent="0.25">
      <c r="A200" s="57"/>
      <c r="B200" s="61" t="s">
        <v>102</v>
      </c>
      <c r="C200" s="62" t="s">
        <v>68</v>
      </c>
      <c r="D200" s="49">
        <v>4.47</v>
      </c>
      <c r="E200" s="609">
        <f t="shared" si="2"/>
        <v>4.47</v>
      </c>
      <c r="F200" s="607"/>
      <c r="G200" s="607"/>
    </row>
    <row r="201" spans="1:7" s="14" customFormat="1" ht="34.5" hidden="1" customHeight="1" outlineLevel="2" x14ac:dyDescent="0.25">
      <c r="A201" s="57"/>
      <c r="B201" s="64" t="s">
        <v>985</v>
      </c>
      <c r="C201" s="59" t="s">
        <v>134</v>
      </c>
      <c r="D201" s="49">
        <v>1</v>
      </c>
      <c r="E201" s="609">
        <f t="shared" si="2"/>
        <v>1</v>
      </c>
      <c r="F201" s="607"/>
      <c r="G201" s="607"/>
    </row>
    <row r="202" spans="1:7" s="14" customFormat="1" ht="34.5" hidden="1" customHeight="1" outlineLevel="2" x14ac:dyDescent="0.25">
      <c r="A202" s="57"/>
      <c r="B202" s="76" t="s">
        <v>986</v>
      </c>
      <c r="C202" s="62" t="s">
        <v>77</v>
      </c>
      <c r="D202" s="49">
        <v>0.5141</v>
      </c>
      <c r="E202" s="609">
        <f t="shared" si="2"/>
        <v>0.5141</v>
      </c>
      <c r="F202" s="607"/>
      <c r="G202" s="607"/>
    </row>
    <row r="203" spans="1:7" s="14" customFormat="1" ht="34.5" hidden="1" customHeight="1" outlineLevel="2" x14ac:dyDescent="0.25">
      <c r="A203" s="57"/>
      <c r="B203" s="76" t="s">
        <v>987</v>
      </c>
      <c r="C203" s="62" t="s">
        <v>124</v>
      </c>
      <c r="D203" s="49">
        <v>82.94</v>
      </c>
      <c r="E203" s="609">
        <f t="shared" si="2"/>
        <v>82.94</v>
      </c>
      <c r="F203" s="607"/>
      <c r="G203" s="607"/>
    </row>
    <row r="204" spans="1:7" s="14" customFormat="1" ht="34.5" hidden="1" customHeight="1" outlineLevel="2" x14ac:dyDescent="0.25">
      <c r="A204" s="57"/>
      <c r="B204" s="76" t="s">
        <v>988</v>
      </c>
      <c r="C204" s="62" t="s">
        <v>124</v>
      </c>
      <c r="D204" s="49">
        <v>6.4</v>
      </c>
      <c r="E204" s="609">
        <f t="shared" si="2"/>
        <v>6.4</v>
      </c>
      <c r="F204" s="607"/>
      <c r="G204" s="607"/>
    </row>
    <row r="205" spans="1:7" s="14" customFormat="1" ht="34.5" hidden="1" customHeight="1" outlineLevel="2" x14ac:dyDescent="0.25">
      <c r="A205" s="57"/>
      <c r="B205" s="61" t="s">
        <v>989</v>
      </c>
      <c r="C205" s="63" t="s">
        <v>78</v>
      </c>
      <c r="D205" s="49">
        <v>2</v>
      </c>
      <c r="E205" s="609">
        <f t="shared" si="2"/>
        <v>2</v>
      </c>
      <c r="F205" s="607"/>
      <c r="G205" s="607"/>
    </row>
    <row r="206" spans="1:7" s="14" customFormat="1" ht="34.5" hidden="1" customHeight="1" outlineLevel="2" x14ac:dyDescent="0.25">
      <c r="A206" s="57"/>
      <c r="B206" s="61" t="s">
        <v>990</v>
      </c>
      <c r="C206" s="63" t="s">
        <v>78</v>
      </c>
      <c r="D206" s="49">
        <v>2</v>
      </c>
      <c r="E206" s="609">
        <f t="shared" si="2"/>
        <v>2</v>
      </c>
      <c r="F206" s="607"/>
      <c r="G206" s="607"/>
    </row>
    <row r="207" spans="1:7" s="14" customFormat="1" ht="34.5" hidden="1" customHeight="1" outlineLevel="2" x14ac:dyDescent="0.25">
      <c r="A207" s="57"/>
      <c r="B207" s="76" t="s">
        <v>991</v>
      </c>
      <c r="C207" s="62" t="s">
        <v>10</v>
      </c>
      <c r="D207" s="49">
        <v>0.38800000000000001</v>
      </c>
      <c r="E207" s="609">
        <f t="shared" si="2"/>
        <v>0.38800000000000001</v>
      </c>
      <c r="F207" s="607"/>
      <c r="G207" s="607"/>
    </row>
    <row r="208" spans="1:7" s="14" customFormat="1" ht="34.5" hidden="1" customHeight="1" outlineLevel="1" collapsed="1" x14ac:dyDescent="0.25">
      <c r="A208" s="57">
        <v>10</v>
      </c>
      <c r="B208" s="58" t="s">
        <v>1009</v>
      </c>
      <c r="C208" s="57" t="s">
        <v>970</v>
      </c>
      <c r="D208" s="49">
        <v>1</v>
      </c>
      <c r="E208" s="609">
        <f t="shared" ref="E208:E271" si="3">D208</f>
        <v>1</v>
      </c>
      <c r="F208" s="607"/>
      <c r="G208" s="607"/>
    </row>
    <row r="209" spans="1:7" s="14" customFormat="1" ht="34.5" hidden="1" customHeight="1" outlineLevel="2" x14ac:dyDescent="0.25">
      <c r="A209" s="57"/>
      <c r="B209" s="64" t="s">
        <v>1010</v>
      </c>
      <c r="C209" s="60" t="s">
        <v>970</v>
      </c>
      <c r="D209" s="49">
        <v>1</v>
      </c>
      <c r="E209" s="609">
        <f t="shared" si="3"/>
        <v>1</v>
      </c>
      <c r="F209" s="607"/>
      <c r="G209" s="607"/>
    </row>
    <row r="210" spans="1:7" s="14" customFormat="1" ht="34.5" hidden="1" customHeight="1" outlineLevel="2" x14ac:dyDescent="0.25">
      <c r="A210" s="57"/>
      <c r="B210" s="61" t="s">
        <v>105</v>
      </c>
      <c r="C210" s="62" t="s">
        <v>77</v>
      </c>
      <c r="D210" s="49">
        <v>0.84221000000000001</v>
      </c>
      <c r="E210" s="609">
        <f t="shared" si="3"/>
        <v>0.84221000000000001</v>
      </c>
      <c r="F210" s="607"/>
      <c r="G210" s="607"/>
    </row>
    <row r="211" spans="1:7" s="14" customFormat="1" ht="34.5" hidden="1" customHeight="1" outlineLevel="2" x14ac:dyDescent="0.25">
      <c r="A211" s="57"/>
      <c r="B211" s="61" t="s">
        <v>83</v>
      </c>
      <c r="C211" s="62" t="s">
        <v>77</v>
      </c>
      <c r="D211" s="49">
        <v>1.55965</v>
      </c>
      <c r="E211" s="609">
        <f t="shared" si="3"/>
        <v>1.55965</v>
      </c>
      <c r="F211" s="607"/>
      <c r="G211" s="607"/>
    </row>
    <row r="212" spans="1:7" s="14" customFormat="1" ht="34.5" hidden="1" customHeight="1" outlineLevel="2" x14ac:dyDescent="0.25">
      <c r="A212" s="57"/>
      <c r="B212" s="61" t="s">
        <v>84</v>
      </c>
      <c r="C212" s="62" t="s">
        <v>77</v>
      </c>
      <c r="D212" s="49">
        <v>0.22</v>
      </c>
      <c r="E212" s="609">
        <f t="shared" si="3"/>
        <v>0.22</v>
      </c>
      <c r="F212" s="607"/>
      <c r="G212" s="607"/>
    </row>
    <row r="213" spans="1:7" s="14" customFormat="1" ht="34.5" hidden="1" customHeight="1" outlineLevel="2" x14ac:dyDescent="0.25">
      <c r="A213" s="57"/>
      <c r="B213" s="61" t="s">
        <v>85</v>
      </c>
      <c r="C213" s="62" t="s">
        <v>77</v>
      </c>
      <c r="D213" s="49">
        <v>0.70641999999999994</v>
      </c>
      <c r="E213" s="609">
        <f t="shared" si="3"/>
        <v>0.70641999999999994</v>
      </c>
      <c r="F213" s="607"/>
      <c r="G213" s="607"/>
    </row>
    <row r="214" spans="1:7" s="14" customFormat="1" ht="34.5" hidden="1" customHeight="1" outlineLevel="2" x14ac:dyDescent="0.25">
      <c r="A214" s="57"/>
      <c r="B214" s="61" t="s">
        <v>86</v>
      </c>
      <c r="C214" s="62" t="s">
        <v>77</v>
      </c>
      <c r="D214" s="49">
        <v>0.83786000000000005</v>
      </c>
      <c r="E214" s="609">
        <f t="shared" si="3"/>
        <v>0.83786000000000005</v>
      </c>
      <c r="F214" s="607"/>
      <c r="G214" s="607"/>
    </row>
    <row r="215" spans="1:7" s="14" customFormat="1" ht="34.5" hidden="1" customHeight="1" outlineLevel="2" x14ac:dyDescent="0.25">
      <c r="A215" s="57"/>
      <c r="B215" s="61" t="s">
        <v>87</v>
      </c>
      <c r="C215" s="62" t="s">
        <v>77</v>
      </c>
      <c r="D215" s="49">
        <v>2.0383399999999998</v>
      </c>
      <c r="E215" s="609">
        <f t="shared" si="3"/>
        <v>2.0383399999999998</v>
      </c>
      <c r="F215" s="607"/>
      <c r="G215" s="607"/>
    </row>
    <row r="216" spans="1:7" s="14" customFormat="1" ht="34.5" hidden="1" customHeight="1" outlineLevel="2" x14ac:dyDescent="0.25">
      <c r="A216" s="57"/>
      <c r="B216" s="61" t="s">
        <v>984</v>
      </c>
      <c r="C216" s="63" t="s">
        <v>10</v>
      </c>
      <c r="D216" s="49">
        <v>26.57</v>
      </c>
      <c r="E216" s="609">
        <f t="shared" si="3"/>
        <v>26.57</v>
      </c>
      <c r="F216" s="607"/>
      <c r="G216" s="607"/>
    </row>
    <row r="217" spans="1:7" s="14" customFormat="1" ht="34.5" hidden="1" customHeight="1" outlineLevel="2" x14ac:dyDescent="0.25">
      <c r="A217" s="57"/>
      <c r="B217" s="61" t="s">
        <v>102</v>
      </c>
      <c r="C217" s="63" t="s">
        <v>68</v>
      </c>
      <c r="D217" s="49">
        <v>100.93</v>
      </c>
      <c r="E217" s="609">
        <f t="shared" si="3"/>
        <v>100.93</v>
      </c>
      <c r="F217" s="607"/>
      <c r="G217" s="607"/>
    </row>
    <row r="218" spans="1:7" s="14" customFormat="1" ht="34.5" hidden="1" customHeight="1" outlineLevel="2" x14ac:dyDescent="0.25">
      <c r="A218" s="57"/>
      <c r="B218" s="64" t="s">
        <v>998</v>
      </c>
      <c r="C218" s="590" t="s">
        <v>79</v>
      </c>
      <c r="D218" s="49">
        <v>2</v>
      </c>
      <c r="E218" s="609">
        <f t="shared" si="3"/>
        <v>2</v>
      </c>
      <c r="F218" s="607"/>
      <c r="G218" s="607"/>
    </row>
    <row r="219" spans="1:7" s="14" customFormat="1" ht="34.5" hidden="1" customHeight="1" outlineLevel="2" x14ac:dyDescent="0.25">
      <c r="A219" s="57"/>
      <c r="B219" s="61" t="s">
        <v>83</v>
      </c>
      <c r="C219" s="62" t="s">
        <v>77</v>
      </c>
      <c r="D219" s="49">
        <v>4.8350000000000004E-2</v>
      </c>
      <c r="E219" s="609">
        <f t="shared" si="3"/>
        <v>4.8350000000000004E-2</v>
      </c>
      <c r="F219" s="607"/>
      <c r="G219" s="607"/>
    </row>
    <row r="220" spans="1:7" s="14" customFormat="1" ht="34.5" hidden="1" customHeight="1" outlineLevel="2" x14ac:dyDescent="0.25">
      <c r="A220" s="57"/>
      <c r="B220" s="61" t="s">
        <v>85</v>
      </c>
      <c r="C220" s="62" t="s">
        <v>77</v>
      </c>
      <c r="D220" s="49">
        <v>0.32623000000000002</v>
      </c>
      <c r="E220" s="609">
        <f t="shared" si="3"/>
        <v>0.32623000000000002</v>
      </c>
      <c r="F220" s="607"/>
      <c r="G220" s="607"/>
    </row>
    <row r="221" spans="1:7" s="14" customFormat="1" ht="34.5" hidden="1" customHeight="1" outlineLevel="2" x14ac:dyDescent="0.25">
      <c r="A221" s="57"/>
      <c r="B221" s="61" t="s">
        <v>87</v>
      </c>
      <c r="C221" s="62" t="s">
        <v>77</v>
      </c>
      <c r="D221" s="49">
        <v>0.11394</v>
      </c>
      <c r="E221" s="609">
        <f t="shared" si="3"/>
        <v>0.11394</v>
      </c>
      <c r="F221" s="607"/>
      <c r="G221" s="607"/>
    </row>
    <row r="222" spans="1:7" s="14" customFormat="1" ht="34.5" hidden="1" customHeight="1" outlineLevel="2" x14ac:dyDescent="0.25">
      <c r="A222" s="57"/>
      <c r="B222" s="61" t="s">
        <v>984</v>
      </c>
      <c r="C222" s="63" t="s">
        <v>10</v>
      </c>
      <c r="D222" s="49">
        <v>0.45</v>
      </c>
      <c r="E222" s="609">
        <f t="shared" si="3"/>
        <v>0.45</v>
      </c>
      <c r="F222" s="607"/>
      <c r="G222" s="607"/>
    </row>
    <row r="223" spans="1:7" s="14" customFormat="1" ht="34.5" hidden="1" customHeight="1" outlineLevel="2" x14ac:dyDescent="0.25">
      <c r="A223" s="57"/>
      <c r="B223" s="61" t="s">
        <v>102</v>
      </c>
      <c r="C223" s="62" t="s">
        <v>68</v>
      </c>
      <c r="D223" s="49">
        <v>1.06</v>
      </c>
      <c r="E223" s="609">
        <f t="shared" si="3"/>
        <v>1.06</v>
      </c>
      <c r="F223" s="607"/>
      <c r="G223" s="607"/>
    </row>
    <row r="224" spans="1:7" s="14" customFormat="1" ht="34.5" hidden="1" customHeight="1" outlineLevel="2" x14ac:dyDescent="0.25">
      <c r="A224" s="57"/>
      <c r="B224" s="64" t="s">
        <v>985</v>
      </c>
      <c r="C224" s="59" t="s">
        <v>134</v>
      </c>
      <c r="D224" s="49">
        <v>1</v>
      </c>
      <c r="E224" s="609">
        <f t="shared" si="3"/>
        <v>1</v>
      </c>
      <c r="F224" s="607"/>
      <c r="G224" s="607"/>
    </row>
    <row r="225" spans="1:7" s="14" customFormat="1" ht="34.5" hidden="1" customHeight="1" outlineLevel="2" x14ac:dyDescent="0.25">
      <c r="A225" s="57"/>
      <c r="B225" s="76" t="s">
        <v>986</v>
      </c>
      <c r="C225" s="62" t="s">
        <v>77</v>
      </c>
      <c r="D225" s="49">
        <v>1.18733</v>
      </c>
      <c r="E225" s="609">
        <f t="shared" si="3"/>
        <v>1.18733</v>
      </c>
      <c r="F225" s="607"/>
      <c r="G225" s="607"/>
    </row>
    <row r="226" spans="1:7" s="14" customFormat="1" ht="34.5" hidden="1" customHeight="1" outlineLevel="2" x14ac:dyDescent="0.25">
      <c r="A226" s="57"/>
      <c r="B226" s="76" t="s">
        <v>987</v>
      </c>
      <c r="C226" s="62" t="s">
        <v>124</v>
      </c>
      <c r="D226" s="49">
        <v>100.71</v>
      </c>
      <c r="E226" s="609">
        <f t="shared" si="3"/>
        <v>100.71</v>
      </c>
      <c r="F226" s="607"/>
      <c r="G226" s="607"/>
    </row>
    <row r="227" spans="1:7" s="14" customFormat="1" ht="34.5" hidden="1" customHeight="1" outlineLevel="2" x14ac:dyDescent="0.25">
      <c r="A227" s="57"/>
      <c r="B227" s="76" t="s">
        <v>988</v>
      </c>
      <c r="C227" s="62" t="s">
        <v>124</v>
      </c>
      <c r="D227" s="49">
        <v>5.6</v>
      </c>
      <c r="E227" s="609">
        <f t="shared" si="3"/>
        <v>5.6</v>
      </c>
      <c r="F227" s="607"/>
      <c r="G227" s="607"/>
    </row>
    <row r="228" spans="1:7" s="14" customFormat="1" ht="34.5" hidden="1" customHeight="1" outlineLevel="2" x14ac:dyDescent="0.25">
      <c r="A228" s="57"/>
      <c r="B228" s="61" t="s">
        <v>989</v>
      </c>
      <c r="C228" s="63" t="s">
        <v>78</v>
      </c>
      <c r="D228" s="49">
        <v>4</v>
      </c>
      <c r="E228" s="609">
        <f t="shared" si="3"/>
        <v>4</v>
      </c>
      <c r="F228" s="607"/>
      <c r="G228" s="607"/>
    </row>
    <row r="229" spans="1:7" s="14" customFormat="1" ht="34.5" hidden="1" customHeight="1" outlineLevel="2" x14ac:dyDescent="0.25">
      <c r="A229" s="57"/>
      <c r="B229" s="61" t="s">
        <v>990</v>
      </c>
      <c r="C229" s="63" t="s">
        <v>78</v>
      </c>
      <c r="D229" s="49">
        <v>4</v>
      </c>
      <c r="E229" s="609">
        <f t="shared" si="3"/>
        <v>4</v>
      </c>
      <c r="F229" s="607"/>
      <c r="G229" s="607"/>
    </row>
    <row r="230" spans="1:7" s="14" customFormat="1" ht="34.5" hidden="1" customHeight="1" outlineLevel="2" x14ac:dyDescent="0.25">
      <c r="A230" s="57"/>
      <c r="B230" s="76" t="s">
        <v>991</v>
      </c>
      <c r="C230" s="62" t="s">
        <v>10</v>
      </c>
      <c r="D230" s="49">
        <v>0.47199999999999998</v>
      </c>
      <c r="E230" s="609">
        <f t="shared" si="3"/>
        <v>0.47199999999999998</v>
      </c>
      <c r="F230" s="607"/>
      <c r="G230" s="607"/>
    </row>
    <row r="231" spans="1:7" s="14" customFormat="1" ht="34.5" hidden="1" customHeight="1" outlineLevel="1" collapsed="1" x14ac:dyDescent="0.25">
      <c r="A231" s="57">
        <v>11</v>
      </c>
      <c r="B231" s="58" t="s">
        <v>1011</v>
      </c>
      <c r="C231" s="57" t="s">
        <v>970</v>
      </c>
      <c r="D231" s="49">
        <v>1</v>
      </c>
      <c r="E231" s="609">
        <f t="shared" si="3"/>
        <v>1</v>
      </c>
      <c r="F231" s="607"/>
      <c r="G231" s="607"/>
    </row>
    <row r="232" spans="1:7" s="14" customFormat="1" ht="34.5" hidden="1" customHeight="1" outlineLevel="2" x14ac:dyDescent="0.25">
      <c r="A232" s="57"/>
      <c r="B232" s="64" t="s">
        <v>1012</v>
      </c>
      <c r="C232" s="60" t="s">
        <v>970</v>
      </c>
      <c r="D232" s="49">
        <v>1</v>
      </c>
      <c r="E232" s="609">
        <f t="shared" si="3"/>
        <v>1</v>
      </c>
      <c r="F232" s="607"/>
      <c r="G232" s="607"/>
    </row>
    <row r="233" spans="1:7" s="14" customFormat="1" ht="34.5" hidden="1" customHeight="1" outlineLevel="2" x14ac:dyDescent="0.25">
      <c r="A233" s="57"/>
      <c r="B233" s="61" t="s">
        <v>105</v>
      </c>
      <c r="C233" s="62" t="s">
        <v>77</v>
      </c>
      <c r="D233" s="49">
        <v>0.84221000000000001</v>
      </c>
      <c r="E233" s="609">
        <f t="shared" si="3"/>
        <v>0.84221000000000001</v>
      </c>
      <c r="F233" s="607"/>
      <c r="G233" s="607"/>
    </row>
    <row r="234" spans="1:7" s="14" customFormat="1" ht="34.5" hidden="1" customHeight="1" outlineLevel="2" x14ac:dyDescent="0.25">
      <c r="A234" s="57"/>
      <c r="B234" s="61" t="s">
        <v>83</v>
      </c>
      <c r="C234" s="62" t="s">
        <v>77</v>
      </c>
      <c r="D234" s="49">
        <v>1.55965</v>
      </c>
      <c r="E234" s="609">
        <f t="shared" si="3"/>
        <v>1.55965</v>
      </c>
      <c r="F234" s="607"/>
      <c r="G234" s="607"/>
    </row>
    <row r="235" spans="1:7" s="14" customFormat="1" ht="34.5" hidden="1" customHeight="1" outlineLevel="2" x14ac:dyDescent="0.25">
      <c r="A235" s="57"/>
      <c r="B235" s="61" t="s">
        <v>84</v>
      </c>
      <c r="C235" s="62" t="s">
        <v>77</v>
      </c>
      <c r="D235" s="49">
        <v>0.22</v>
      </c>
      <c r="E235" s="609">
        <f t="shared" si="3"/>
        <v>0.22</v>
      </c>
      <c r="F235" s="607"/>
      <c r="G235" s="607"/>
    </row>
    <row r="236" spans="1:7" s="14" customFormat="1" ht="34.5" hidden="1" customHeight="1" outlineLevel="2" x14ac:dyDescent="0.25">
      <c r="A236" s="57"/>
      <c r="B236" s="61" t="s">
        <v>85</v>
      </c>
      <c r="C236" s="62" t="s">
        <v>77</v>
      </c>
      <c r="D236" s="49">
        <v>0.70641999999999994</v>
      </c>
      <c r="E236" s="609">
        <f t="shared" si="3"/>
        <v>0.70641999999999994</v>
      </c>
      <c r="F236" s="607"/>
      <c r="G236" s="607"/>
    </row>
    <row r="237" spans="1:7" s="14" customFormat="1" ht="34.5" hidden="1" customHeight="1" outlineLevel="2" x14ac:dyDescent="0.25">
      <c r="A237" s="57"/>
      <c r="B237" s="61" t="s">
        <v>86</v>
      </c>
      <c r="C237" s="62" t="s">
        <v>77</v>
      </c>
      <c r="D237" s="49">
        <v>0.83786000000000005</v>
      </c>
      <c r="E237" s="609">
        <f t="shared" si="3"/>
        <v>0.83786000000000005</v>
      </c>
      <c r="F237" s="607"/>
      <c r="G237" s="607"/>
    </row>
    <row r="238" spans="1:7" s="14" customFormat="1" ht="34.5" hidden="1" customHeight="1" outlineLevel="2" x14ac:dyDescent="0.25">
      <c r="A238" s="57"/>
      <c r="B238" s="61" t="s">
        <v>87</v>
      </c>
      <c r="C238" s="62" t="s">
        <v>77</v>
      </c>
      <c r="D238" s="49">
        <v>2.0383399999999998</v>
      </c>
      <c r="E238" s="609">
        <f t="shared" si="3"/>
        <v>2.0383399999999998</v>
      </c>
      <c r="F238" s="607"/>
      <c r="G238" s="607"/>
    </row>
    <row r="239" spans="1:7" s="14" customFormat="1" ht="34.5" hidden="1" customHeight="1" outlineLevel="2" x14ac:dyDescent="0.25">
      <c r="A239" s="57"/>
      <c r="B239" s="61" t="s">
        <v>984</v>
      </c>
      <c r="C239" s="63" t="s">
        <v>10</v>
      </c>
      <c r="D239" s="49">
        <v>26.57</v>
      </c>
      <c r="E239" s="609">
        <f t="shared" si="3"/>
        <v>26.57</v>
      </c>
      <c r="F239" s="607"/>
      <c r="G239" s="607"/>
    </row>
    <row r="240" spans="1:7" s="14" customFormat="1" ht="34.5" hidden="1" customHeight="1" outlineLevel="2" x14ac:dyDescent="0.25">
      <c r="A240" s="57"/>
      <c r="B240" s="61" t="s">
        <v>102</v>
      </c>
      <c r="C240" s="63" t="s">
        <v>68</v>
      </c>
      <c r="D240" s="49">
        <v>100.93</v>
      </c>
      <c r="E240" s="609">
        <f t="shared" si="3"/>
        <v>100.93</v>
      </c>
      <c r="F240" s="607"/>
      <c r="G240" s="607"/>
    </row>
    <row r="241" spans="1:7" s="14" customFormat="1" ht="34.5" hidden="1" customHeight="1" outlineLevel="2" x14ac:dyDescent="0.25">
      <c r="A241" s="57"/>
      <c r="B241" s="64" t="s">
        <v>998</v>
      </c>
      <c r="C241" s="590" t="s">
        <v>79</v>
      </c>
      <c r="D241" s="49">
        <v>2</v>
      </c>
      <c r="E241" s="609">
        <f t="shared" si="3"/>
        <v>2</v>
      </c>
      <c r="F241" s="607"/>
      <c r="G241" s="607"/>
    </row>
    <row r="242" spans="1:7" s="14" customFormat="1" ht="34.5" hidden="1" customHeight="1" outlineLevel="2" x14ac:dyDescent="0.25">
      <c r="A242" s="57"/>
      <c r="B242" s="61" t="s">
        <v>83</v>
      </c>
      <c r="C242" s="62" t="s">
        <v>77</v>
      </c>
      <c r="D242" s="49">
        <v>8.5949999999999999E-2</v>
      </c>
      <c r="E242" s="609">
        <f t="shared" si="3"/>
        <v>8.5949999999999999E-2</v>
      </c>
      <c r="F242" s="607"/>
      <c r="G242" s="607"/>
    </row>
    <row r="243" spans="1:7" s="14" customFormat="1" ht="34.5" hidden="1" customHeight="1" outlineLevel="2" x14ac:dyDescent="0.25">
      <c r="A243" s="57"/>
      <c r="B243" s="61" t="s">
        <v>85</v>
      </c>
      <c r="C243" s="62" t="s">
        <v>77</v>
      </c>
      <c r="D243" s="49">
        <v>0.62448000000000004</v>
      </c>
      <c r="E243" s="609">
        <f t="shared" si="3"/>
        <v>0.62448000000000004</v>
      </c>
      <c r="F243" s="607"/>
      <c r="G243" s="607"/>
    </row>
    <row r="244" spans="1:7" s="14" customFormat="1" ht="34.5" hidden="1" customHeight="1" outlineLevel="2" x14ac:dyDescent="0.25">
      <c r="A244" s="57"/>
      <c r="B244" s="61" t="s">
        <v>87</v>
      </c>
      <c r="C244" s="62" t="s">
        <v>77</v>
      </c>
      <c r="D244" s="49">
        <v>0.18049000000000001</v>
      </c>
      <c r="E244" s="609">
        <f t="shared" si="3"/>
        <v>0.18049000000000001</v>
      </c>
      <c r="F244" s="607"/>
      <c r="G244" s="607"/>
    </row>
    <row r="245" spans="1:7" s="14" customFormat="1" ht="34.5" hidden="1" customHeight="1" outlineLevel="2" x14ac:dyDescent="0.25">
      <c r="A245" s="57"/>
      <c r="B245" s="61" t="s">
        <v>984</v>
      </c>
      <c r="C245" s="63" t="s">
        <v>10</v>
      </c>
      <c r="D245" s="49">
        <v>0.95</v>
      </c>
      <c r="E245" s="609">
        <f t="shared" si="3"/>
        <v>0.95</v>
      </c>
      <c r="F245" s="607"/>
      <c r="G245" s="607"/>
    </row>
    <row r="246" spans="1:7" s="14" customFormat="1" ht="34.5" hidden="1" customHeight="1" outlineLevel="2" x14ac:dyDescent="0.25">
      <c r="A246" s="57"/>
      <c r="B246" s="61" t="s">
        <v>102</v>
      </c>
      <c r="C246" s="62" t="s">
        <v>68</v>
      </c>
      <c r="D246" s="49">
        <v>4.1900000000000004</v>
      </c>
      <c r="E246" s="609">
        <f t="shared" si="3"/>
        <v>4.1900000000000004</v>
      </c>
      <c r="F246" s="607"/>
      <c r="G246" s="607"/>
    </row>
    <row r="247" spans="1:7" s="14" customFormat="1" ht="34.5" hidden="1" customHeight="1" outlineLevel="2" x14ac:dyDescent="0.25">
      <c r="A247" s="57"/>
      <c r="B247" s="64" t="s">
        <v>985</v>
      </c>
      <c r="C247" s="59" t="s">
        <v>134</v>
      </c>
      <c r="D247" s="49">
        <v>1</v>
      </c>
      <c r="E247" s="609">
        <f t="shared" si="3"/>
        <v>1</v>
      </c>
      <c r="F247" s="607"/>
      <c r="G247" s="607"/>
    </row>
    <row r="248" spans="1:7" s="14" customFormat="1" ht="34.5" hidden="1" customHeight="1" outlineLevel="2" x14ac:dyDescent="0.25">
      <c r="A248" s="57"/>
      <c r="B248" s="76" t="s">
        <v>986</v>
      </c>
      <c r="C248" s="62" t="s">
        <v>77</v>
      </c>
      <c r="D248" s="49">
        <v>1.18733</v>
      </c>
      <c r="E248" s="609">
        <f t="shared" si="3"/>
        <v>1.18733</v>
      </c>
      <c r="F248" s="607"/>
      <c r="G248" s="607"/>
    </row>
    <row r="249" spans="1:7" s="14" customFormat="1" ht="34.5" hidden="1" customHeight="1" outlineLevel="2" x14ac:dyDescent="0.25">
      <c r="A249" s="57"/>
      <c r="B249" s="76" t="s">
        <v>987</v>
      </c>
      <c r="C249" s="62" t="s">
        <v>124</v>
      </c>
      <c r="D249" s="49">
        <v>82.76</v>
      </c>
      <c r="E249" s="609">
        <f t="shared" si="3"/>
        <v>82.76</v>
      </c>
      <c r="F249" s="607"/>
      <c r="G249" s="607"/>
    </row>
    <row r="250" spans="1:7" s="14" customFormat="1" ht="34.5" hidden="1" customHeight="1" outlineLevel="2" x14ac:dyDescent="0.25">
      <c r="A250" s="57"/>
      <c r="B250" s="76" t="s">
        <v>988</v>
      </c>
      <c r="C250" s="62" t="s">
        <v>124</v>
      </c>
      <c r="D250" s="49">
        <v>0.8</v>
      </c>
      <c r="E250" s="609">
        <f t="shared" si="3"/>
        <v>0.8</v>
      </c>
      <c r="F250" s="607"/>
      <c r="G250" s="607"/>
    </row>
    <row r="251" spans="1:7" s="14" customFormat="1" ht="34.5" hidden="1" customHeight="1" outlineLevel="2" x14ac:dyDescent="0.25">
      <c r="A251" s="57"/>
      <c r="B251" s="61" t="s">
        <v>989</v>
      </c>
      <c r="C251" s="63" t="s">
        <v>78</v>
      </c>
      <c r="D251" s="49">
        <v>4</v>
      </c>
      <c r="E251" s="609">
        <f t="shared" si="3"/>
        <v>4</v>
      </c>
      <c r="F251" s="607"/>
      <c r="G251" s="607"/>
    </row>
    <row r="252" spans="1:7" s="14" customFormat="1" ht="34.5" hidden="1" customHeight="1" outlineLevel="2" x14ac:dyDescent="0.25">
      <c r="A252" s="57"/>
      <c r="B252" s="61" t="s">
        <v>990</v>
      </c>
      <c r="C252" s="63" t="s">
        <v>78</v>
      </c>
      <c r="D252" s="49">
        <v>4</v>
      </c>
      <c r="E252" s="609">
        <f t="shared" si="3"/>
        <v>4</v>
      </c>
      <c r="F252" s="607"/>
      <c r="G252" s="607"/>
    </row>
    <row r="253" spans="1:7" s="14" customFormat="1" ht="34.5" hidden="1" customHeight="1" outlineLevel="2" x14ac:dyDescent="0.25">
      <c r="A253" s="57"/>
      <c r="B253" s="76" t="s">
        <v>991</v>
      </c>
      <c r="C253" s="62" t="s">
        <v>10</v>
      </c>
      <c r="D253" s="49">
        <v>0.38700000000000001</v>
      </c>
      <c r="E253" s="609">
        <f t="shared" si="3"/>
        <v>0.38700000000000001</v>
      </c>
      <c r="F253" s="607"/>
      <c r="G253" s="607"/>
    </row>
    <row r="254" spans="1:7" s="14" customFormat="1" ht="34.5" hidden="1" customHeight="1" outlineLevel="1" collapsed="1" x14ac:dyDescent="0.25">
      <c r="A254" s="57">
        <v>12</v>
      </c>
      <c r="B254" s="58" t="s">
        <v>1013</v>
      </c>
      <c r="C254" s="57" t="s">
        <v>970</v>
      </c>
      <c r="D254" s="49">
        <v>1</v>
      </c>
      <c r="E254" s="609">
        <f t="shared" si="3"/>
        <v>1</v>
      </c>
      <c r="F254" s="607"/>
      <c r="G254" s="607"/>
    </row>
    <row r="255" spans="1:7" s="14" customFormat="1" ht="34.5" hidden="1" customHeight="1" outlineLevel="2" x14ac:dyDescent="0.25">
      <c r="A255" s="57"/>
      <c r="B255" s="64" t="s">
        <v>1014</v>
      </c>
      <c r="C255" s="60" t="s">
        <v>970</v>
      </c>
      <c r="D255" s="49">
        <v>1</v>
      </c>
      <c r="E255" s="609">
        <f t="shared" si="3"/>
        <v>1</v>
      </c>
      <c r="F255" s="607"/>
      <c r="G255" s="607"/>
    </row>
    <row r="256" spans="1:7" s="14" customFormat="1" ht="34.5" hidden="1" customHeight="1" outlineLevel="2" x14ac:dyDescent="0.25">
      <c r="A256" s="57"/>
      <c r="B256" s="61" t="s">
        <v>105</v>
      </c>
      <c r="C256" s="62" t="s">
        <v>77</v>
      </c>
      <c r="D256" s="49">
        <v>0.82347999999999999</v>
      </c>
      <c r="E256" s="609">
        <f t="shared" si="3"/>
        <v>0.82347999999999999</v>
      </c>
      <c r="F256" s="607"/>
      <c r="G256" s="607"/>
    </row>
    <row r="257" spans="1:7" s="14" customFormat="1" ht="34.5" hidden="1" customHeight="1" outlineLevel="2" x14ac:dyDescent="0.25">
      <c r="A257" s="57"/>
      <c r="B257" s="61" t="s">
        <v>83</v>
      </c>
      <c r="C257" s="62" t="s">
        <v>77</v>
      </c>
      <c r="D257" s="49">
        <v>1.3684700000000001</v>
      </c>
      <c r="E257" s="609">
        <f t="shared" si="3"/>
        <v>1.3684700000000001</v>
      </c>
      <c r="F257" s="607"/>
      <c r="G257" s="607"/>
    </row>
    <row r="258" spans="1:7" s="14" customFormat="1" ht="34.5" hidden="1" customHeight="1" outlineLevel="2" x14ac:dyDescent="0.25">
      <c r="A258" s="57"/>
      <c r="B258" s="61" t="s">
        <v>84</v>
      </c>
      <c r="C258" s="62" t="s">
        <v>77</v>
      </c>
      <c r="D258" s="49">
        <v>0.22</v>
      </c>
      <c r="E258" s="609">
        <f t="shared" si="3"/>
        <v>0.22</v>
      </c>
      <c r="F258" s="607"/>
      <c r="G258" s="607"/>
    </row>
    <row r="259" spans="1:7" s="14" customFormat="1" ht="34.5" hidden="1" customHeight="1" outlineLevel="2" x14ac:dyDescent="0.25">
      <c r="A259" s="57"/>
      <c r="B259" s="61" t="s">
        <v>85</v>
      </c>
      <c r="C259" s="62" t="s">
        <v>77</v>
      </c>
      <c r="D259" s="49">
        <v>0.70641999999999994</v>
      </c>
      <c r="E259" s="609">
        <f t="shared" si="3"/>
        <v>0.70641999999999994</v>
      </c>
      <c r="F259" s="607"/>
      <c r="G259" s="607"/>
    </row>
    <row r="260" spans="1:7" s="14" customFormat="1" ht="34.5" hidden="1" customHeight="1" outlineLevel="2" x14ac:dyDescent="0.25">
      <c r="A260" s="57"/>
      <c r="B260" s="61" t="s">
        <v>86</v>
      </c>
      <c r="C260" s="62" t="s">
        <v>77</v>
      </c>
      <c r="D260" s="49">
        <v>0.83786000000000005</v>
      </c>
      <c r="E260" s="609">
        <f t="shared" si="3"/>
        <v>0.83786000000000005</v>
      </c>
      <c r="F260" s="607"/>
      <c r="G260" s="607"/>
    </row>
    <row r="261" spans="1:7" s="14" customFormat="1" ht="34.5" hidden="1" customHeight="1" outlineLevel="2" x14ac:dyDescent="0.25">
      <c r="A261" s="57"/>
      <c r="B261" s="61" t="s">
        <v>87</v>
      </c>
      <c r="C261" s="62" t="s">
        <v>77</v>
      </c>
      <c r="D261" s="49">
        <v>1.96889</v>
      </c>
      <c r="E261" s="609">
        <f t="shared" si="3"/>
        <v>1.96889</v>
      </c>
      <c r="F261" s="607"/>
      <c r="G261" s="607"/>
    </row>
    <row r="262" spans="1:7" s="14" customFormat="1" ht="34.5" hidden="1" customHeight="1" outlineLevel="2" x14ac:dyDescent="0.25">
      <c r="A262" s="57"/>
      <c r="B262" s="61" t="s">
        <v>984</v>
      </c>
      <c r="C262" s="63" t="s">
        <v>10</v>
      </c>
      <c r="D262" s="49">
        <v>25.49</v>
      </c>
      <c r="E262" s="609">
        <f t="shared" si="3"/>
        <v>25.49</v>
      </c>
      <c r="F262" s="607"/>
      <c r="G262" s="607"/>
    </row>
    <row r="263" spans="1:7" s="14" customFormat="1" ht="34.5" hidden="1" customHeight="1" outlineLevel="2" x14ac:dyDescent="0.25">
      <c r="A263" s="57"/>
      <c r="B263" s="61" t="s">
        <v>102</v>
      </c>
      <c r="C263" s="63" t="s">
        <v>68</v>
      </c>
      <c r="D263" s="49">
        <v>96.47</v>
      </c>
      <c r="E263" s="609">
        <f t="shared" si="3"/>
        <v>96.47</v>
      </c>
      <c r="F263" s="607"/>
      <c r="G263" s="607"/>
    </row>
    <row r="264" spans="1:7" s="14" customFormat="1" ht="34.5" hidden="1" customHeight="1" outlineLevel="2" x14ac:dyDescent="0.25">
      <c r="A264" s="57"/>
      <c r="B264" s="64" t="s">
        <v>998</v>
      </c>
      <c r="C264" s="590" t="s">
        <v>79</v>
      </c>
      <c r="D264" s="49">
        <v>2</v>
      </c>
      <c r="E264" s="609">
        <f t="shared" si="3"/>
        <v>2</v>
      </c>
      <c r="F264" s="607"/>
      <c r="G264" s="607"/>
    </row>
    <row r="265" spans="1:7" s="14" customFormat="1" ht="34.5" hidden="1" customHeight="1" outlineLevel="2" x14ac:dyDescent="0.25">
      <c r="A265" s="57"/>
      <c r="B265" s="61" t="s">
        <v>83</v>
      </c>
      <c r="C265" s="62" t="s">
        <v>77</v>
      </c>
      <c r="D265" s="49">
        <v>9.6700000000000008E-2</v>
      </c>
      <c r="E265" s="609">
        <f t="shared" si="3"/>
        <v>9.6700000000000008E-2</v>
      </c>
      <c r="F265" s="607"/>
      <c r="G265" s="607"/>
    </row>
    <row r="266" spans="1:7" s="14" customFormat="1" ht="34.5" hidden="1" customHeight="1" outlineLevel="2" x14ac:dyDescent="0.25">
      <c r="A266" s="57"/>
      <c r="B266" s="61" t="s">
        <v>85</v>
      </c>
      <c r="C266" s="62" t="s">
        <v>77</v>
      </c>
      <c r="D266" s="49">
        <v>0.64578000000000002</v>
      </c>
      <c r="E266" s="609">
        <f t="shared" si="3"/>
        <v>0.64578000000000002</v>
      </c>
      <c r="F266" s="607"/>
      <c r="G266" s="607"/>
    </row>
    <row r="267" spans="1:7" s="14" customFormat="1" ht="34.5" hidden="1" customHeight="1" outlineLevel="2" x14ac:dyDescent="0.25">
      <c r="A267" s="57"/>
      <c r="B267" s="61" t="s">
        <v>87</v>
      </c>
      <c r="C267" s="62" t="s">
        <v>77</v>
      </c>
      <c r="D267" s="49">
        <v>0.22209999999999999</v>
      </c>
      <c r="E267" s="609">
        <f t="shared" si="3"/>
        <v>0.22209999999999999</v>
      </c>
      <c r="F267" s="607"/>
      <c r="G267" s="607"/>
    </row>
    <row r="268" spans="1:7" s="14" customFormat="1" ht="34.5" hidden="1" customHeight="1" outlineLevel="2" x14ac:dyDescent="0.25">
      <c r="A268" s="57"/>
      <c r="B268" s="61" t="s">
        <v>984</v>
      </c>
      <c r="C268" s="63" t="s">
        <v>10</v>
      </c>
      <c r="D268" s="49">
        <v>0.9</v>
      </c>
      <c r="E268" s="609">
        <f t="shared" si="3"/>
        <v>0.9</v>
      </c>
      <c r="F268" s="607"/>
      <c r="G268" s="607"/>
    </row>
    <row r="269" spans="1:7" s="14" customFormat="1" ht="34.5" hidden="1" customHeight="1" outlineLevel="2" x14ac:dyDescent="0.25">
      <c r="A269" s="57"/>
      <c r="B269" s="61" t="s">
        <v>102</v>
      </c>
      <c r="C269" s="62" t="s">
        <v>68</v>
      </c>
      <c r="D269" s="49">
        <v>2.12</v>
      </c>
      <c r="E269" s="609">
        <f t="shared" si="3"/>
        <v>2.12</v>
      </c>
      <c r="F269" s="607"/>
      <c r="G269" s="607"/>
    </row>
    <row r="270" spans="1:7" s="14" customFormat="1" ht="34.5" hidden="1" customHeight="1" outlineLevel="2" x14ac:dyDescent="0.25">
      <c r="A270" s="57"/>
      <c r="B270" s="64" t="s">
        <v>985</v>
      </c>
      <c r="C270" s="59" t="s">
        <v>134</v>
      </c>
      <c r="D270" s="49">
        <v>1</v>
      </c>
      <c r="E270" s="609">
        <f t="shared" si="3"/>
        <v>1</v>
      </c>
      <c r="F270" s="607"/>
      <c r="G270" s="607"/>
    </row>
    <row r="271" spans="1:7" s="14" customFormat="1" ht="34.5" hidden="1" customHeight="1" outlineLevel="2" x14ac:dyDescent="0.25">
      <c r="A271" s="57"/>
      <c r="B271" s="76" t="s">
        <v>986</v>
      </c>
      <c r="C271" s="62" t="s">
        <v>77</v>
      </c>
      <c r="D271" s="49">
        <v>0.67313699999999999</v>
      </c>
      <c r="E271" s="609">
        <f t="shared" si="3"/>
        <v>0.67313699999999999</v>
      </c>
      <c r="F271" s="607"/>
      <c r="G271" s="607"/>
    </row>
    <row r="272" spans="1:7" s="14" customFormat="1" ht="34.5" hidden="1" customHeight="1" outlineLevel="2" x14ac:dyDescent="0.25">
      <c r="A272" s="57"/>
      <c r="B272" s="76" t="s">
        <v>987</v>
      </c>
      <c r="C272" s="62" t="s">
        <v>124</v>
      </c>
      <c r="D272" s="49">
        <v>94.91</v>
      </c>
      <c r="E272" s="609">
        <f t="shared" ref="E272:E335" si="4">D272</f>
        <v>94.91</v>
      </c>
      <c r="F272" s="607"/>
      <c r="G272" s="607"/>
    </row>
    <row r="273" spans="1:7" s="14" customFormat="1" ht="34.5" hidden="1" customHeight="1" outlineLevel="2" x14ac:dyDescent="0.25">
      <c r="A273" s="57"/>
      <c r="B273" s="76" t="s">
        <v>988</v>
      </c>
      <c r="C273" s="62" t="s">
        <v>124</v>
      </c>
      <c r="D273" s="49">
        <v>0.8</v>
      </c>
      <c r="E273" s="609">
        <f t="shared" si="4"/>
        <v>0.8</v>
      </c>
      <c r="F273" s="607"/>
      <c r="G273" s="607"/>
    </row>
    <row r="274" spans="1:7" s="14" customFormat="1" ht="34.5" hidden="1" customHeight="1" outlineLevel="2" x14ac:dyDescent="0.25">
      <c r="A274" s="57"/>
      <c r="B274" s="61" t="s">
        <v>989</v>
      </c>
      <c r="C274" s="63" t="s">
        <v>78</v>
      </c>
      <c r="D274" s="49">
        <v>2</v>
      </c>
      <c r="E274" s="609">
        <f t="shared" si="4"/>
        <v>2</v>
      </c>
      <c r="F274" s="607"/>
      <c r="G274" s="607"/>
    </row>
    <row r="275" spans="1:7" s="14" customFormat="1" ht="34.5" hidden="1" customHeight="1" outlineLevel="2" x14ac:dyDescent="0.25">
      <c r="A275" s="57"/>
      <c r="B275" s="61" t="s">
        <v>990</v>
      </c>
      <c r="C275" s="63" t="s">
        <v>78</v>
      </c>
      <c r="D275" s="49">
        <v>2</v>
      </c>
      <c r="E275" s="609">
        <f t="shared" si="4"/>
        <v>2</v>
      </c>
      <c r="F275" s="607"/>
      <c r="G275" s="607"/>
    </row>
    <row r="276" spans="1:7" s="14" customFormat="1" ht="34.5" hidden="1" customHeight="1" outlineLevel="2" x14ac:dyDescent="0.25">
      <c r="A276" s="57"/>
      <c r="B276" s="76" t="s">
        <v>991</v>
      </c>
      <c r="C276" s="62" t="s">
        <v>10</v>
      </c>
      <c r="D276" s="49">
        <v>0.44400000000000001</v>
      </c>
      <c r="E276" s="609">
        <f t="shared" si="4"/>
        <v>0.44400000000000001</v>
      </c>
      <c r="F276" s="607"/>
      <c r="G276" s="607"/>
    </row>
    <row r="277" spans="1:7" s="14" customFormat="1" ht="34.5" hidden="1" customHeight="1" outlineLevel="1" collapsed="1" x14ac:dyDescent="0.25">
      <c r="A277" s="57">
        <v>13</v>
      </c>
      <c r="B277" s="58" t="s">
        <v>1015</v>
      </c>
      <c r="C277" s="57" t="s">
        <v>970</v>
      </c>
      <c r="D277" s="49">
        <v>1</v>
      </c>
      <c r="E277" s="609">
        <f t="shared" si="4"/>
        <v>1</v>
      </c>
      <c r="F277" s="607"/>
      <c r="G277" s="607"/>
    </row>
    <row r="278" spans="1:7" s="14" customFormat="1" ht="34.5" hidden="1" customHeight="1" outlineLevel="2" x14ac:dyDescent="0.25">
      <c r="A278" s="57"/>
      <c r="B278" s="64" t="s">
        <v>1016</v>
      </c>
      <c r="C278" s="60" t="s">
        <v>970</v>
      </c>
      <c r="D278" s="49">
        <v>1</v>
      </c>
      <c r="E278" s="609">
        <f t="shared" si="4"/>
        <v>1</v>
      </c>
      <c r="F278" s="607"/>
      <c r="G278" s="607"/>
    </row>
    <row r="279" spans="1:7" s="14" customFormat="1" ht="34.5" hidden="1" customHeight="1" outlineLevel="2" x14ac:dyDescent="0.25">
      <c r="A279" s="57"/>
      <c r="B279" s="61" t="s">
        <v>105</v>
      </c>
      <c r="C279" s="62" t="s">
        <v>77</v>
      </c>
      <c r="D279" s="49">
        <v>0.82347999999999999</v>
      </c>
      <c r="E279" s="609">
        <f t="shared" si="4"/>
        <v>0.82347999999999999</v>
      </c>
      <c r="F279" s="607"/>
      <c r="G279" s="607"/>
    </row>
    <row r="280" spans="1:7" s="14" customFormat="1" ht="34.5" hidden="1" customHeight="1" outlineLevel="2" x14ac:dyDescent="0.25">
      <c r="A280" s="57"/>
      <c r="B280" s="61" t="s">
        <v>83</v>
      </c>
      <c r="C280" s="62" t="s">
        <v>77</v>
      </c>
      <c r="D280" s="49">
        <v>1.3684700000000001</v>
      </c>
      <c r="E280" s="609">
        <f t="shared" si="4"/>
        <v>1.3684700000000001</v>
      </c>
      <c r="F280" s="607"/>
      <c r="G280" s="607"/>
    </row>
    <row r="281" spans="1:7" s="14" customFormat="1" ht="34.5" hidden="1" customHeight="1" outlineLevel="2" x14ac:dyDescent="0.25">
      <c r="A281" s="57"/>
      <c r="B281" s="61" t="s">
        <v>84</v>
      </c>
      <c r="C281" s="62" t="s">
        <v>77</v>
      </c>
      <c r="D281" s="49">
        <v>0.22</v>
      </c>
      <c r="E281" s="609">
        <f t="shared" si="4"/>
        <v>0.22</v>
      </c>
      <c r="F281" s="607"/>
      <c r="G281" s="607"/>
    </row>
    <row r="282" spans="1:7" s="14" customFormat="1" ht="34.5" hidden="1" customHeight="1" outlineLevel="2" x14ac:dyDescent="0.25">
      <c r="A282" s="57"/>
      <c r="B282" s="61" t="s">
        <v>85</v>
      </c>
      <c r="C282" s="62" t="s">
        <v>77</v>
      </c>
      <c r="D282" s="49">
        <v>0.70641999999999994</v>
      </c>
      <c r="E282" s="609">
        <f t="shared" si="4"/>
        <v>0.70641999999999994</v>
      </c>
      <c r="F282" s="607"/>
      <c r="G282" s="607"/>
    </row>
    <row r="283" spans="1:7" s="14" customFormat="1" ht="34.5" hidden="1" customHeight="1" outlineLevel="2" x14ac:dyDescent="0.25">
      <c r="A283" s="57"/>
      <c r="B283" s="61" t="s">
        <v>86</v>
      </c>
      <c r="C283" s="62" t="s">
        <v>77</v>
      </c>
      <c r="D283" s="49">
        <v>0.83786000000000005</v>
      </c>
      <c r="E283" s="609">
        <f t="shared" si="4"/>
        <v>0.83786000000000005</v>
      </c>
      <c r="F283" s="607"/>
      <c r="G283" s="607"/>
    </row>
    <row r="284" spans="1:7" s="14" customFormat="1" ht="34.5" hidden="1" customHeight="1" outlineLevel="2" x14ac:dyDescent="0.25">
      <c r="A284" s="57"/>
      <c r="B284" s="61" t="s">
        <v>87</v>
      </c>
      <c r="C284" s="62" t="s">
        <v>77</v>
      </c>
      <c r="D284" s="49">
        <v>1.96889</v>
      </c>
      <c r="E284" s="609">
        <f t="shared" si="4"/>
        <v>1.96889</v>
      </c>
      <c r="F284" s="607"/>
      <c r="G284" s="607"/>
    </row>
    <row r="285" spans="1:7" s="14" customFormat="1" ht="34.5" hidden="1" customHeight="1" outlineLevel="2" x14ac:dyDescent="0.25">
      <c r="A285" s="57"/>
      <c r="B285" s="61" t="s">
        <v>984</v>
      </c>
      <c r="C285" s="63" t="s">
        <v>10</v>
      </c>
      <c r="D285" s="49">
        <v>25.49</v>
      </c>
      <c r="E285" s="609">
        <f t="shared" si="4"/>
        <v>25.49</v>
      </c>
      <c r="F285" s="607"/>
      <c r="G285" s="607"/>
    </row>
    <row r="286" spans="1:7" s="14" customFormat="1" ht="34.5" hidden="1" customHeight="1" outlineLevel="2" x14ac:dyDescent="0.25">
      <c r="A286" s="57"/>
      <c r="B286" s="61" t="s">
        <v>102</v>
      </c>
      <c r="C286" s="63" t="s">
        <v>68</v>
      </c>
      <c r="D286" s="49">
        <v>96.47</v>
      </c>
      <c r="E286" s="609">
        <f t="shared" si="4"/>
        <v>96.47</v>
      </c>
      <c r="F286" s="607"/>
      <c r="G286" s="607"/>
    </row>
    <row r="287" spans="1:7" s="14" customFormat="1" ht="34.5" hidden="1" customHeight="1" outlineLevel="2" x14ac:dyDescent="0.25">
      <c r="A287" s="57"/>
      <c r="B287" s="64" t="s">
        <v>998</v>
      </c>
      <c r="C287" s="590" t="s">
        <v>79</v>
      </c>
      <c r="D287" s="49">
        <v>2</v>
      </c>
      <c r="E287" s="609">
        <f t="shared" si="4"/>
        <v>2</v>
      </c>
      <c r="F287" s="607"/>
      <c r="G287" s="607"/>
    </row>
    <row r="288" spans="1:7" s="14" customFormat="1" ht="34.5" hidden="1" customHeight="1" outlineLevel="2" x14ac:dyDescent="0.25">
      <c r="A288" s="57"/>
      <c r="B288" s="61" t="s">
        <v>83</v>
      </c>
      <c r="C288" s="62" t="s">
        <v>77</v>
      </c>
      <c r="D288" s="49">
        <v>8.695E-2</v>
      </c>
      <c r="E288" s="609">
        <f t="shared" si="4"/>
        <v>8.695E-2</v>
      </c>
      <c r="F288" s="607"/>
      <c r="G288" s="607"/>
    </row>
    <row r="289" spans="1:7" s="14" customFormat="1" ht="34.5" hidden="1" customHeight="1" outlineLevel="2" x14ac:dyDescent="0.25">
      <c r="A289" s="57"/>
      <c r="B289" s="61" t="s">
        <v>85</v>
      </c>
      <c r="C289" s="62" t="s">
        <v>77</v>
      </c>
      <c r="D289" s="49">
        <v>0.55142999999999998</v>
      </c>
      <c r="E289" s="609">
        <f t="shared" si="4"/>
        <v>0.55142999999999998</v>
      </c>
      <c r="F289" s="607"/>
      <c r="G289" s="607"/>
    </row>
    <row r="290" spans="1:7" s="14" customFormat="1" ht="34.5" hidden="1" customHeight="1" outlineLevel="2" x14ac:dyDescent="0.25">
      <c r="A290" s="57"/>
      <c r="B290" s="61" t="s">
        <v>87</v>
      </c>
      <c r="C290" s="62" t="s">
        <v>77</v>
      </c>
      <c r="D290" s="49">
        <v>0.18171999999999999</v>
      </c>
      <c r="E290" s="609">
        <f t="shared" si="4"/>
        <v>0.18171999999999999</v>
      </c>
      <c r="F290" s="607"/>
      <c r="G290" s="607"/>
    </row>
    <row r="291" spans="1:7" s="14" customFormat="1" ht="34.5" hidden="1" customHeight="1" outlineLevel="2" x14ac:dyDescent="0.25">
      <c r="A291" s="57"/>
      <c r="B291" s="61" t="s">
        <v>984</v>
      </c>
      <c r="C291" s="63" t="s">
        <v>10</v>
      </c>
      <c r="D291" s="49">
        <v>0.7</v>
      </c>
      <c r="E291" s="609">
        <f t="shared" si="4"/>
        <v>0.7</v>
      </c>
      <c r="F291" s="607"/>
      <c r="G291" s="607"/>
    </row>
    <row r="292" spans="1:7" s="14" customFormat="1" ht="34.5" hidden="1" customHeight="1" outlineLevel="2" x14ac:dyDescent="0.25">
      <c r="A292" s="57"/>
      <c r="B292" s="61" t="s">
        <v>102</v>
      </c>
      <c r="C292" s="62" t="s">
        <v>68</v>
      </c>
      <c r="D292" s="49">
        <v>3.1</v>
      </c>
      <c r="E292" s="609">
        <f t="shared" si="4"/>
        <v>3.1</v>
      </c>
      <c r="F292" s="607"/>
      <c r="G292" s="607"/>
    </row>
    <row r="293" spans="1:7" s="14" customFormat="1" ht="34.5" hidden="1" customHeight="1" outlineLevel="2" x14ac:dyDescent="0.25">
      <c r="A293" s="57"/>
      <c r="B293" s="64" t="s">
        <v>985</v>
      </c>
      <c r="C293" s="59" t="s">
        <v>134</v>
      </c>
      <c r="D293" s="49">
        <v>1</v>
      </c>
      <c r="E293" s="609">
        <f t="shared" si="4"/>
        <v>1</v>
      </c>
      <c r="F293" s="607"/>
      <c r="G293" s="607"/>
    </row>
    <row r="294" spans="1:7" s="14" customFormat="1" ht="34.5" hidden="1" customHeight="1" outlineLevel="2" x14ac:dyDescent="0.25">
      <c r="A294" s="57"/>
      <c r="B294" s="76" t="s">
        <v>986</v>
      </c>
      <c r="C294" s="62" t="s">
        <v>77</v>
      </c>
      <c r="D294" s="49">
        <v>0.67313699999999999</v>
      </c>
      <c r="E294" s="609">
        <f t="shared" si="4"/>
        <v>0.67313699999999999</v>
      </c>
      <c r="F294" s="607"/>
      <c r="G294" s="607"/>
    </row>
    <row r="295" spans="1:7" s="14" customFormat="1" ht="34.5" hidden="1" customHeight="1" outlineLevel="2" x14ac:dyDescent="0.25">
      <c r="A295" s="57"/>
      <c r="B295" s="76" t="s">
        <v>987</v>
      </c>
      <c r="C295" s="62" t="s">
        <v>124</v>
      </c>
      <c r="D295" s="49">
        <v>77.183000000000007</v>
      </c>
      <c r="E295" s="609">
        <f t="shared" si="4"/>
        <v>77.183000000000007</v>
      </c>
      <c r="F295" s="607"/>
      <c r="G295" s="607"/>
    </row>
    <row r="296" spans="1:7" s="14" customFormat="1" ht="34.5" hidden="1" customHeight="1" outlineLevel="2" x14ac:dyDescent="0.25">
      <c r="A296" s="57"/>
      <c r="B296" s="76" t="s">
        <v>988</v>
      </c>
      <c r="C296" s="62" t="s">
        <v>124</v>
      </c>
      <c r="D296" s="49">
        <v>1.6</v>
      </c>
      <c r="E296" s="609">
        <f t="shared" si="4"/>
        <v>1.6</v>
      </c>
      <c r="F296" s="607"/>
      <c r="G296" s="607"/>
    </row>
    <row r="297" spans="1:7" s="14" customFormat="1" ht="34.5" hidden="1" customHeight="1" outlineLevel="2" x14ac:dyDescent="0.25">
      <c r="A297" s="57"/>
      <c r="B297" s="61" t="s">
        <v>989</v>
      </c>
      <c r="C297" s="63" t="s">
        <v>78</v>
      </c>
      <c r="D297" s="49">
        <v>2</v>
      </c>
      <c r="E297" s="609">
        <f t="shared" si="4"/>
        <v>2</v>
      </c>
      <c r="F297" s="607"/>
      <c r="G297" s="607"/>
    </row>
    <row r="298" spans="1:7" s="14" customFormat="1" ht="34.5" hidden="1" customHeight="1" outlineLevel="2" x14ac:dyDescent="0.25">
      <c r="A298" s="57"/>
      <c r="B298" s="61" t="s">
        <v>990</v>
      </c>
      <c r="C298" s="63" t="s">
        <v>78</v>
      </c>
      <c r="D298" s="49">
        <v>2</v>
      </c>
      <c r="E298" s="609">
        <f t="shared" si="4"/>
        <v>2</v>
      </c>
      <c r="F298" s="607"/>
      <c r="G298" s="607"/>
    </row>
    <row r="299" spans="1:7" s="14" customFormat="1" ht="34.5" hidden="1" customHeight="1" outlineLevel="2" x14ac:dyDescent="0.25">
      <c r="A299" s="57"/>
      <c r="B299" s="76" t="s">
        <v>991</v>
      </c>
      <c r="C299" s="62" t="s">
        <v>10</v>
      </c>
      <c r="D299" s="49">
        <v>0.36099999999999999</v>
      </c>
      <c r="E299" s="609">
        <f t="shared" si="4"/>
        <v>0.36099999999999999</v>
      </c>
      <c r="F299" s="607"/>
      <c r="G299" s="607"/>
    </row>
    <row r="300" spans="1:7" s="14" customFormat="1" ht="34.5" hidden="1" customHeight="1" outlineLevel="1" collapsed="1" x14ac:dyDescent="0.25">
      <c r="A300" s="57">
        <v>14</v>
      </c>
      <c r="B300" s="58" t="s">
        <v>1017</v>
      </c>
      <c r="C300" s="57" t="s">
        <v>970</v>
      </c>
      <c r="D300" s="49">
        <v>1</v>
      </c>
      <c r="E300" s="609">
        <f t="shared" si="4"/>
        <v>1</v>
      </c>
      <c r="F300" s="607"/>
      <c r="G300" s="607"/>
    </row>
    <row r="301" spans="1:7" s="14" customFormat="1" ht="34.5" hidden="1" customHeight="1" outlineLevel="2" x14ac:dyDescent="0.25">
      <c r="A301" s="57"/>
      <c r="B301" s="64" t="s">
        <v>1018</v>
      </c>
      <c r="C301" s="60" t="s">
        <v>970</v>
      </c>
      <c r="D301" s="49">
        <v>1</v>
      </c>
      <c r="E301" s="609">
        <f t="shared" si="4"/>
        <v>1</v>
      </c>
      <c r="F301" s="607"/>
      <c r="G301" s="607"/>
    </row>
    <row r="302" spans="1:7" s="14" customFormat="1" ht="34.5" hidden="1" customHeight="1" outlineLevel="2" x14ac:dyDescent="0.25">
      <c r="A302" s="57"/>
      <c r="B302" s="61" t="s">
        <v>105</v>
      </c>
      <c r="C302" s="62" t="s">
        <v>77</v>
      </c>
      <c r="D302" s="49">
        <v>0.90398999999999996</v>
      </c>
      <c r="E302" s="609">
        <f t="shared" si="4"/>
        <v>0.90398999999999996</v>
      </c>
      <c r="F302" s="607"/>
      <c r="G302" s="607"/>
    </row>
    <row r="303" spans="1:7" s="14" customFormat="1" ht="34.5" hidden="1" customHeight="1" outlineLevel="2" x14ac:dyDescent="0.25">
      <c r="A303" s="57"/>
      <c r="B303" s="61" t="s">
        <v>83</v>
      </c>
      <c r="C303" s="62" t="s">
        <v>77</v>
      </c>
      <c r="D303" s="49">
        <v>1.5538599999999998</v>
      </c>
      <c r="E303" s="609">
        <f t="shared" si="4"/>
        <v>1.5538599999999998</v>
      </c>
      <c r="F303" s="607"/>
      <c r="G303" s="607"/>
    </row>
    <row r="304" spans="1:7" s="14" customFormat="1" ht="34.5" hidden="1" customHeight="1" outlineLevel="2" x14ac:dyDescent="0.25">
      <c r="A304" s="57"/>
      <c r="B304" s="61" t="s">
        <v>84</v>
      </c>
      <c r="C304" s="62" t="s">
        <v>77</v>
      </c>
      <c r="D304" s="49">
        <v>0.25</v>
      </c>
      <c r="E304" s="609">
        <f t="shared" si="4"/>
        <v>0.25</v>
      </c>
      <c r="F304" s="607"/>
      <c r="G304" s="607"/>
    </row>
    <row r="305" spans="1:7" s="14" customFormat="1" ht="34.5" hidden="1" customHeight="1" outlineLevel="2" x14ac:dyDescent="0.25">
      <c r="A305" s="57"/>
      <c r="B305" s="61" t="s">
        <v>85</v>
      </c>
      <c r="C305" s="62" t="s">
        <v>77</v>
      </c>
      <c r="D305" s="49">
        <v>0.80276000000000003</v>
      </c>
      <c r="E305" s="609">
        <f t="shared" si="4"/>
        <v>0.80276000000000003</v>
      </c>
      <c r="F305" s="607"/>
      <c r="G305" s="607"/>
    </row>
    <row r="306" spans="1:7" s="14" customFormat="1" ht="34.5" hidden="1" customHeight="1" outlineLevel="2" x14ac:dyDescent="0.25">
      <c r="A306" s="57"/>
      <c r="B306" s="61" t="s">
        <v>86</v>
      </c>
      <c r="C306" s="62" t="s">
        <v>77</v>
      </c>
      <c r="D306" s="49">
        <v>0.95211000000000001</v>
      </c>
      <c r="E306" s="609">
        <f t="shared" si="4"/>
        <v>0.95211000000000001</v>
      </c>
      <c r="F306" s="607"/>
      <c r="G306" s="607"/>
    </row>
    <row r="307" spans="1:7" s="14" customFormat="1" ht="34.5" hidden="1" customHeight="1" outlineLevel="2" x14ac:dyDescent="0.25">
      <c r="A307" s="57"/>
      <c r="B307" s="61" t="s">
        <v>87</v>
      </c>
      <c r="C307" s="62" t="s">
        <v>77</v>
      </c>
      <c r="D307" s="49">
        <v>2.1541600000000001</v>
      </c>
      <c r="E307" s="609">
        <f t="shared" si="4"/>
        <v>2.1541600000000001</v>
      </c>
      <c r="F307" s="607"/>
      <c r="G307" s="607"/>
    </row>
    <row r="308" spans="1:7" s="14" customFormat="1" ht="34.5" hidden="1" customHeight="1" outlineLevel="2" x14ac:dyDescent="0.25">
      <c r="A308" s="57"/>
      <c r="B308" s="61" t="s">
        <v>984</v>
      </c>
      <c r="C308" s="63" t="s">
        <v>10</v>
      </c>
      <c r="D308" s="49">
        <v>28.49</v>
      </c>
      <c r="E308" s="609">
        <f t="shared" si="4"/>
        <v>28.49</v>
      </c>
      <c r="F308" s="607"/>
      <c r="G308" s="607"/>
    </row>
    <row r="309" spans="1:7" s="14" customFormat="1" ht="34.5" hidden="1" customHeight="1" outlineLevel="2" x14ac:dyDescent="0.25">
      <c r="A309" s="57"/>
      <c r="B309" s="61" t="s">
        <v>102</v>
      </c>
      <c r="C309" s="63" t="s">
        <v>68</v>
      </c>
      <c r="D309" s="49">
        <v>108.04</v>
      </c>
      <c r="E309" s="609">
        <f t="shared" si="4"/>
        <v>108.04</v>
      </c>
      <c r="F309" s="607"/>
      <c r="G309" s="607"/>
    </row>
    <row r="310" spans="1:7" s="14" customFormat="1" ht="34.5" hidden="1" customHeight="1" outlineLevel="2" x14ac:dyDescent="0.25">
      <c r="A310" s="57"/>
      <c r="B310" s="64" t="s">
        <v>998</v>
      </c>
      <c r="C310" s="590" t="s">
        <v>79</v>
      </c>
      <c r="D310" s="49">
        <v>2</v>
      </c>
      <c r="E310" s="609">
        <f t="shared" si="4"/>
        <v>2</v>
      </c>
      <c r="F310" s="607"/>
      <c r="G310" s="607"/>
    </row>
    <row r="311" spans="1:7" s="14" customFormat="1" ht="34.5" hidden="1" customHeight="1" outlineLevel="2" x14ac:dyDescent="0.25">
      <c r="A311" s="57"/>
      <c r="B311" s="61" t="s">
        <v>83</v>
      </c>
      <c r="C311" s="62" t="s">
        <v>77</v>
      </c>
      <c r="D311" s="49">
        <v>9.6700000000000008E-2</v>
      </c>
      <c r="E311" s="609">
        <f t="shared" si="4"/>
        <v>9.6700000000000008E-2</v>
      </c>
      <c r="F311" s="607"/>
      <c r="G311" s="607"/>
    </row>
    <row r="312" spans="1:7" s="14" customFormat="1" ht="34.5" hidden="1" customHeight="1" outlineLevel="2" x14ac:dyDescent="0.25">
      <c r="A312" s="57"/>
      <c r="B312" s="61" t="s">
        <v>85</v>
      </c>
      <c r="C312" s="62" t="s">
        <v>77</v>
      </c>
      <c r="D312" s="49">
        <v>0.74485000000000001</v>
      </c>
      <c r="E312" s="609">
        <f t="shared" si="4"/>
        <v>0.74485000000000001</v>
      </c>
      <c r="F312" s="607"/>
      <c r="G312" s="607"/>
    </row>
    <row r="313" spans="1:7" s="14" customFormat="1" ht="34.5" hidden="1" customHeight="1" outlineLevel="2" x14ac:dyDescent="0.25">
      <c r="A313" s="57"/>
      <c r="B313" s="61" t="s">
        <v>87</v>
      </c>
      <c r="C313" s="62" t="s">
        <v>77</v>
      </c>
      <c r="D313" s="49">
        <v>0.24450999999999998</v>
      </c>
      <c r="E313" s="609">
        <f t="shared" si="4"/>
        <v>0.24450999999999998</v>
      </c>
      <c r="F313" s="607"/>
      <c r="G313" s="607"/>
    </row>
    <row r="314" spans="1:7" s="14" customFormat="1" ht="34.5" hidden="1" customHeight="1" outlineLevel="2" x14ac:dyDescent="0.25">
      <c r="A314" s="57"/>
      <c r="B314" s="61" t="s">
        <v>984</v>
      </c>
      <c r="C314" s="63" t="s">
        <v>10</v>
      </c>
      <c r="D314" s="49">
        <v>1.04</v>
      </c>
      <c r="E314" s="609">
        <f t="shared" si="4"/>
        <v>1.04</v>
      </c>
      <c r="F314" s="607"/>
      <c r="G314" s="607"/>
    </row>
    <row r="315" spans="1:7" s="14" customFormat="1" ht="34.5" hidden="1" customHeight="1" outlineLevel="2" x14ac:dyDescent="0.25">
      <c r="A315" s="57"/>
      <c r="B315" s="61" t="s">
        <v>102</v>
      </c>
      <c r="C315" s="62" t="s">
        <v>68</v>
      </c>
      <c r="D315" s="49">
        <v>2.36</v>
      </c>
      <c r="E315" s="609">
        <f t="shared" si="4"/>
        <v>2.36</v>
      </c>
      <c r="F315" s="607"/>
      <c r="G315" s="607"/>
    </row>
    <row r="316" spans="1:7" s="14" customFormat="1" ht="34.5" hidden="1" customHeight="1" outlineLevel="2" x14ac:dyDescent="0.25">
      <c r="A316" s="57"/>
      <c r="B316" s="64" t="s">
        <v>985</v>
      </c>
      <c r="C316" s="59" t="s">
        <v>134</v>
      </c>
      <c r="D316" s="49">
        <v>1</v>
      </c>
      <c r="E316" s="609">
        <f t="shared" si="4"/>
        <v>1</v>
      </c>
      <c r="F316" s="607"/>
      <c r="G316" s="607"/>
    </row>
    <row r="317" spans="1:7" s="14" customFormat="1" ht="34.5" hidden="1" customHeight="1" outlineLevel="2" x14ac:dyDescent="0.25">
      <c r="A317" s="57"/>
      <c r="B317" s="76" t="s">
        <v>986</v>
      </c>
      <c r="C317" s="62" t="s">
        <v>77</v>
      </c>
      <c r="D317" s="49">
        <v>0.766069</v>
      </c>
      <c r="E317" s="609">
        <f t="shared" si="4"/>
        <v>0.766069</v>
      </c>
      <c r="F317" s="607"/>
      <c r="G317" s="607"/>
    </row>
    <row r="318" spans="1:7" s="14" customFormat="1" ht="34.5" hidden="1" customHeight="1" outlineLevel="2" x14ac:dyDescent="0.25">
      <c r="A318" s="57"/>
      <c r="B318" s="76" t="s">
        <v>987</v>
      </c>
      <c r="C318" s="62" t="s">
        <v>124</v>
      </c>
      <c r="D318" s="49">
        <v>110.95399999999999</v>
      </c>
      <c r="E318" s="609">
        <f t="shared" si="4"/>
        <v>110.95399999999999</v>
      </c>
      <c r="F318" s="607"/>
      <c r="G318" s="607"/>
    </row>
    <row r="319" spans="1:7" s="14" customFormat="1" ht="34.5" hidden="1" customHeight="1" outlineLevel="2" x14ac:dyDescent="0.25">
      <c r="A319" s="57"/>
      <c r="B319" s="76" t="s">
        <v>988</v>
      </c>
      <c r="C319" s="62" t="s">
        <v>124</v>
      </c>
      <c r="D319" s="49">
        <v>1.6</v>
      </c>
      <c r="E319" s="609">
        <f t="shared" si="4"/>
        <v>1.6</v>
      </c>
      <c r="F319" s="607"/>
      <c r="G319" s="607"/>
    </row>
    <row r="320" spans="1:7" s="14" customFormat="1" ht="34.5" hidden="1" customHeight="1" outlineLevel="2" x14ac:dyDescent="0.25">
      <c r="A320" s="57"/>
      <c r="B320" s="61" t="s">
        <v>989</v>
      </c>
      <c r="C320" s="63" t="s">
        <v>78</v>
      </c>
      <c r="D320" s="49">
        <v>2</v>
      </c>
      <c r="E320" s="609">
        <f t="shared" si="4"/>
        <v>2</v>
      </c>
      <c r="F320" s="607"/>
      <c r="G320" s="607"/>
    </row>
    <row r="321" spans="1:7" s="14" customFormat="1" ht="34.5" hidden="1" customHeight="1" outlineLevel="2" x14ac:dyDescent="0.25">
      <c r="A321" s="57"/>
      <c r="B321" s="61" t="s">
        <v>990</v>
      </c>
      <c r="C321" s="63" t="s">
        <v>78</v>
      </c>
      <c r="D321" s="49">
        <v>2</v>
      </c>
      <c r="E321" s="609">
        <f t="shared" si="4"/>
        <v>2</v>
      </c>
      <c r="F321" s="607"/>
      <c r="G321" s="607"/>
    </row>
    <row r="322" spans="1:7" s="14" customFormat="1" ht="34.5" hidden="1" customHeight="1" outlineLevel="2" x14ac:dyDescent="0.25">
      <c r="A322" s="57"/>
      <c r="B322" s="76" t="s">
        <v>991</v>
      </c>
      <c r="C322" s="62" t="s">
        <v>10</v>
      </c>
      <c r="D322" s="49">
        <v>0.51900000000000002</v>
      </c>
      <c r="E322" s="609">
        <f t="shared" si="4"/>
        <v>0.51900000000000002</v>
      </c>
      <c r="F322" s="607"/>
      <c r="G322" s="607"/>
    </row>
    <row r="323" spans="1:7" s="14" customFormat="1" ht="34.5" hidden="1" customHeight="1" outlineLevel="1" collapsed="1" x14ac:dyDescent="0.25">
      <c r="A323" s="57">
        <v>15</v>
      </c>
      <c r="B323" s="58" t="s">
        <v>1019</v>
      </c>
      <c r="C323" s="57" t="s">
        <v>970</v>
      </c>
      <c r="D323" s="49">
        <v>1</v>
      </c>
      <c r="E323" s="609">
        <f t="shared" si="4"/>
        <v>1</v>
      </c>
      <c r="F323" s="607"/>
      <c r="G323" s="607"/>
    </row>
    <row r="324" spans="1:7" s="14" customFormat="1" ht="34.5" hidden="1" customHeight="1" outlineLevel="2" x14ac:dyDescent="0.25">
      <c r="A324" s="57"/>
      <c r="B324" s="64" t="s">
        <v>1020</v>
      </c>
      <c r="C324" s="60" t="s">
        <v>970</v>
      </c>
      <c r="D324" s="49">
        <v>1</v>
      </c>
      <c r="E324" s="609">
        <f t="shared" si="4"/>
        <v>1</v>
      </c>
      <c r="F324" s="607"/>
      <c r="G324" s="607"/>
    </row>
    <row r="325" spans="1:7" s="14" customFormat="1" ht="34.5" hidden="1" customHeight="1" outlineLevel="2" x14ac:dyDescent="0.25">
      <c r="A325" s="57"/>
      <c r="B325" s="61" t="s">
        <v>105</v>
      </c>
      <c r="C325" s="62" t="s">
        <v>77</v>
      </c>
      <c r="D325" s="49">
        <v>0.90398999999999996</v>
      </c>
      <c r="E325" s="609">
        <f t="shared" si="4"/>
        <v>0.90398999999999996</v>
      </c>
      <c r="F325" s="607"/>
      <c r="G325" s="607"/>
    </row>
    <row r="326" spans="1:7" s="14" customFormat="1" ht="34.5" hidden="1" customHeight="1" outlineLevel="2" x14ac:dyDescent="0.25">
      <c r="A326" s="57"/>
      <c r="B326" s="61" t="s">
        <v>83</v>
      </c>
      <c r="C326" s="62" t="s">
        <v>77</v>
      </c>
      <c r="D326" s="49">
        <v>1.5538599999999998</v>
      </c>
      <c r="E326" s="609">
        <f t="shared" si="4"/>
        <v>1.5538599999999998</v>
      </c>
      <c r="F326" s="607"/>
      <c r="G326" s="607"/>
    </row>
    <row r="327" spans="1:7" s="14" customFormat="1" ht="34.5" hidden="1" customHeight="1" outlineLevel="2" x14ac:dyDescent="0.25">
      <c r="A327" s="57"/>
      <c r="B327" s="61" t="s">
        <v>84</v>
      </c>
      <c r="C327" s="62" t="s">
        <v>77</v>
      </c>
      <c r="D327" s="49">
        <v>0.25</v>
      </c>
      <c r="E327" s="609">
        <f t="shared" si="4"/>
        <v>0.25</v>
      </c>
      <c r="F327" s="607"/>
      <c r="G327" s="607"/>
    </row>
    <row r="328" spans="1:7" s="14" customFormat="1" ht="34.5" hidden="1" customHeight="1" outlineLevel="2" x14ac:dyDescent="0.25">
      <c r="A328" s="57"/>
      <c r="B328" s="61" t="s">
        <v>85</v>
      </c>
      <c r="C328" s="62" t="s">
        <v>77</v>
      </c>
      <c r="D328" s="49">
        <v>0.80276000000000003</v>
      </c>
      <c r="E328" s="609">
        <f t="shared" si="4"/>
        <v>0.80276000000000003</v>
      </c>
      <c r="F328" s="607"/>
      <c r="G328" s="607"/>
    </row>
    <row r="329" spans="1:7" s="14" customFormat="1" ht="34.5" hidden="1" customHeight="1" outlineLevel="2" x14ac:dyDescent="0.25">
      <c r="A329" s="57"/>
      <c r="B329" s="61" t="s">
        <v>86</v>
      </c>
      <c r="C329" s="62" t="s">
        <v>77</v>
      </c>
      <c r="D329" s="49">
        <v>0.95211000000000001</v>
      </c>
      <c r="E329" s="609">
        <f t="shared" si="4"/>
        <v>0.95211000000000001</v>
      </c>
      <c r="F329" s="607"/>
      <c r="G329" s="607"/>
    </row>
    <row r="330" spans="1:7" s="14" customFormat="1" ht="34.5" hidden="1" customHeight="1" outlineLevel="2" x14ac:dyDescent="0.25">
      <c r="A330" s="57"/>
      <c r="B330" s="61" t="s">
        <v>87</v>
      </c>
      <c r="C330" s="62" t="s">
        <v>77</v>
      </c>
      <c r="D330" s="49">
        <v>2.1541600000000001</v>
      </c>
      <c r="E330" s="609">
        <f t="shared" si="4"/>
        <v>2.1541600000000001</v>
      </c>
      <c r="F330" s="607"/>
      <c r="G330" s="607"/>
    </row>
    <row r="331" spans="1:7" s="14" customFormat="1" ht="34.5" hidden="1" customHeight="1" outlineLevel="2" x14ac:dyDescent="0.25">
      <c r="A331" s="57"/>
      <c r="B331" s="61" t="s">
        <v>984</v>
      </c>
      <c r="C331" s="63" t="s">
        <v>10</v>
      </c>
      <c r="D331" s="49">
        <v>28.49</v>
      </c>
      <c r="E331" s="609">
        <f t="shared" si="4"/>
        <v>28.49</v>
      </c>
      <c r="F331" s="607"/>
      <c r="G331" s="607"/>
    </row>
    <row r="332" spans="1:7" s="14" customFormat="1" ht="34.5" hidden="1" customHeight="1" outlineLevel="2" x14ac:dyDescent="0.25">
      <c r="A332" s="57"/>
      <c r="B332" s="61" t="s">
        <v>102</v>
      </c>
      <c r="C332" s="63" t="s">
        <v>68</v>
      </c>
      <c r="D332" s="49">
        <v>108.04</v>
      </c>
      <c r="E332" s="609">
        <f t="shared" si="4"/>
        <v>108.04</v>
      </c>
      <c r="F332" s="607"/>
      <c r="G332" s="607"/>
    </row>
    <row r="333" spans="1:7" s="14" customFormat="1" ht="34.5" hidden="1" customHeight="1" outlineLevel="2" x14ac:dyDescent="0.25">
      <c r="A333" s="57"/>
      <c r="B333" s="64" t="s">
        <v>998</v>
      </c>
      <c r="C333" s="590" t="s">
        <v>79</v>
      </c>
      <c r="D333" s="49">
        <v>2</v>
      </c>
      <c r="E333" s="609">
        <f t="shared" si="4"/>
        <v>2</v>
      </c>
      <c r="F333" s="607"/>
      <c r="G333" s="607"/>
    </row>
    <row r="334" spans="1:7" s="14" customFormat="1" ht="34.5" hidden="1" customHeight="1" outlineLevel="2" x14ac:dyDescent="0.25">
      <c r="A334" s="57"/>
      <c r="B334" s="61" t="s">
        <v>83</v>
      </c>
      <c r="C334" s="62" t="s">
        <v>77</v>
      </c>
      <c r="D334" s="49">
        <v>8.5949999999999999E-2</v>
      </c>
      <c r="E334" s="609">
        <f t="shared" si="4"/>
        <v>8.5949999999999999E-2</v>
      </c>
      <c r="F334" s="607"/>
      <c r="G334" s="607"/>
    </row>
    <row r="335" spans="1:7" s="14" customFormat="1" ht="34.5" hidden="1" customHeight="1" outlineLevel="2" x14ac:dyDescent="0.25">
      <c r="A335" s="57"/>
      <c r="B335" s="61" t="s">
        <v>85</v>
      </c>
      <c r="C335" s="62" t="s">
        <v>77</v>
      </c>
      <c r="D335" s="49">
        <v>0.53630999999999995</v>
      </c>
      <c r="E335" s="609">
        <f t="shared" si="4"/>
        <v>0.53630999999999995</v>
      </c>
      <c r="F335" s="607"/>
      <c r="G335" s="607"/>
    </row>
    <row r="336" spans="1:7" s="14" customFormat="1" ht="34.5" hidden="1" customHeight="1" outlineLevel="2" x14ac:dyDescent="0.25">
      <c r="A336" s="57"/>
      <c r="B336" s="61" t="s">
        <v>87</v>
      </c>
      <c r="C336" s="62" t="s">
        <v>77</v>
      </c>
      <c r="D336" s="49">
        <v>0.18403</v>
      </c>
      <c r="E336" s="609">
        <f t="shared" ref="E336:E399" si="5">D336</f>
        <v>0.18403</v>
      </c>
      <c r="F336" s="607"/>
      <c r="G336" s="607"/>
    </row>
    <row r="337" spans="1:7" s="14" customFormat="1" ht="34.5" hidden="1" customHeight="1" outlineLevel="2" x14ac:dyDescent="0.25">
      <c r="A337" s="57"/>
      <c r="B337" s="61" t="s">
        <v>984</v>
      </c>
      <c r="C337" s="63" t="s">
        <v>10</v>
      </c>
      <c r="D337" s="49">
        <v>0.74</v>
      </c>
      <c r="E337" s="609">
        <f t="shared" si="5"/>
        <v>0.74</v>
      </c>
      <c r="F337" s="607"/>
      <c r="G337" s="607"/>
    </row>
    <row r="338" spans="1:7" s="14" customFormat="1" ht="34.5" hidden="1" customHeight="1" outlineLevel="2" x14ac:dyDescent="0.25">
      <c r="A338" s="57"/>
      <c r="B338" s="61" t="s">
        <v>102</v>
      </c>
      <c r="C338" s="62" t="s">
        <v>68</v>
      </c>
      <c r="D338" s="49">
        <v>3.28</v>
      </c>
      <c r="E338" s="609">
        <f t="shared" si="5"/>
        <v>3.28</v>
      </c>
      <c r="F338" s="607"/>
      <c r="G338" s="607"/>
    </row>
    <row r="339" spans="1:7" s="14" customFormat="1" ht="34.5" hidden="1" customHeight="1" outlineLevel="2" x14ac:dyDescent="0.25">
      <c r="A339" s="57"/>
      <c r="B339" s="64" t="s">
        <v>985</v>
      </c>
      <c r="C339" s="59" t="s">
        <v>134</v>
      </c>
      <c r="D339" s="49">
        <v>1</v>
      </c>
      <c r="E339" s="609">
        <f t="shared" si="5"/>
        <v>1</v>
      </c>
      <c r="F339" s="607"/>
      <c r="G339" s="607"/>
    </row>
    <row r="340" spans="1:7" s="14" customFormat="1" ht="34.5" hidden="1" customHeight="1" outlineLevel="2" x14ac:dyDescent="0.25">
      <c r="A340" s="57"/>
      <c r="B340" s="76" t="s">
        <v>986</v>
      </c>
      <c r="C340" s="62" t="s">
        <v>77</v>
      </c>
      <c r="D340" s="49">
        <v>0.766069</v>
      </c>
      <c r="E340" s="609">
        <f t="shared" si="5"/>
        <v>0.766069</v>
      </c>
      <c r="F340" s="607"/>
      <c r="G340" s="607"/>
    </row>
    <row r="341" spans="1:7" s="14" customFormat="1" ht="34.5" hidden="1" customHeight="1" outlineLevel="2" x14ac:dyDescent="0.25">
      <c r="A341" s="57"/>
      <c r="B341" s="76" t="s">
        <v>987</v>
      </c>
      <c r="C341" s="62" t="s">
        <v>124</v>
      </c>
      <c r="D341" s="49">
        <v>90.091999999999999</v>
      </c>
      <c r="E341" s="609">
        <f t="shared" si="5"/>
        <v>90.091999999999999</v>
      </c>
      <c r="F341" s="607"/>
      <c r="G341" s="607"/>
    </row>
    <row r="342" spans="1:7" s="14" customFormat="1" ht="34.5" hidden="1" customHeight="1" outlineLevel="2" x14ac:dyDescent="0.25">
      <c r="A342" s="57"/>
      <c r="B342" s="76" t="s">
        <v>988</v>
      </c>
      <c r="C342" s="62" t="s">
        <v>124</v>
      </c>
      <c r="D342" s="49">
        <v>0.8</v>
      </c>
      <c r="E342" s="609">
        <f t="shared" si="5"/>
        <v>0.8</v>
      </c>
      <c r="F342" s="607"/>
      <c r="G342" s="607"/>
    </row>
    <row r="343" spans="1:7" s="14" customFormat="1" ht="34.5" hidden="1" customHeight="1" outlineLevel="2" x14ac:dyDescent="0.25">
      <c r="A343" s="57"/>
      <c r="B343" s="61" t="s">
        <v>989</v>
      </c>
      <c r="C343" s="63" t="s">
        <v>78</v>
      </c>
      <c r="D343" s="49">
        <v>2</v>
      </c>
      <c r="E343" s="609">
        <f t="shared" si="5"/>
        <v>2</v>
      </c>
      <c r="F343" s="607"/>
      <c r="G343" s="607"/>
    </row>
    <row r="344" spans="1:7" s="14" customFormat="1" ht="34.5" hidden="1" customHeight="1" outlineLevel="2" x14ac:dyDescent="0.25">
      <c r="A344" s="57"/>
      <c r="B344" s="61" t="s">
        <v>990</v>
      </c>
      <c r="C344" s="63" t="s">
        <v>78</v>
      </c>
      <c r="D344" s="49">
        <v>2</v>
      </c>
      <c r="E344" s="609">
        <f t="shared" si="5"/>
        <v>2</v>
      </c>
      <c r="F344" s="607"/>
      <c r="G344" s="607"/>
    </row>
    <row r="345" spans="1:7" s="14" customFormat="1" ht="34.5" hidden="1" customHeight="1" outlineLevel="2" x14ac:dyDescent="0.25">
      <c r="A345" s="57"/>
      <c r="B345" s="76" t="s">
        <v>991</v>
      </c>
      <c r="C345" s="62" t="s">
        <v>10</v>
      </c>
      <c r="D345" s="49">
        <v>0.42199999999999999</v>
      </c>
      <c r="E345" s="609">
        <f t="shared" si="5"/>
        <v>0.42199999999999999</v>
      </c>
      <c r="F345" s="607"/>
      <c r="G345" s="607"/>
    </row>
    <row r="346" spans="1:7" s="14" customFormat="1" ht="34.5" hidden="1" customHeight="1" outlineLevel="1" collapsed="1" x14ac:dyDescent="0.25">
      <c r="A346" s="57">
        <v>16</v>
      </c>
      <c r="B346" s="58" t="s">
        <v>1021</v>
      </c>
      <c r="C346" s="57" t="s">
        <v>970</v>
      </c>
      <c r="D346" s="49">
        <v>1</v>
      </c>
      <c r="E346" s="609">
        <f t="shared" si="5"/>
        <v>1</v>
      </c>
      <c r="F346" s="607"/>
      <c r="G346" s="607"/>
    </row>
    <row r="347" spans="1:7" s="14" customFormat="1" ht="34.5" hidden="1" customHeight="1" outlineLevel="2" x14ac:dyDescent="0.25">
      <c r="A347" s="57"/>
      <c r="B347" s="64" t="s">
        <v>1022</v>
      </c>
      <c r="C347" s="60" t="s">
        <v>970</v>
      </c>
      <c r="D347" s="49">
        <v>1</v>
      </c>
      <c r="E347" s="609">
        <f t="shared" si="5"/>
        <v>1</v>
      </c>
      <c r="F347" s="607"/>
      <c r="G347" s="607"/>
    </row>
    <row r="348" spans="1:7" s="14" customFormat="1" ht="34.5" hidden="1" customHeight="1" outlineLevel="2" x14ac:dyDescent="0.25">
      <c r="A348" s="57"/>
      <c r="B348" s="61" t="s">
        <v>105</v>
      </c>
      <c r="C348" s="62" t="s">
        <v>77</v>
      </c>
      <c r="D348" s="49">
        <v>0.87967999999999991</v>
      </c>
      <c r="E348" s="609">
        <f t="shared" si="5"/>
        <v>0.87967999999999991</v>
      </c>
      <c r="F348" s="607"/>
      <c r="G348" s="607"/>
    </row>
    <row r="349" spans="1:7" s="14" customFormat="1" ht="34.5" hidden="1" customHeight="1" outlineLevel="2" x14ac:dyDescent="0.25">
      <c r="A349" s="57"/>
      <c r="B349" s="61" t="s">
        <v>83</v>
      </c>
      <c r="C349" s="62" t="s">
        <v>77</v>
      </c>
      <c r="D349" s="49">
        <v>1.54575</v>
      </c>
      <c r="E349" s="609">
        <f t="shared" si="5"/>
        <v>1.54575</v>
      </c>
      <c r="F349" s="607"/>
      <c r="G349" s="607"/>
    </row>
    <row r="350" spans="1:7" s="14" customFormat="1" ht="34.5" hidden="1" customHeight="1" outlineLevel="2" x14ac:dyDescent="0.25">
      <c r="A350" s="57"/>
      <c r="B350" s="61" t="s">
        <v>84</v>
      </c>
      <c r="C350" s="62" t="s">
        <v>77</v>
      </c>
      <c r="D350" s="49">
        <v>0.25</v>
      </c>
      <c r="E350" s="609">
        <f t="shared" si="5"/>
        <v>0.25</v>
      </c>
      <c r="F350" s="607"/>
      <c r="G350" s="607"/>
    </row>
    <row r="351" spans="1:7" s="14" customFormat="1" ht="34.5" hidden="1" customHeight="1" outlineLevel="2" x14ac:dyDescent="0.25">
      <c r="A351" s="57"/>
      <c r="B351" s="61" t="s">
        <v>85</v>
      </c>
      <c r="C351" s="62" t="s">
        <v>77</v>
      </c>
      <c r="D351" s="49">
        <v>0.80276000000000003</v>
      </c>
      <c r="E351" s="609">
        <f t="shared" si="5"/>
        <v>0.80276000000000003</v>
      </c>
      <c r="F351" s="607"/>
      <c r="G351" s="607"/>
    </row>
    <row r="352" spans="1:7" s="14" customFormat="1" ht="34.5" hidden="1" customHeight="1" outlineLevel="2" x14ac:dyDescent="0.25">
      <c r="A352" s="57"/>
      <c r="B352" s="61" t="s">
        <v>86</v>
      </c>
      <c r="C352" s="62" t="s">
        <v>77</v>
      </c>
      <c r="D352" s="49">
        <v>0.95211000000000001</v>
      </c>
      <c r="E352" s="609">
        <f t="shared" si="5"/>
        <v>0.95211000000000001</v>
      </c>
      <c r="F352" s="607"/>
      <c r="G352" s="607"/>
    </row>
    <row r="353" spans="1:7" s="14" customFormat="1" ht="34.5" hidden="1" customHeight="1" outlineLevel="2" x14ac:dyDescent="0.25">
      <c r="A353" s="57"/>
      <c r="B353" s="61" t="s">
        <v>87</v>
      </c>
      <c r="C353" s="62" t="s">
        <v>77</v>
      </c>
      <c r="D353" s="49">
        <v>2.0828500000000001</v>
      </c>
      <c r="E353" s="609">
        <f t="shared" si="5"/>
        <v>2.0828500000000001</v>
      </c>
      <c r="F353" s="607"/>
      <c r="G353" s="607"/>
    </row>
    <row r="354" spans="1:7" s="14" customFormat="1" ht="34.5" hidden="1" customHeight="1" outlineLevel="2" x14ac:dyDescent="0.25">
      <c r="A354" s="57"/>
      <c r="B354" s="61" t="s">
        <v>984</v>
      </c>
      <c r="C354" s="63" t="s">
        <v>10</v>
      </c>
      <c r="D354" s="49">
        <v>27.3</v>
      </c>
      <c r="E354" s="609">
        <f t="shared" si="5"/>
        <v>27.3</v>
      </c>
      <c r="F354" s="607"/>
      <c r="G354" s="607"/>
    </row>
    <row r="355" spans="1:7" s="14" customFormat="1" ht="34.5" hidden="1" customHeight="1" outlineLevel="2" x14ac:dyDescent="0.25">
      <c r="A355" s="57"/>
      <c r="B355" s="61" t="s">
        <v>102</v>
      </c>
      <c r="C355" s="63" t="s">
        <v>68</v>
      </c>
      <c r="D355" s="49">
        <v>105.37</v>
      </c>
      <c r="E355" s="609">
        <f t="shared" si="5"/>
        <v>105.37</v>
      </c>
      <c r="F355" s="607"/>
      <c r="G355" s="607"/>
    </row>
    <row r="356" spans="1:7" s="14" customFormat="1" ht="34.5" hidden="1" customHeight="1" outlineLevel="2" x14ac:dyDescent="0.25">
      <c r="A356" s="57"/>
      <c r="B356" s="64" t="s">
        <v>998</v>
      </c>
      <c r="C356" s="590" t="s">
        <v>79</v>
      </c>
      <c r="D356" s="49">
        <v>2</v>
      </c>
      <c r="E356" s="609">
        <f t="shared" si="5"/>
        <v>2</v>
      </c>
      <c r="F356" s="607"/>
      <c r="G356" s="607"/>
    </row>
    <row r="357" spans="1:7" s="14" customFormat="1" ht="34.5" hidden="1" customHeight="1" outlineLevel="2" x14ac:dyDescent="0.25">
      <c r="A357" s="57"/>
      <c r="B357" s="61" t="s">
        <v>83</v>
      </c>
      <c r="C357" s="62" t="s">
        <v>77</v>
      </c>
      <c r="D357" s="49">
        <v>9.6700000000000008E-2</v>
      </c>
      <c r="E357" s="609">
        <f t="shared" si="5"/>
        <v>9.6700000000000008E-2</v>
      </c>
      <c r="F357" s="607"/>
      <c r="G357" s="607"/>
    </row>
    <row r="358" spans="1:7" s="14" customFormat="1" ht="34.5" hidden="1" customHeight="1" outlineLevel="2" x14ac:dyDescent="0.25">
      <c r="A358" s="57"/>
      <c r="B358" s="61" t="s">
        <v>85</v>
      </c>
      <c r="C358" s="62" t="s">
        <v>77</v>
      </c>
      <c r="D358" s="49">
        <v>0.73474000000000006</v>
      </c>
      <c r="E358" s="609">
        <f t="shared" si="5"/>
        <v>0.73474000000000006</v>
      </c>
      <c r="F358" s="607"/>
      <c r="G358" s="607"/>
    </row>
    <row r="359" spans="1:7" s="14" customFormat="1" ht="34.5" hidden="1" customHeight="1" outlineLevel="2" x14ac:dyDescent="0.25">
      <c r="A359" s="57"/>
      <c r="B359" s="61" t="s">
        <v>87</v>
      </c>
      <c r="C359" s="62" t="s">
        <v>77</v>
      </c>
      <c r="D359" s="49">
        <v>0.23624000000000001</v>
      </c>
      <c r="E359" s="609">
        <f t="shared" si="5"/>
        <v>0.23624000000000001</v>
      </c>
      <c r="F359" s="607"/>
      <c r="G359" s="607"/>
    </row>
    <row r="360" spans="1:7" s="14" customFormat="1" ht="34.5" hidden="1" customHeight="1" outlineLevel="2" x14ac:dyDescent="0.25">
      <c r="A360" s="57"/>
      <c r="B360" s="61" t="s">
        <v>984</v>
      </c>
      <c r="C360" s="63" t="s">
        <v>10</v>
      </c>
      <c r="D360" s="49">
        <v>1.04</v>
      </c>
      <c r="E360" s="609">
        <f t="shared" si="5"/>
        <v>1.04</v>
      </c>
      <c r="F360" s="607"/>
      <c r="G360" s="607"/>
    </row>
    <row r="361" spans="1:7" s="14" customFormat="1" ht="34.5" hidden="1" customHeight="1" outlineLevel="2" x14ac:dyDescent="0.25">
      <c r="A361" s="57"/>
      <c r="B361" s="61" t="s">
        <v>102</v>
      </c>
      <c r="C361" s="62" t="s">
        <v>68</v>
      </c>
      <c r="D361" s="49">
        <v>2.36</v>
      </c>
      <c r="E361" s="609">
        <f t="shared" si="5"/>
        <v>2.36</v>
      </c>
      <c r="F361" s="607"/>
      <c r="G361" s="607"/>
    </row>
    <row r="362" spans="1:7" s="14" customFormat="1" ht="34.5" hidden="1" customHeight="1" outlineLevel="2" x14ac:dyDescent="0.25">
      <c r="A362" s="57"/>
      <c r="B362" s="64" t="s">
        <v>985</v>
      </c>
      <c r="C362" s="59" t="s">
        <v>134</v>
      </c>
      <c r="D362" s="49">
        <v>1</v>
      </c>
      <c r="E362" s="609">
        <f t="shared" si="5"/>
        <v>1</v>
      </c>
      <c r="F362" s="607"/>
      <c r="G362" s="607"/>
    </row>
    <row r="363" spans="1:7" s="14" customFormat="1" ht="34.5" hidden="1" customHeight="1" outlineLevel="2" x14ac:dyDescent="0.25">
      <c r="A363" s="57"/>
      <c r="B363" s="76" t="s">
        <v>986</v>
      </c>
      <c r="C363" s="62" t="s">
        <v>77</v>
      </c>
      <c r="D363" s="49">
        <v>0.85846900000000004</v>
      </c>
      <c r="E363" s="609">
        <f t="shared" si="5"/>
        <v>0.85846900000000004</v>
      </c>
      <c r="F363" s="607"/>
      <c r="G363" s="607"/>
    </row>
    <row r="364" spans="1:7" s="14" customFormat="1" ht="34.5" hidden="1" customHeight="1" outlineLevel="2" x14ac:dyDescent="0.25">
      <c r="A364" s="57"/>
      <c r="B364" s="76" t="s">
        <v>987</v>
      </c>
      <c r="C364" s="62" t="s">
        <v>124</v>
      </c>
      <c r="D364" s="49">
        <v>110.917</v>
      </c>
      <c r="E364" s="609">
        <f t="shared" si="5"/>
        <v>110.917</v>
      </c>
      <c r="F364" s="607"/>
      <c r="G364" s="607"/>
    </row>
    <row r="365" spans="1:7" s="14" customFormat="1" ht="34.5" hidden="1" customHeight="1" outlineLevel="2" x14ac:dyDescent="0.25">
      <c r="A365" s="57"/>
      <c r="B365" s="76" t="s">
        <v>988</v>
      </c>
      <c r="C365" s="62" t="s">
        <v>124</v>
      </c>
      <c r="D365" s="49">
        <v>9.6</v>
      </c>
      <c r="E365" s="609">
        <f t="shared" si="5"/>
        <v>9.6</v>
      </c>
      <c r="F365" s="607"/>
      <c r="G365" s="607"/>
    </row>
    <row r="366" spans="1:7" s="14" customFormat="1" ht="34.5" hidden="1" customHeight="1" outlineLevel="2" x14ac:dyDescent="0.25">
      <c r="A366" s="57"/>
      <c r="B366" s="61" t="s">
        <v>989</v>
      </c>
      <c r="C366" s="63" t="s">
        <v>78</v>
      </c>
      <c r="D366" s="49">
        <v>2</v>
      </c>
      <c r="E366" s="609">
        <f t="shared" si="5"/>
        <v>2</v>
      </c>
      <c r="F366" s="607"/>
      <c r="G366" s="607"/>
    </row>
    <row r="367" spans="1:7" s="14" customFormat="1" ht="34.5" hidden="1" customHeight="1" outlineLevel="2" x14ac:dyDescent="0.25">
      <c r="A367" s="57"/>
      <c r="B367" s="61" t="s">
        <v>990</v>
      </c>
      <c r="C367" s="63" t="s">
        <v>78</v>
      </c>
      <c r="D367" s="49">
        <v>2</v>
      </c>
      <c r="E367" s="609">
        <f t="shared" si="5"/>
        <v>2</v>
      </c>
      <c r="F367" s="607"/>
      <c r="G367" s="607"/>
    </row>
    <row r="368" spans="1:7" s="14" customFormat="1" ht="34.5" hidden="1" customHeight="1" outlineLevel="2" x14ac:dyDescent="0.25">
      <c r="A368" s="57"/>
      <c r="B368" s="76" t="s">
        <v>991</v>
      </c>
      <c r="C368" s="62" t="s">
        <v>10</v>
      </c>
      <c r="D368" s="49">
        <v>0.51900000000000002</v>
      </c>
      <c r="E368" s="609">
        <f t="shared" si="5"/>
        <v>0.51900000000000002</v>
      </c>
      <c r="F368" s="607"/>
      <c r="G368" s="607"/>
    </row>
    <row r="369" spans="1:7" s="14" customFormat="1" ht="34.5" hidden="1" customHeight="1" outlineLevel="1" collapsed="1" x14ac:dyDescent="0.25">
      <c r="A369" s="57">
        <v>17</v>
      </c>
      <c r="B369" s="58" t="s">
        <v>1023</v>
      </c>
      <c r="C369" s="57" t="s">
        <v>970</v>
      </c>
      <c r="D369" s="49">
        <v>1</v>
      </c>
      <c r="E369" s="609">
        <f t="shared" si="5"/>
        <v>1</v>
      </c>
      <c r="F369" s="607"/>
      <c r="G369" s="607"/>
    </row>
    <row r="370" spans="1:7" s="14" customFormat="1" ht="34.5" hidden="1" customHeight="1" outlineLevel="2" x14ac:dyDescent="0.25">
      <c r="A370" s="57"/>
      <c r="B370" s="64" t="s">
        <v>1024</v>
      </c>
      <c r="C370" s="60" t="s">
        <v>970</v>
      </c>
      <c r="D370" s="49">
        <v>1</v>
      </c>
      <c r="E370" s="609">
        <f t="shared" si="5"/>
        <v>1</v>
      </c>
      <c r="F370" s="607"/>
      <c r="G370" s="607"/>
    </row>
    <row r="371" spans="1:7" s="14" customFormat="1" ht="34.5" hidden="1" customHeight="1" outlineLevel="2" x14ac:dyDescent="0.25">
      <c r="A371" s="57"/>
      <c r="B371" s="61" t="s">
        <v>105</v>
      </c>
      <c r="C371" s="62" t="s">
        <v>77</v>
      </c>
      <c r="D371" s="49">
        <v>0.87967999999999991</v>
      </c>
      <c r="E371" s="609">
        <f t="shared" si="5"/>
        <v>0.87967999999999991</v>
      </c>
      <c r="F371" s="607"/>
      <c r="G371" s="607"/>
    </row>
    <row r="372" spans="1:7" s="14" customFormat="1" ht="34.5" hidden="1" customHeight="1" outlineLevel="2" x14ac:dyDescent="0.25">
      <c r="A372" s="57"/>
      <c r="B372" s="61" t="s">
        <v>83</v>
      </c>
      <c r="C372" s="62" t="s">
        <v>77</v>
      </c>
      <c r="D372" s="49">
        <v>1.54575</v>
      </c>
      <c r="E372" s="609">
        <f t="shared" si="5"/>
        <v>1.54575</v>
      </c>
      <c r="F372" s="607"/>
      <c r="G372" s="607"/>
    </row>
    <row r="373" spans="1:7" s="14" customFormat="1" ht="34.5" hidden="1" customHeight="1" outlineLevel="2" x14ac:dyDescent="0.25">
      <c r="A373" s="57"/>
      <c r="B373" s="61" t="s">
        <v>84</v>
      </c>
      <c r="C373" s="62" t="s">
        <v>77</v>
      </c>
      <c r="D373" s="49">
        <v>0.25</v>
      </c>
      <c r="E373" s="609">
        <f t="shared" si="5"/>
        <v>0.25</v>
      </c>
      <c r="F373" s="607"/>
      <c r="G373" s="607"/>
    </row>
    <row r="374" spans="1:7" s="14" customFormat="1" ht="34.5" hidden="1" customHeight="1" outlineLevel="2" x14ac:dyDescent="0.25">
      <c r="A374" s="57"/>
      <c r="B374" s="61" t="s">
        <v>85</v>
      </c>
      <c r="C374" s="62" t="s">
        <v>77</v>
      </c>
      <c r="D374" s="49">
        <v>0.80276000000000003</v>
      </c>
      <c r="E374" s="609">
        <f t="shared" si="5"/>
        <v>0.80276000000000003</v>
      </c>
      <c r="F374" s="607"/>
      <c r="G374" s="607"/>
    </row>
    <row r="375" spans="1:7" s="14" customFormat="1" ht="34.5" hidden="1" customHeight="1" outlineLevel="2" x14ac:dyDescent="0.25">
      <c r="A375" s="57"/>
      <c r="B375" s="61" t="s">
        <v>86</v>
      </c>
      <c r="C375" s="62" t="s">
        <v>77</v>
      </c>
      <c r="D375" s="49">
        <v>0.95211000000000001</v>
      </c>
      <c r="E375" s="609">
        <f t="shared" si="5"/>
        <v>0.95211000000000001</v>
      </c>
      <c r="F375" s="607"/>
      <c r="G375" s="607"/>
    </row>
    <row r="376" spans="1:7" s="14" customFormat="1" ht="34.5" hidden="1" customHeight="1" outlineLevel="2" x14ac:dyDescent="0.25">
      <c r="A376" s="57"/>
      <c r="B376" s="61" t="s">
        <v>87</v>
      </c>
      <c r="C376" s="62" t="s">
        <v>77</v>
      </c>
      <c r="D376" s="49">
        <v>2.0828500000000001</v>
      </c>
      <c r="E376" s="609">
        <f t="shared" si="5"/>
        <v>2.0828500000000001</v>
      </c>
      <c r="F376" s="607"/>
      <c r="G376" s="607"/>
    </row>
    <row r="377" spans="1:7" s="14" customFormat="1" ht="34.5" hidden="1" customHeight="1" outlineLevel="2" x14ac:dyDescent="0.25">
      <c r="A377" s="57"/>
      <c r="B377" s="61" t="s">
        <v>984</v>
      </c>
      <c r="C377" s="63" t="s">
        <v>10</v>
      </c>
      <c r="D377" s="49">
        <v>27.3</v>
      </c>
      <c r="E377" s="609">
        <f t="shared" si="5"/>
        <v>27.3</v>
      </c>
      <c r="F377" s="607"/>
      <c r="G377" s="607"/>
    </row>
    <row r="378" spans="1:7" s="14" customFormat="1" ht="34.5" hidden="1" customHeight="1" outlineLevel="2" x14ac:dyDescent="0.25">
      <c r="A378" s="57"/>
      <c r="B378" s="61" t="s">
        <v>102</v>
      </c>
      <c r="C378" s="63" t="s">
        <v>68</v>
      </c>
      <c r="D378" s="49">
        <v>105.37</v>
      </c>
      <c r="E378" s="609">
        <f t="shared" si="5"/>
        <v>105.37</v>
      </c>
      <c r="F378" s="607"/>
      <c r="G378" s="607"/>
    </row>
    <row r="379" spans="1:7" s="14" customFormat="1" ht="34.5" hidden="1" customHeight="1" outlineLevel="2" x14ac:dyDescent="0.25">
      <c r="A379" s="57"/>
      <c r="B379" s="64" t="s">
        <v>998</v>
      </c>
      <c r="C379" s="590" t="s">
        <v>79</v>
      </c>
      <c r="D379" s="49">
        <v>2</v>
      </c>
      <c r="E379" s="609">
        <f t="shared" si="5"/>
        <v>2</v>
      </c>
      <c r="F379" s="607"/>
      <c r="G379" s="607"/>
    </row>
    <row r="380" spans="1:7" s="14" customFormat="1" ht="34.5" hidden="1" customHeight="1" outlineLevel="2" x14ac:dyDescent="0.25">
      <c r="A380" s="57"/>
      <c r="B380" s="61" t="s">
        <v>83</v>
      </c>
      <c r="C380" s="62" t="s">
        <v>77</v>
      </c>
      <c r="D380" s="49">
        <v>8.5949999999999999E-2</v>
      </c>
      <c r="E380" s="609">
        <f t="shared" si="5"/>
        <v>8.5949999999999999E-2</v>
      </c>
      <c r="F380" s="607"/>
      <c r="G380" s="607"/>
    </row>
    <row r="381" spans="1:7" s="14" customFormat="1" ht="34.5" hidden="1" customHeight="1" outlineLevel="2" x14ac:dyDescent="0.25">
      <c r="A381" s="57"/>
      <c r="B381" s="61" t="s">
        <v>85</v>
      </c>
      <c r="C381" s="62" t="s">
        <v>77</v>
      </c>
      <c r="D381" s="49">
        <v>0.56958000000000009</v>
      </c>
      <c r="E381" s="609">
        <f t="shared" si="5"/>
        <v>0.56958000000000009</v>
      </c>
      <c r="F381" s="607"/>
      <c r="G381" s="607"/>
    </row>
    <row r="382" spans="1:7" s="14" customFormat="1" ht="34.5" hidden="1" customHeight="1" outlineLevel="2" x14ac:dyDescent="0.25">
      <c r="A382" s="57"/>
      <c r="B382" s="61" t="s">
        <v>87</v>
      </c>
      <c r="C382" s="62" t="s">
        <v>77</v>
      </c>
      <c r="D382" s="49">
        <v>0.19958000000000001</v>
      </c>
      <c r="E382" s="609">
        <f t="shared" si="5"/>
        <v>0.19958000000000001</v>
      </c>
      <c r="F382" s="607"/>
      <c r="G382" s="607"/>
    </row>
    <row r="383" spans="1:7" s="14" customFormat="1" ht="34.5" hidden="1" customHeight="1" outlineLevel="2" x14ac:dyDescent="0.25">
      <c r="A383" s="57"/>
      <c r="B383" s="61" t="s">
        <v>984</v>
      </c>
      <c r="C383" s="63" t="s">
        <v>10</v>
      </c>
      <c r="D383" s="49">
        <v>0.86</v>
      </c>
      <c r="E383" s="609">
        <f t="shared" si="5"/>
        <v>0.86</v>
      </c>
      <c r="F383" s="607"/>
      <c r="G383" s="607"/>
    </row>
    <row r="384" spans="1:7" s="14" customFormat="1" ht="34.5" hidden="1" customHeight="1" outlineLevel="2" x14ac:dyDescent="0.25">
      <c r="A384" s="57"/>
      <c r="B384" s="61" t="s">
        <v>102</v>
      </c>
      <c r="C384" s="62" t="s">
        <v>68</v>
      </c>
      <c r="D384" s="49">
        <v>3.57</v>
      </c>
      <c r="E384" s="609">
        <f t="shared" si="5"/>
        <v>3.57</v>
      </c>
      <c r="F384" s="607"/>
      <c r="G384" s="607"/>
    </row>
    <row r="385" spans="1:7" s="14" customFormat="1" ht="34.5" hidden="1" customHeight="1" outlineLevel="2" x14ac:dyDescent="0.25">
      <c r="A385" s="57"/>
      <c r="B385" s="64" t="s">
        <v>985</v>
      </c>
      <c r="C385" s="59" t="s">
        <v>134</v>
      </c>
      <c r="D385" s="49">
        <v>1</v>
      </c>
      <c r="E385" s="609">
        <f t="shared" si="5"/>
        <v>1</v>
      </c>
      <c r="F385" s="607"/>
      <c r="G385" s="607"/>
    </row>
    <row r="386" spans="1:7" s="14" customFormat="1" ht="34.5" hidden="1" customHeight="1" outlineLevel="2" x14ac:dyDescent="0.25">
      <c r="A386" s="57"/>
      <c r="B386" s="76" t="s">
        <v>986</v>
      </c>
      <c r="C386" s="62" t="s">
        <v>77</v>
      </c>
      <c r="D386" s="49">
        <v>0.85846900000000004</v>
      </c>
      <c r="E386" s="609">
        <f t="shared" si="5"/>
        <v>0.85846900000000004</v>
      </c>
      <c r="F386" s="607"/>
      <c r="G386" s="607"/>
    </row>
    <row r="387" spans="1:7" s="14" customFormat="1" ht="34.5" hidden="1" customHeight="1" outlineLevel="2" x14ac:dyDescent="0.25">
      <c r="A387" s="57"/>
      <c r="B387" s="76" t="s">
        <v>987</v>
      </c>
      <c r="C387" s="62" t="s">
        <v>124</v>
      </c>
      <c r="D387" s="49">
        <v>90.233000000000004</v>
      </c>
      <c r="E387" s="609">
        <f t="shared" si="5"/>
        <v>90.233000000000004</v>
      </c>
      <c r="F387" s="607"/>
      <c r="G387" s="607"/>
    </row>
    <row r="388" spans="1:7" s="14" customFormat="1" ht="34.5" hidden="1" customHeight="1" outlineLevel="2" x14ac:dyDescent="0.25">
      <c r="A388" s="57"/>
      <c r="B388" s="76" t="s">
        <v>988</v>
      </c>
      <c r="C388" s="62" t="s">
        <v>124</v>
      </c>
      <c r="D388" s="49">
        <v>8</v>
      </c>
      <c r="E388" s="609">
        <f t="shared" si="5"/>
        <v>8</v>
      </c>
      <c r="F388" s="607"/>
      <c r="G388" s="607"/>
    </row>
    <row r="389" spans="1:7" s="14" customFormat="1" ht="34.5" hidden="1" customHeight="1" outlineLevel="2" x14ac:dyDescent="0.25">
      <c r="A389" s="57"/>
      <c r="B389" s="61" t="s">
        <v>989</v>
      </c>
      <c r="C389" s="63" t="s">
        <v>78</v>
      </c>
      <c r="D389" s="49">
        <v>2</v>
      </c>
      <c r="E389" s="609">
        <f t="shared" si="5"/>
        <v>2</v>
      </c>
      <c r="F389" s="607"/>
      <c r="G389" s="607"/>
    </row>
    <row r="390" spans="1:7" s="14" customFormat="1" ht="34.5" hidden="1" customHeight="1" outlineLevel="2" x14ac:dyDescent="0.25">
      <c r="A390" s="57"/>
      <c r="B390" s="61" t="s">
        <v>990</v>
      </c>
      <c r="C390" s="63" t="s">
        <v>78</v>
      </c>
      <c r="D390" s="49">
        <v>2</v>
      </c>
      <c r="E390" s="609">
        <f t="shared" si="5"/>
        <v>2</v>
      </c>
      <c r="F390" s="607"/>
      <c r="G390" s="607"/>
    </row>
    <row r="391" spans="1:7" s="14" customFormat="1" ht="34.5" hidden="1" customHeight="1" outlineLevel="2" x14ac:dyDescent="0.25">
      <c r="A391" s="57"/>
      <c r="B391" s="76" t="s">
        <v>991</v>
      </c>
      <c r="C391" s="62" t="s">
        <v>10</v>
      </c>
      <c r="D391" s="49">
        <v>0.42199999999999999</v>
      </c>
      <c r="E391" s="609">
        <f t="shared" si="5"/>
        <v>0.42199999999999999</v>
      </c>
      <c r="F391" s="607"/>
      <c r="G391" s="607"/>
    </row>
    <row r="392" spans="1:7" s="14" customFormat="1" ht="34.5" hidden="1" customHeight="1" outlineLevel="1" collapsed="1" x14ac:dyDescent="0.25">
      <c r="A392" s="57">
        <v>18</v>
      </c>
      <c r="B392" s="58" t="s">
        <v>1025</v>
      </c>
      <c r="C392" s="57" t="s">
        <v>970</v>
      </c>
      <c r="D392" s="49">
        <v>1</v>
      </c>
      <c r="E392" s="609">
        <f t="shared" si="5"/>
        <v>1</v>
      </c>
      <c r="F392" s="607"/>
      <c r="G392" s="607"/>
    </row>
    <row r="393" spans="1:7" s="14" customFormat="1" ht="34.5" hidden="1" customHeight="1" outlineLevel="2" x14ac:dyDescent="0.25">
      <c r="A393" s="57"/>
      <c r="B393" s="64" t="s">
        <v>1026</v>
      </c>
      <c r="C393" s="60" t="s">
        <v>970</v>
      </c>
      <c r="D393" s="49">
        <v>1</v>
      </c>
      <c r="E393" s="609">
        <f t="shared" si="5"/>
        <v>1</v>
      </c>
      <c r="F393" s="607"/>
      <c r="G393" s="607"/>
    </row>
    <row r="394" spans="1:7" s="14" customFormat="1" ht="34.5" hidden="1" customHeight="1" outlineLevel="2" x14ac:dyDescent="0.25">
      <c r="A394" s="57"/>
      <c r="B394" s="61" t="s">
        <v>105</v>
      </c>
      <c r="C394" s="62" t="s">
        <v>77</v>
      </c>
      <c r="D394" s="49">
        <v>0.84066999999999992</v>
      </c>
      <c r="E394" s="609">
        <f t="shared" si="5"/>
        <v>0.84066999999999992</v>
      </c>
      <c r="F394" s="607"/>
      <c r="G394" s="607"/>
    </row>
    <row r="395" spans="1:7" s="14" customFormat="1" ht="34.5" hidden="1" customHeight="1" outlineLevel="2" x14ac:dyDescent="0.25">
      <c r="A395" s="57"/>
      <c r="B395" s="61" t="s">
        <v>83</v>
      </c>
      <c r="C395" s="62" t="s">
        <v>77</v>
      </c>
      <c r="D395" s="49">
        <v>1.5369000000000002</v>
      </c>
      <c r="E395" s="609">
        <f t="shared" si="5"/>
        <v>1.5369000000000002</v>
      </c>
      <c r="F395" s="607"/>
      <c r="G395" s="607"/>
    </row>
    <row r="396" spans="1:7" s="14" customFormat="1" ht="34.5" hidden="1" customHeight="1" outlineLevel="2" x14ac:dyDescent="0.25">
      <c r="A396" s="57"/>
      <c r="B396" s="61" t="s">
        <v>84</v>
      </c>
      <c r="C396" s="62" t="s">
        <v>77</v>
      </c>
      <c r="D396" s="49">
        <v>0.25</v>
      </c>
      <c r="E396" s="609">
        <f t="shared" si="5"/>
        <v>0.25</v>
      </c>
      <c r="F396" s="607"/>
      <c r="G396" s="607"/>
    </row>
    <row r="397" spans="1:7" s="14" customFormat="1" ht="34.5" hidden="1" customHeight="1" outlineLevel="2" x14ac:dyDescent="0.25">
      <c r="A397" s="57"/>
      <c r="B397" s="61" t="s">
        <v>85</v>
      </c>
      <c r="C397" s="62" t="s">
        <v>77</v>
      </c>
      <c r="D397" s="49">
        <v>0.80276000000000003</v>
      </c>
      <c r="E397" s="609">
        <f t="shared" si="5"/>
        <v>0.80276000000000003</v>
      </c>
      <c r="F397" s="607"/>
      <c r="G397" s="607"/>
    </row>
    <row r="398" spans="1:7" s="14" customFormat="1" ht="34.5" hidden="1" customHeight="1" outlineLevel="2" x14ac:dyDescent="0.25">
      <c r="A398" s="57"/>
      <c r="B398" s="61" t="s">
        <v>86</v>
      </c>
      <c r="C398" s="62" t="s">
        <v>77</v>
      </c>
      <c r="D398" s="49">
        <v>0.95211000000000001</v>
      </c>
      <c r="E398" s="609">
        <f t="shared" si="5"/>
        <v>0.95211000000000001</v>
      </c>
      <c r="F398" s="607"/>
      <c r="G398" s="607"/>
    </row>
    <row r="399" spans="1:7" s="14" customFormat="1" ht="34.5" hidden="1" customHeight="1" outlineLevel="2" x14ac:dyDescent="0.25">
      <c r="A399" s="57"/>
      <c r="B399" s="61" t="s">
        <v>87</v>
      </c>
      <c r="C399" s="62" t="s">
        <v>77</v>
      </c>
      <c r="D399" s="49">
        <v>2.0309599999999999</v>
      </c>
      <c r="E399" s="609">
        <f t="shared" si="5"/>
        <v>2.0309599999999999</v>
      </c>
      <c r="F399" s="607"/>
      <c r="G399" s="607"/>
    </row>
    <row r="400" spans="1:7" s="14" customFormat="1" ht="34.5" hidden="1" customHeight="1" outlineLevel="2" x14ac:dyDescent="0.25">
      <c r="A400" s="57"/>
      <c r="B400" s="61" t="s">
        <v>984</v>
      </c>
      <c r="C400" s="63" t="s">
        <v>10</v>
      </c>
      <c r="D400" s="49">
        <v>26.29</v>
      </c>
      <c r="E400" s="609">
        <f t="shared" ref="E400:E463" si="6">D400</f>
        <v>26.29</v>
      </c>
      <c r="F400" s="607"/>
      <c r="G400" s="607"/>
    </row>
    <row r="401" spans="1:7" s="14" customFormat="1" ht="34.5" hidden="1" customHeight="1" outlineLevel="2" x14ac:dyDescent="0.25">
      <c r="A401" s="57"/>
      <c r="B401" s="61" t="s">
        <v>102</v>
      </c>
      <c r="C401" s="63" t="s">
        <v>68</v>
      </c>
      <c r="D401" s="49">
        <v>103.39</v>
      </c>
      <c r="E401" s="609">
        <f t="shared" si="6"/>
        <v>103.39</v>
      </c>
      <c r="F401" s="607"/>
      <c r="G401" s="607"/>
    </row>
    <row r="402" spans="1:7" s="14" customFormat="1" ht="34.5" hidden="1" customHeight="1" outlineLevel="2" x14ac:dyDescent="0.25">
      <c r="A402" s="57"/>
      <c r="B402" s="64" t="s">
        <v>998</v>
      </c>
      <c r="C402" s="590" t="s">
        <v>79</v>
      </c>
      <c r="D402" s="49">
        <v>2</v>
      </c>
      <c r="E402" s="609">
        <f t="shared" si="6"/>
        <v>2</v>
      </c>
      <c r="F402" s="607"/>
      <c r="G402" s="607"/>
    </row>
    <row r="403" spans="1:7" s="14" customFormat="1" ht="34.5" hidden="1" customHeight="1" outlineLevel="2" x14ac:dyDescent="0.25">
      <c r="A403" s="57"/>
      <c r="B403" s="61" t="s">
        <v>83</v>
      </c>
      <c r="C403" s="62" t="s">
        <v>77</v>
      </c>
      <c r="D403" s="49">
        <v>9.6700000000000008E-2</v>
      </c>
      <c r="E403" s="609">
        <f t="shared" si="6"/>
        <v>9.6700000000000008E-2</v>
      </c>
      <c r="F403" s="607"/>
      <c r="G403" s="607"/>
    </row>
    <row r="404" spans="1:7" s="14" customFormat="1" ht="34.5" hidden="1" customHeight="1" outlineLevel="2" x14ac:dyDescent="0.25">
      <c r="A404" s="57"/>
      <c r="B404" s="61" t="s">
        <v>85</v>
      </c>
      <c r="C404" s="62" t="s">
        <v>77</v>
      </c>
      <c r="D404" s="49">
        <v>0.72462000000000004</v>
      </c>
      <c r="E404" s="609">
        <f t="shared" si="6"/>
        <v>0.72462000000000004</v>
      </c>
      <c r="F404" s="607"/>
      <c r="G404" s="607"/>
    </row>
    <row r="405" spans="1:7" s="14" customFormat="1" ht="34.5" hidden="1" customHeight="1" outlineLevel="2" x14ac:dyDescent="0.25">
      <c r="A405" s="57"/>
      <c r="B405" s="61" t="s">
        <v>87</v>
      </c>
      <c r="C405" s="62" t="s">
        <v>77</v>
      </c>
      <c r="D405" s="49">
        <v>0.22853999999999999</v>
      </c>
      <c r="E405" s="609">
        <f t="shared" si="6"/>
        <v>0.22853999999999999</v>
      </c>
      <c r="F405" s="607"/>
      <c r="G405" s="607"/>
    </row>
    <row r="406" spans="1:7" s="14" customFormat="1" ht="34.5" hidden="1" customHeight="1" outlineLevel="2" x14ac:dyDescent="0.25">
      <c r="A406" s="57"/>
      <c r="B406" s="61" t="s">
        <v>984</v>
      </c>
      <c r="C406" s="63" t="s">
        <v>10</v>
      </c>
      <c r="D406" s="49">
        <v>1.04</v>
      </c>
      <c r="E406" s="609">
        <f t="shared" si="6"/>
        <v>1.04</v>
      </c>
      <c r="F406" s="607"/>
      <c r="G406" s="607"/>
    </row>
    <row r="407" spans="1:7" s="14" customFormat="1" ht="34.5" hidden="1" customHeight="1" outlineLevel="2" x14ac:dyDescent="0.25">
      <c r="A407" s="57"/>
      <c r="B407" s="61" t="s">
        <v>1027</v>
      </c>
      <c r="C407" s="62" t="s">
        <v>68</v>
      </c>
      <c r="D407" s="49">
        <v>2.36</v>
      </c>
      <c r="E407" s="609">
        <f t="shared" si="6"/>
        <v>2.36</v>
      </c>
      <c r="F407" s="607"/>
      <c r="G407" s="607"/>
    </row>
    <row r="408" spans="1:7" s="14" customFormat="1" ht="34.5" hidden="1" customHeight="1" outlineLevel="2" x14ac:dyDescent="0.25">
      <c r="A408" s="57"/>
      <c r="B408" s="64" t="s">
        <v>985</v>
      </c>
      <c r="C408" s="59" t="s">
        <v>134</v>
      </c>
      <c r="D408" s="49">
        <v>1</v>
      </c>
      <c r="E408" s="609">
        <f t="shared" si="6"/>
        <v>1</v>
      </c>
      <c r="F408" s="607"/>
      <c r="G408" s="607"/>
    </row>
    <row r="409" spans="1:7" s="14" customFormat="1" ht="34.5" hidden="1" customHeight="1" outlineLevel="2" x14ac:dyDescent="0.25">
      <c r="A409" s="57"/>
      <c r="B409" s="76" t="s">
        <v>986</v>
      </c>
      <c r="C409" s="62" t="s">
        <v>77</v>
      </c>
      <c r="D409" s="49">
        <v>0.95147700000000002</v>
      </c>
      <c r="E409" s="609">
        <f t="shared" si="6"/>
        <v>0.95147700000000002</v>
      </c>
      <c r="F409" s="607"/>
      <c r="G409" s="607"/>
    </row>
    <row r="410" spans="1:7" s="14" customFormat="1" ht="34.5" hidden="1" customHeight="1" outlineLevel="2" x14ac:dyDescent="0.25">
      <c r="A410" s="57"/>
      <c r="B410" s="76" t="s">
        <v>987</v>
      </c>
      <c r="C410" s="62" t="s">
        <v>124</v>
      </c>
      <c r="D410" s="49">
        <v>110.964</v>
      </c>
      <c r="E410" s="609">
        <f t="shared" si="6"/>
        <v>110.964</v>
      </c>
      <c r="F410" s="607"/>
      <c r="G410" s="607"/>
    </row>
    <row r="411" spans="1:7" s="14" customFormat="1" ht="34.5" hidden="1" customHeight="1" outlineLevel="2" x14ac:dyDescent="0.25">
      <c r="A411" s="57"/>
      <c r="B411" s="76" t="s">
        <v>988</v>
      </c>
      <c r="C411" s="62" t="s">
        <v>124</v>
      </c>
      <c r="D411" s="49">
        <v>0</v>
      </c>
      <c r="E411" s="609">
        <f t="shared" si="6"/>
        <v>0</v>
      </c>
      <c r="F411" s="607"/>
      <c r="G411" s="607"/>
    </row>
    <row r="412" spans="1:7" s="14" customFormat="1" ht="34.5" hidden="1" customHeight="1" outlineLevel="2" x14ac:dyDescent="0.25">
      <c r="A412" s="57"/>
      <c r="B412" s="61" t="s">
        <v>989</v>
      </c>
      <c r="C412" s="63" t="s">
        <v>78</v>
      </c>
      <c r="D412" s="49">
        <v>2</v>
      </c>
      <c r="E412" s="609">
        <f t="shared" si="6"/>
        <v>2</v>
      </c>
      <c r="F412" s="607"/>
      <c r="G412" s="607"/>
    </row>
    <row r="413" spans="1:7" s="14" customFormat="1" ht="34.5" hidden="1" customHeight="1" outlineLevel="2" x14ac:dyDescent="0.25">
      <c r="A413" s="57"/>
      <c r="B413" s="61" t="s">
        <v>990</v>
      </c>
      <c r="C413" s="63" t="s">
        <v>78</v>
      </c>
      <c r="D413" s="49">
        <v>2</v>
      </c>
      <c r="E413" s="609">
        <f t="shared" si="6"/>
        <v>2</v>
      </c>
      <c r="F413" s="607"/>
      <c r="G413" s="607"/>
    </row>
    <row r="414" spans="1:7" s="14" customFormat="1" ht="34.5" hidden="1" customHeight="1" outlineLevel="2" x14ac:dyDescent="0.25">
      <c r="A414" s="57"/>
      <c r="B414" s="76" t="s">
        <v>991</v>
      </c>
      <c r="C414" s="62" t="s">
        <v>10</v>
      </c>
      <c r="D414" s="49">
        <v>0.52</v>
      </c>
      <c r="E414" s="609">
        <f t="shared" si="6"/>
        <v>0.52</v>
      </c>
      <c r="F414" s="607"/>
      <c r="G414" s="607"/>
    </row>
    <row r="415" spans="1:7" s="14" customFormat="1" ht="34.5" hidden="1" customHeight="1" outlineLevel="1" collapsed="1" x14ac:dyDescent="0.25">
      <c r="A415" s="57">
        <v>19</v>
      </c>
      <c r="B415" s="58" t="s">
        <v>1028</v>
      </c>
      <c r="C415" s="57" t="s">
        <v>970</v>
      </c>
      <c r="D415" s="49">
        <v>1</v>
      </c>
      <c r="E415" s="609">
        <f t="shared" si="6"/>
        <v>1</v>
      </c>
      <c r="F415" s="607"/>
      <c r="G415" s="607"/>
    </row>
    <row r="416" spans="1:7" s="14" customFormat="1" ht="34.5" hidden="1" customHeight="1" outlineLevel="2" x14ac:dyDescent="0.25">
      <c r="A416" s="57"/>
      <c r="B416" s="64" t="s">
        <v>1029</v>
      </c>
      <c r="C416" s="60" t="s">
        <v>970</v>
      </c>
      <c r="D416" s="49">
        <v>1</v>
      </c>
      <c r="E416" s="609">
        <f t="shared" si="6"/>
        <v>1</v>
      </c>
      <c r="F416" s="607"/>
      <c r="G416" s="607"/>
    </row>
    <row r="417" spans="1:7" s="14" customFormat="1" ht="34.5" hidden="1" customHeight="1" outlineLevel="2" x14ac:dyDescent="0.25">
      <c r="A417" s="57"/>
      <c r="B417" s="61" t="s">
        <v>105</v>
      </c>
      <c r="C417" s="62" t="s">
        <v>77</v>
      </c>
      <c r="D417" s="49">
        <v>0.84066999999999992</v>
      </c>
      <c r="E417" s="609">
        <f t="shared" si="6"/>
        <v>0.84066999999999992</v>
      </c>
      <c r="F417" s="607"/>
      <c r="G417" s="607"/>
    </row>
    <row r="418" spans="1:7" s="14" customFormat="1" ht="34.5" hidden="1" customHeight="1" outlineLevel="2" x14ac:dyDescent="0.25">
      <c r="A418" s="57"/>
      <c r="B418" s="61" t="s">
        <v>83</v>
      </c>
      <c r="C418" s="62" t="s">
        <v>77</v>
      </c>
      <c r="D418" s="49">
        <v>1.5369000000000002</v>
      </c>
      <c r="E418" s="609">
        <f t="shared" si="6"/>
        <v>1.5369000000000002</v>
      </c>
      <c r="F418" s="607"/>
      <c r="G418" s="607"/>
    </row>
    <row r="419" spans="1:7" s="14" customFormat="1" ht="34.5" hidden="1" customHeight="1" outlineLevel="2" x14ac:dyDescent="0.25">
      <c r="A419" s="57"/>
      <c r="B419" s="61" t="s">
        <v>84</v>
      </c>
      <c r="C419" s="62" t="s">
        <v>77</v>
      </c>
      <c r="D419" s="49">
        <v>0.25</v>
      </c>
      <c r="E419" s="609">
        <f t="shared" si="6"/>
        <v>0.25</v>
      </c>
      <c r="F419" s="607"/>
      <c r="G419" s="607"/>
    </row>
    <row r="420" spans="1:7" s="14" customFormat="1" ht="34.5" hidden="1" customHeight="1" outlineLevel="2" x14ac:dyDescent="0.25">
      <c r="A420" s="57"/>
      <c r="B420" s="61" t="s">
        <v>85</v>
      </c>
      <c r="C420" s="62" t="s">
        <v>77</v>
      </c>
      <c r="D420" s="49">
        <v>0.80276000000000003</v>
      </c>
      <c r="E420" s="609">
        <f t="shared" si="6"/>
        <v>0.80276000000000003</v>
      </c>
      <c r="F420" s="607"/>
      <c r="G420" s="607"/>
    </row>
    <row r="421" spans="1:7" s="14" customFormat="1" ht="34.5" hidden="1" customHeight="1" outlineLevel="2" x14ac:dyDescent="0.25">
      <c r="A421" s="57"/>
      <c r="B421" s="61" t="s">
        <v>86</v>
      </c>
      <c r="C421" s="62" t="s">
        <v>77</v>
      </c>
      <c r="D421" s="49">
        <v>0.95211000000000001</v>
      </c>
      <c r="E421" s="609">
        <f t="shared" si="6"/>
        <v>0.95211000000000001</v>
      </c>
      <c r="F421" s="607"/>
      <c r="G421" s="607"/>
    </row>
    <row r="422" spans="1:7" s="14" customFormat="1" ht="34.5" hidden="1" customHeight="1" outlineLevel="2" x14ac:dyDescent="0.25">
      <c r="A422" s="57"/>
      <c r="B422" s="61" t="s">
        <v>87</v>
      </c>
      <c r="C422" s="62" t="s">
        <v>77</v>
      </c>
      <c r="D422" s="49">
        <v>2.0309599999999999</v>
      </c>
      <c r="E422" s="609">
        <f t="shared" si="6"/>
        <v>2.0309599999999999</v>
      </c>
      <c r="F422" s="607"/>
      <c r="G422" s="607"/>
    </row>
    <row r="423" spans="1:7" s="14" customFormat="1" ht="34.5" hidden="1" customHeight="1" outlineLevel="2" x14ac:dyDescent="0.25">
      <c r="A423" s="57"/>
      <c r="B423" s="61" t="s">
        <v>984</v>
      </c>
      <c r="C423" s="63" t="s">
        <v>10</v>
      </c>
      <c r="D423" s="49">
        <v>26.29</v>
      </c>
      <c r="E423" s="609">
        <f t="shared" si="6"/>
        <v>26.29</v>
      </c>
      <c r="F423" s="607"/>
      <c r="G423" s="607"/>
    </row>
    <row r="424" spans="1:7" s="14" customFormat="1" ht="34.5" hidden="1" customHeight="1" outlineLevel="2" x14ac:dyDescent="0.25">
      <c r="A424" s="57"/>
      <c r="B424" s="61" t="s">
        <v>102</v>
      </c>
      <c r="C424" s="63" t="s">
        <v>68</v>
      </c>
      <c r="D424" s="49">
        <v>103.39</v>
      </c>
      <c r="E424" s="609">
        <f t="shared" si="6"/>
        <v>103.39</v>
      </c>
      <c r="F424" s="607"/>
      <c r="G424" s="607"/>
    </row>
    <row r="425" spans="1:7" s="14" customFormat="1" ht="34.5" hidden="1" customHeight="1" outlineLevel="2" x14ac:dyDescent="0.25">
      <c r="A425" s="57"/>
      <c r="B425" s="64" t="s">
        <v>985</v>
      </c>
      <c r="C425" s="59" t="s">
        <v>134</v>
      </c>
      <c r="D425" s="49">
        <v>1</v>
      </c>
      <c r="E425" s="609">
        <f t="shared" si="6"/>
        <v>1</v>
      </c>
      <c r="F425" s="607"/>
      <c r="G425" s="607"/>
    </row>
    <row r="426" spans="1:7" s="14" customFormat="1" ht="34.5" hidden="1" customHeight="1" outlineLevel="2" x14ac:dyDescent="0.25">
      <c r="A426" s="57"/>
      <c r="B426" s="76" t="s">
        <v>986</v>
      </c>
      <c r="C426" s="62" t="s">
        <v>77</v>
      </c>
      <c r="D426" s="49">
        <v>0.95147700000000002</v>
      </c>
      <c r="E426" s="609">
        <f t="shared" si="6"/>
        <v>0.95147700000000002</v>
      </c>
      <c r="F426" s="607"/>
      <c r="G426" s="607"/>
    </row>
    <row r="427" spans="1:7" s="14" customFormat="1" ht="34.5" hidden="1" customHeight="1" outlineLevel="2" x14ac:dyDescent="0.25">
      <c r="A427" s="57"/>
      <c r="B427" s="76" t="s">
        <v>987</v>
      </c>
      <c r="C427" s="62" t="s">
        <v>124</v>
      </c>
      <c r="D427" s="49">
        <v>83.822000000000003</v>
      </c>
      <c r="E427" s="609">
        <f t="shared" si="6"/>
        <v>83.822000000000003</v>
      </c>
      <c r="F427" s="607"/>
      <c r="G427" s="607"/>
    </row>
    <row r="428" spans="1:7" s="14" customFormat="1" ht="34.5" hidden="1" customHeight="1" outlineLevel="2" x14ac:dyDescent="0.25">
      <c r="A428" s="57"/>
      <c r="B428" s="76" t="s">
        <v>988</v>
      </c>
      <c r="C428" s="62" t="s">
        <v>124</v>
      </c>
      <c r="D428" s="49">
        <v>1.6</v>
      </c>
      <c r="E428" s="609">
        <f t="shared" si="6"/>
        <v>1.6</v>
      </c>
      <c r="F428" s="607"/>
      <c r="G428" s="607"/>
    </row>
    <row r="429" spans="1:7" s="14" customFormat="1" ht="34.5" hidden="1" customHeight="1" outlineLevel="2" x14ac:dyDescent="0.25">
      <c r="A429" s="57"/>
      <c r="B429" s="61" t="s">
        <v>989</v>
      </c>
      <c r="C429" s="63" t="s">
        <v>78</v>
      </c>
      <c r="D429" s="49">
        <v>2</v>
      </c>
      <c r="E429" s="609">
        <f t="shared" si="6"/>
        <v>2</v>
      </c>
      <c r="F429" s="607"/>
      <c r="G429" s="607"/>
    </row>
    <row r="430" spans="1:7" s="14" customFormat="1" ht="34.5" hidden="1" customHeight="1" outlineLevel="2" x14ac:dyDescent="0.25">
      <c r="A430" s="57"/>
      <c r="B430" s="61" t="s">
        <v>990</v>
      </c>
      <c r="C430" s="63" t="s">
        <v>78</v>
      </c>
      <c r="D430" s="49">
        <v>2</v>
      </c>
      <c r="E430" s="609">
        <f t="shared" si="6"/>
        <v>2</v>
      </c>
      <c r="F430" s="607"/>
      <c r="G430" s="607"/>
    </row>
    <row r="431" spans="1:7" s="14" customFormat="1" ht="34.5" hidden="1" customHeight="1" outlineLevel="2" x14ac:dyDescent="0.25">
      <c r="A431" s="57"/>
      <c r="B431" s="76" t="s">
        <v>991</v>
      </c>
      <c r="C431" s="62" t="s">
        <v>10</v>
      </c>
      <c r="D431" s="49">
        <v>0.39300000000000002</v>
      </c>
      <c r="E431" s="609">
        <f t="shared" si="6"/>
        <v>0.39300000000000002</v>
      </c>
      <c r="F431" s="607"/>
      <c r="G431" s="607"/>
    </row>
    <row r="432" spans="1:7" s="14" customFormat="1" ht="34.5" hidden="1" customHeight="1" outlineLevel="1" collapsed="1" x14ac:dyDescent="0.25">
      <c r="A432" s="57">
        <v>20</v>
      </c>
      <c r="B432" s="58" t="s">
        <v>1030</v>
      </c>
      <c r="C432" s="57" t="s">
        <v>970</v>
      </c>
      <c r="D432" s="49">
        <v>1</v>
      </c>
      <c r="E432" s="609">
        <f t="shared" si="6"/>
        <v>1</v>
      </c>
      <c r="F432" s="607"/>
      <c r="G432" s="607"/>
    </row>
    <row r="433" spans="1:7" s="14" customFormat="1" ht="34.5" hidden="1" customHeight="1" outlineLevel="2" x14ac:dyDescent="0.25">
      <c r="A433" s="57"/>
      <c r="B433" s="64" t="s">
        <v>1031</v>
      </c>
      <c r="C433" s="60" t="s">
        <v>970</v>
      </c>
      <c r="D433" s="49">
        <v>1</v>
      </c>
      <c r="E433" s="609">
        <f t="shared" si="6"/>
        <v>1</v>
      </c>
      <c r="F433" s="607"/>
      <c r="G433" s="607"/>
    </row>
    <row r="434" spans="1:7" s="14" customFormat="1" ht="34.5" hidden="1" customHeight="1" outlineLevel="2" x14ac:dyDescent="0.25">
      <c r="A434" s="57"/>
      <c r="B434" s="61" t="s">
        <v>105</v>
      </c>
      <c r="C434" s="62" t="s">
        <v>77</v>
      </c>
      <c r="D434" s="49">
        <v>0.82101999999999997</v>
      </c>
      <c r="E434" s="609">
        <f t="shared" si="6"/>
        <v>0.82101999999999997</v>
      </c>
      <c r="F434" s="607"/>
      <c r="G434" s="607"/>
    </row>
    <row r="435" spans="1:7" s="14" customFormat="1" ht="34.5" hidden="1" customHeight="1" outlineLevel="2" x14ac:dyDescent="0.25">
      <c r="A435" s="57"/>
      <c r="B435" s="61" t="s">
        <v>83</v>
      </c>
      <c r="C435" s="62" t="s">
        <v>77</v>
      </c>
      <c r="D435" s="49">
        <v>1.52803</v>
      </c>
      <c r="E435" s="609">
        <f t="shared" si="6"/>
        <v>1.52803</v>
      </c>
      <c r="F435" s="607"/>
      <c r="G435" s="607"/>
    </row>
    <row r="436" spans="1:7" s="14" customFormat="1" ht="34.5" hidden="1" customHeight="1" outlineLevel="2" x14ac:dyDescent="0.25">
      <c r="A436" s="57"/>
      <c r="B436" s="61" t="s">
        <v>84</v>
      </c>
      <c r="C436" s="62" t="s">
        <v>77</v>
      </c>
      <c r="D436" s="49">
        <v>0.25</v>
      </c>
      <c r="E436" s="609">
        <f t="shared" si="6"/>
        <v>0.25</v>
      </c>
      <c r="F436" s="607"/>
      <c r="G436" s="607"/>
    </row>
    <row r="437" spans="1:7" s="14" customFormat="1" ht="34.5" hidden="1" customHeight="1" outlineLevel="2" x14ac:dyDescent="0.25">
      <c r="A437" s="57"/>
      <c r="B437" s="61" t="s">
        <v>85</v>
      </c>
      <c r="C437" s="62" t="s">
        <v>77</v>
      </c>
      <c r="D437" s="49">
        <v>0.80276000000000003</v>
      </c>
      <c r="E437" s="609">
        <f t="shared" si="6"/>
        <v>0.80276000000000003</v>
      </c>
      <c r="F437" s="607"/>
      <c r="G437" s="607"/>
    </row>
    <row r="438" spans="1:7" s="14" customFormat="1" ht="34.5" hidden="1" customHeight="1" outlineLevel="2" x14ac:dyDescent="0.25">
      <c r="A438" s="57"/>
      <c r="B438" s="61" t="s">
        <v>86</v>
      </c>
      <c r="C438" s="62" t="s">
        <v>77</v>
      </c>
      <c r="D438" s="49">
        <v>0.95211000000000001</v>
      </c>
      <c r="E438" s="609">
        <f t="shared" si="6"/>
        <v>0.95211000000000001</v>
      </c>
      <c r="F438" s="607"/>
      <c r="G438" s="607"/>
    </row>
    <row r="439" spans="1:7" s="14" customFormat="1" ht="34.5" hidden="1" customHeight="1" outlineLevel="2" x14ac:dyDescent="0.25">
      <c r="A439" s="57"/>
      <c r="B439" s="61" t="s">
        <v>87</v>
      </c>
      <c r="C439" s="62" t="s">
        <v>77</v>
      </c>
      <c r="D439" s="49">
        <v>1.9963</v>
      </c>
      <c r="E439" s="609">
        <f t="shared" si="6"/>
        <v>1.9963</v>
      </c>
      <c r="F439" s="607"/>
      <c r="G439" s="607"/>
    </row>
    <row r="440" spans="1:7" s="14" customFormat="1" ht="34.5" hidden="1" customHeight="1" outlineLevel="2" x14ac:dyDescent="0.25">
      <c r="A440" s="57"/>
      <c r="B440" s="61" t="s">
        <v>984</v>
      </c>
      <c r="C440" s="63" t="s">
        <v>10</v>
      </c>
      <c r="D440" s="49">
        <v>25.43</v>
      </c>
      <c r="E440" s="609">
        <f t="shared" si="6"/>
        <v>25.43</v>
      </c>
      <c r="F440" s="607"/>
      <c r="G440" s="607"/>
    </row>
    <row r="441" spans="1:7" s="14" customFormat="1" ht="34.5" hidden="1" customHeight="1" outlineLevel="2" x14ac:dyDescent="0.25">
      <c r="A441" s="57"/>
      <c r="B441" s="61" t="s">
        <v>102</v>
      </c>
      <c r="C441" s="63" t="s">
        <v>68</v>
      </c>
      <c r="D441" s="49">
        <v>102.09</v>
      </c>
      <c r="E441" s="609">
        <f t="shared" si="6"/>
        <v>102.09</v>
      </c>
      <c r="F441" s="607"/>
      <c r="G441" s="607"/>
    </row>
    <row r="442" spans="1:7" s="14" customFormat="1" ht="34.5" hidden="1" customHeight="1" outlineLevel="2" x14ac:dyDescent="0.25">
      <c r="A442" s="57"/>
      <c r="B442" s="64" t="s">
        <v>985</v>
      </c>
      <c r="C442" s="59" t="s">
        <v>134</v>
      </c>
      <c r="D442" s="49">
        <v>1</v>
      </c>
      <c r="E442" s="609">
        <f t="shared" si="6"/>
        <v>1</v>
      </c>
      <c r="F442" s="607"/>
      <c r="G442" s="607"/>
    </row>
    <row r="443" spans="1:7" s="14" customFormat="1" ht="34.5" hidden="1" customHeight="1" outlineLevel="2" x14ac:dyDescent="0.25">
      <c r="A443" s="57"/>
      <c r="B443" s="76" t="s">
        <v>986</v>
      </c>
      <c r="C443" s="62" t="s">
        <v>77</v>
      </c>
      <c r="D443" s="49">
        <v>2.0888420000000001</v>
      </c>
      <c r="E443" s="609">
        <f t="shared" si="6"/>
        <v>2.0888420000000001</v>
      </c>
      <c r="F443" s="607"/>
      <c r="G443" s="607"/>
    </row>
    <row r="444" spans="1:7" s="14" customFormat="1" ht="34.5" hidden="1" customHeight="1" outlineLevel="2" x14ac:dyDescent="0.25">
      <c r="A444" s="57"/>
      <c r="B444" s="76" t="s">
        <v>987</v>
      </c>
      <c r="C444" s="62" t="s">
        <v>124</v>
      </c>
      <c r="D444" s="49">
        <v>104.846</v>
      </c>
      <c r="E444" s="609">
        <f t="shared" si="6"/>
        <v>104.846</v>
      </c>
      <c r="F444" s="607"/>
      <c r="G444" s="607"/>
    </row>
    <row r="445" spans="1:7" s="14" customFormat="1" ht="34.5" hidden="1" customHeight="1" outlineLevel="2" x14ac:dyDescent="0.25">
      <c r="A445" s="57"/>
      <c r="B445" s="61" t="s">
        <v>989</v>
      </c>
      <c r="C445" s="63" t="s">
        <v>78</v>
      </c>
      <c r="D445" s="49">
        <v>4</v>
      </c>
      <c r="E445" s="609">
        <f t="shared" si="6"/>
        <v>4</v>
      </c>
      <c r="F445" s="607"/>
      <c r="G445" s="607"/>
    </row>
    <row r="446" spans="1:7" s="14" customFormat="1" ht="34.5" hidden="1" customHeight="1" outlineLevel="2" x14ac:dyDescent="0.25">
      <c r="A446" s="57"/>
      <c r="B446" s="61" t="s">
        <v>990</v>
      </c>
      <c r="C446" s="63" t="s">
        <v>78</v>
      </c>
      <c r="D446" s="49">
        <v>4</v>
      </c>
      <c r="E446" s="609">
        <f t="shared" si="6"/>
        <v>4</v>
      </c>
      <c r="F446" s="607"/>
      <c r="G446" s="607"/>
    </row>
    <row r="447" spans="1:7" s="14" customFormat="1" ht="34.5" hidden="1" customHeight="1" outlineLevel="2" x14ac:dyDescent="0.25">
      <c r="A447" s="57"/>
      <c r="B447" s="76" t="s">
        <v>991</v>
      </c>
      <c r="C447" s="62" t="s">
        <v>10</v>
      </c>
      <c r="D447" s="49">
        <v>0.49099999999999999</v>
      </c>
      <c r="E447" s="609">
        <f t="shared" si="6"/>
        <v>0.49099999999999999</v>
      </c>
      <c r="F447" s="607"/>
      <c r="G447" s="607"/>
    </row>
    <row r="448" spans="1:7" s="14" customFormat="1" ht="34.5" hidden="1" customHeight="1" outlineLevel="1" collapsed="1" x14ac:dyDescent="0.25">
      <c r="A448" s="57">
        <v>21</v>
      </c>
      <c r="B448" s="58" t="s">
        <v>1032</v>
      </c>
      <c r="C448" s="57" t="s">
        <v>970</v>
      </c>
      <c r="D448" s="49">
        <v>1</v>
      </c>
      <c r="E448" s="609">
        <f t="shared" si="6"/>
        <v>1</v>
      </c>
      <c r="F448" s="607"/>
      <c r="G448" s="607"/>
    </row>
    <row r="449" spans="1:7" s="14" customFormat="1" ht="34.5" hidden="1" customHeight="1" outlineLevel="2" x14ac:dyDescent="0.25">
      <c r="A449" s="57"/>
      <c r="B449" s="64" t="s">
        <v>1033</v>
      </c>
      <c r="C449" s="60" t="s">
        <v>970</v>
      </c>
      <c r="D449" s="49">
        <v>1</v>
      </c>
      <c r="E449" s="609">
        <f t="shared" si="6"/>
        <v>1</v>
      </c>
      <c r="F449" s="607"/>
      <c r="G449" s="607"/>
    </row>
    <row r="450" spans="1:7" s="14" customFormat="1" ht="34.5" hidden="1" customHeight="1" outlineLevel="2" x14ac:dyDescent="0.25">
      <c r="A450" s="57"/>
      <c r="B450" s="61" t="s">
        <v>105</v>
      </c>
      <c r="C450" s="62" t="s">
        <v>77</v>
      </c>
      <c r="D450" s="49">
        <v>0.82101999999999997</v>
      </c>
      <c r="E450" s="609">
        <f t="shared" si="6"/>
        <v>0.82101999999999997</v>
      </c>
      <c r="F450" s="607"/>
      <c r="G450" s="607"/>
    </row>
    <row r="451" spans="1:7" s="14" customFormat="1" ht="34.5" hidden="1" customHeight="1" outlineLevel="2" x14ac:dyDescent="0.25">
      <c r="A451" s="57"/>
      <c r="B451" s="61" t="s">
        <v>83</v>
      </c>
      <c r="C451" s="62" t="s">
        <v>77</v>
      </c>
      <c r="D451" s="49">
        <v>1.52803</v>
      </c>
      <c r="E451" s="609">
        <f t="shared" si="6"/>
        <v>1.52803</v>
      </c>
      <c r="F451" s="607"/>
      <c r="G451" s="607"/>
    </row>
    <row r="452" spans="1:7" s="14" customFormat="1" ht="34.5" hidden="1" customHeight="1" outlineLevel="2" x14ac:dyDescent="0.25">
      <c r="A452" s="57"/>
      <c r="B452" s="61" t="s">
        <v>84</v>
      </c>
      <c r="C452" s="62" t="s">
        <v>77</v>
      </c>
      <c r="D452" s="49">
        <v>0.25</v>
      </c>
      <c r="E452" s="609">
        <f t="shared" si="6"/>
        <v>0.25</v>
      </c>
      <c r="F452" s="607"/>
      <c r="G452" s="607"/>
    </row>
    <row r="453" spans="1:7" s="14" customFormat="1" ht="34.5" hidden="1" customHeight="1" outlineLevel="2" x14ac:dyDescent="0.25">
      <c r="A453" s="57"/>
      <c r="B453" s="61" t="s">
        <v>85</v>
      </c>
      <c r="C453" s="62" t="s">
        <v>77</v>
      </c>
      <c r="D453" s="49">
        <v>0.80276000000000003</v>
      </c>
      <c r="E453" s="609">
        <f t="shared" si="6"/>
        <v>0.80276000000000003</v>
      </c>
      <c r="F453" s="607"/>
      <c r="G453" s="607"/>
    </row>
    <row r="454" spans="1:7" s="14" customFormat="1" ht="34.5" hidden="1" customHeight="1" outlineLevel="2" x14ac:dyDescent="0.25">
      <c r="A454" s="57"/>
      <c r="B454" s="61" t="s">
        <v>86</v>
      </c>
      <c r="C454" s="62" t="s">
        <v>77</v>
      </c>
      <c r="D454" s="49">
        <v>0.95211000000000001</v>
      </c>
      <c r="E454" s="609">
        <f t="shared" si="6"/>
        <v>0.95211000000000001</v>
      </c>
      <c r="F454" s="607"/>
      <c r="G454" s="607"/>
    </row>
    <row r="455" spans="1:7" s="14" customFormat="1" ht="34.5" hidden="1" customHeight="1" outlineLevel="2" x14ac:dyDescent="0.25">
      <c r="A455" s="57"/>
      <c r="B455" s="61" t="s">
        <v>87</v>
      </c>
      <c r="C455" s="62" t="s">
        <v>77</v>
      </c>
      <c r="D455" s="49">
        <v>1.9963</v>
      </c>
      <c r="E455" s="609">
        <f t="shared" si="6"/>
        <v>1.9963</v>
      </c>
      <c r="F455" s="607"/>
      <c r="G455" s="607"/>
    </row>
    <row r="456" spans="1:7" s="14" customFormat="1" ht="34.5" hidden="1" customHeight="1" outlineLevel="2" x14ac:dyDescent="0.25">
      <c r="A456" s="57"/>
      <c r="B456" s="61" t="s">
        <v>984</v>
      </c>
      <c r="C456" s="63" t="s">
        <v>10</v>
      </c>
      <c r="D456" s="49">
        <v>25.43</v>
      </c>
      <c r="E456" s="609">
        <f t="shared" si="6"/>
        <v>25.43</v>
      </c>
      <c r="F456" s="607"/>
      <c r="G456" s="607"/>
    </row>
    <row r="457" spans="1:7" s="14" customFormat="1" ht="34.5" hidden="1" customHeight="1" outlineLevel="2" x14ac:dyDescent="0.25">
      <c r="A457" s="57"/>
      <c r="B457" s="61" t="s">
        <v>102</v>
      </c>
      <c r="C457" s="63" t="s">
        <v>68</v>
      </c>
      <c r="D457" s="49">
        <v>102.09</v>
      </c>
      <c r="E457" s="609">
        <f t="shared" si="6"/>
        <v>102.09</v>
      </c>
      <c r="F457" s="607"/>
      <c r="G457" s="607"/>
    </row>
    <row r="458" spans="1:7" s="14" customFormat="1" ht="34.5" hidden="1" customHeight="1" outlineLevel="2" x14ac:dyDescent="0.25">
      <c r="A458" s="57"/>
      <c r="B458" s="64" t="s">
        <v>985</v>
      </c>
      <c r="C458" s="59" t="s">
        <v>134</v>
      </c>
      <c r="D458" s="49">
        <v>1</v>
      </c>
      <c r="E458" s="609">
        <f t="shared" si="6"/>
        <v>1</v>
      </c>
      <c r="F458" s="607"/>
      <c r="G458" s="607"/>
    </row>
    <row r="459" spans="1:7" s="14" customFormat="1" ht="34.5" hidden="1" customHeight="1" outlineLevel="2" x14ac:dyDescent="0.25">
      <c r="A459" s="57"/>
      <c r="B459" s="76" t="s">
        <v>986</v>
      </c>
      <c r="C459" s="62" t="s">
        <v>77</v>
      </c>
      <c r="D459" s="49">
        <v>2.0888420000000001</v>
      </c>
      <c r="E459" s="609">
        <f t="shared" si="6"/>
        <v>2.0888420000000001</v>
      </c>
      <c r="F459" s="607"/>
      <c r="G459" s="607"/>
    </row>
    <row r="460" spans="1:7" s="14" customFormat="1" ht="34.5" hidden="1" customHeight="1" outlineLevel="2" x14ac:dyDescent="0.25">
      <c r="A460" s="57"/>
      <c r="B460" s="76" t="s">
        <v>987</v>
      </c>
      <c r="C460" s="62" t="s">
        <v>124</v>
      </c>
      <c r="D460" s="49">
        <v>76.846000000000004</v>
      </c>
      <c r="E460" s="609">
        <f t="shared" si="6"/>
        <v>76.846000000000004</v>
      </c>
      <c r="F460" s="607"/>
      <c r="G460" s="607"/>
    </row>
    <row r="461" spans="1:7" s="14" customFormat="1" ht="34.5" hidden="1" customHeight="1" outlineLevel="2" x14ac:dyDescent="0.25">
      <c r="A461" s="57"/>
      <c r="B461" s="61" t="s">
        <v>989</v>
      </c>
      <c r="C461" s="63" t="s">
        <v>78</v>
      </c>
      <c r="D461" s="49">
        <v>4</v>
      </c>
      <c r="E461" s="609">
        <f t="shared" si="6"/>
        <v>4</v>
      </c>
      <c r="F461" s="607"/>
      <c r="G461" s="607"/>
    </row>
    <row r="462" spans="1:7" s="14" customFormat="1" ht="34.5" hidden="1" customHeight="1" outlineLevel="2" x14ac:dyDescent="0.25">
      <c r="A462" s="57"/>
      <c r="B462" s="61" t="s">
        <v>990</v>
      </c>
      <c r="C462" s="63" t="s">
        <v>78</v>
      </c>
      <c r="D462" s="49">
        <v>4</v>
      </c>
      <c r="E462" s="609">
        <f t="shared" si="6"/>
        <v>4</v>
      </c>
      <c r="F462" s="607"/>
      <c r="G462" s="607"/>
    </row>
    <row r="463" spans="1:7" s="14" customFormat="1" ht="34.5" hidden="1" customHeight="1" outlineLevel="2" x14ac:dyDescent="0.25">
      <c r="A463" s="57"/>
      <c r="B463" s="76" t="s">
        <v>991</v>
      </c>
      <c r="C463" s="62" t="s">
        <v>10</v>
      </c>
      <c r="D463" s="49">
        <v>0.36</v>
      </c>
      <c r="E463" s="609">
        <f t="shared" si="6"/>
        <v>0.36</v>
      </c>
      <c r="F463" s="607"/>
      <c r="G463" s="607"/>
    </row>
    <row r="464" spans="1:7" s="14" customFormat="1" ht="34.5" hidden="1" customHeight="1" outlineLevel="1" collapsed="1" x14ac:dyDescent="0.25">
      <c r="A464" s="57">
        <v>22</v>
      </c>
      <c r="B464" s="58" t="s">
        <v>1034</v>
      </c>
      <c r="C464" s="57" t="s">
        <v>970</v>
      </c>
      <c r="D464" s="49">
        <v>1</v>
      </c>
      <c r="E464" s="609">
        <f t="shared" ref="E464:E527" si="7">D464</f>
        <v>1</v>
      </c>
      <c r="F464" s="607"/>
      <c r="G464" s="607"/>
    </row>
    <row r="465" spans="1:7" s="14" customFormat="1" ht="34.5" hidden="1" customHeight="1" outlineLevel="2" x14ac:dyDescent="0.25">
      <c r="A465" s="57"/>
      <c r="B465" s="64" t="s">
        <v>1035</v>
      </c>
      <c r="C465" s="60" t="s">
        <v>970</v>
      </c>
      <c r="D465" s="49">
        <v>1</v>
      </c>
      <c r="E465" s="609">
        <f t="shared" si="7"/>
        <v>1</v>
      </c>
      <c r="F465" s="607"/>
      <c r="G465" s="607"/>
    </row>
    <row r="466" spans="1:7" s="14" customFormat="1" ht="34.5" hidden="1" customHeight="1" outlineLevel="2" x14ac:dyDescent="0.25">
      <c r="A466" s="57"/>
      <c r="B466" s="61" t="s">
        <v>105</v>
      </c>
      <c r="C466" s="62" t="s">
        <v>77</v>
      </c>
      <c r="D466" s="49">
        <v>0.84038000000000002</v>
      </c>
      <c r="E466" s="609">
        <f t="shared" si="7"/>
        <v>0.84038000000000002</v>
      </c>
      <c r="F466" s="607"/>
      <c r="G466" s="607"/>
    </row>
    <row r="467" spans="1:7" s="14" customFormat="1" ht="34.5" hidden="1" customHeight="1" outlineLevel="2" x14ac:dyDescent="0.25">
      <c r="A467" s="57"/>
      <c r="B467" s="61" t="s">
        <v>83</v>
      </c>
      <c r="C467" s="62" t="s">
        <v>77</v>
      </c>
      <c r="D467" s="49">
        <v>1.5210699999999999</v>
      </c>
      <c r="E467" s="609">
        <f t="shared" si="7"/>
        <v>1.5210699999999999</v>
      </c>
      <c r="F467" s="607"/>
      <c r="G467" s="607"/>
    </row>
    <row r="468" spans="1:7" s="14" customFormat="1" ht="34.5" hidden="1" customHeight="1" outlineLevel="2" x14ac:dyDescent="0.25">
      <c r="A468" s="57"/>
      <c r="B468" s="61" t="s">
        <v>84</v>
      </c>
      <c r="C468" s="62" t="s">
        <v>77</v>
      </c>
      <c r="D468" s="49">
        <v>0.25</v>
      </c>
      <c r="E468" s="609">
        <f t="shared" si="7"/>
        <v>0.25</v>
      </c>
      <c r="F468" s="607"/>
      <c r="G468" s="607"/>
    </row>
    <row r="469" spans="1:7" s="14" customFormat="1" ht="34.5" hidden="1" customHeight="1" outlineLevel="2" x14ac:dyDescent="0.25">
      <c r="A469" s="57"/>
      <c r="B469" s="61" t="s">
        <v>85</v>
      </c>
      <c r="C469" s="62" t="s">
        <v>77</v>
      </c>
      <c r="D469" s="49">
        <v>0.80276000000000003</v>
      </c>
      <c r="E469" s="609">
        <f t="shared" si="7"/>
        <v>0.80276000000000003</v>
      </c>
      <c r="F469" s="607"/>
      <c r="G469" s="607"/>
    </row>
    <row r="470" spans="1:7" s="14" customFormat="1" ht="34.5" hidden="1" customHeight="1" outlineLevel="2" x14ac:dyDescent="0.25">
      <c r="A470" s="57"/>
      <c r="B470" s="61" t="s">
        <v>86</v>
      </c>
      <c r="C470" s="62" t="s">
        <v>77</v>
      </c>
      <c r="D470" s="49">
        <v>0.95211000000000001</v>
      </c>
      <c r="E470" s="609">
        <f t="shared" si="7"/>
        <v>0.95211000000000001</v>
      </c>
      <c r="F470" s="607"/>
      <c r="G470" s="607"/>
    </row>
    <row r="471" spans="1:7" s="14" customFormat="1" ht="34.5" hidden="1" customHeight="1" outlineLevel="2" x14ac:dyDescent="0.25">
      <c r="A471" s="57"/>
      <c r="B471" s="61" t="s">
        <v>87</v>
      </c>
      <c r="C471" s="62" t="s">
        <v>77</v>
      </c>
      <c r="D471" s="49">
        <v>1.9789000000000001</v>
      </c>
      <c r="E471" s="609">
        <f t="shared" si="7"/>
        <v>1.9789000000000001</v>
      </c>
      <c r="F471" s="607"/>
      <c r="G471" s="607"/>
    </row>
    <row r="472" spans="1:7" s="14" customFormat="1" ht="34.5" hidden="1" customHeight="1" outlineLevel="2" x14ac:dyDescent="0.25">
      <c r="A472" s="57"/>
      <c r="B472" s="61" t="s">
        <v>984</v>
      </c>
      <c r="C472" s="63" t="s">
        <v>10</v>
      </c>
      <c r="D472" s="49">
        <v>24.78</v>
      </c>
      <c r="E472" s="609">
        <f t="shared" si="7"/>
        <v>24.78</v>
      </c>
      <c r="F472" s="607"/>
      <c r="G472" s="607"/>
    </row>
    <row r="473" spans="1:7" s="14" customFormat="1" ht="34.5" hidden="1" customHeight="1" outlineLevel="2" x14ac:dyDescent="0.25">
      <c r="A473" s="57"/>
      <c r="B473" s="61" t="s">
        <v>102</v>
      </c>
      <c r="C473" s="63" t="s">
        <v>68</v>
      </c>
      <c r="D473" s="49">
        <v>101.49</v>
      </c>
      <c r="E473" s="609">
        <f t="shared" si="7"/>
        <v>101.49</v>
      </c>
      <c r="F473" s="607"/>
      <c r="G473" s="607"/>
    </row>
    <row r="474" spans="1:7" s="14" customFormat="1" ht="34.5" hidden="1" customHeight="1" outlineLevel="2" x14ac:dyDescent="0.25">
      <c r="A474" s="57"/>
      <c r="B474" s="64" t="s">
        <v>985</v>
      </c>
      <c r="C474" s="59" t="s">
        <v>134</v>
      </c>
      <c r="D474" s="49">
        <v>1</v>
      </c>
      <c r="E474" s="609">
        <f t="shared" si="7"/>
        <v>1</v>
      </c>
      <c r="F474" s="607"/>
      <c r="G474" s="607"/>
    </row>
    <row r="475" spans="1:7" s="14" customFormat="1" ht="34.5" hidden="1" customHeight="1" outlineLevel="2" x14ac:dyDescent="0.25">
      <c r="A475" s="57"/>
      <c r="B475" s="76" t="s">
        <v>986</v>
      </c>
      <c r="C475" s="62" t="s">
        <v>77</v>
      </c>
      <c r="D475" s="49">
        <v>2.2751550000000003</v>
      </c>
      <c r="E475" s="609">
        <f t="shared" si="7"/>
        <v>2.2751550000000003</v>
      </c>
      <c r="F475" s="607"/>
      <c r="G475" s="607"/>
    </row>
    <row r="476" spans="1:7" s="14" customFormat="1" ht="34.5" hidden="1" customHeight="1" outlineLevel="2" x14ac:dyDescent="0.25">
      <c r="A476" s="57"/>
      <c r="B476" s="76" t="s">
        <v>987</v>
      </c>
      <c r="C476" s="62" t="s">
        <v>124</v>
      </c>
      <c r="D476" s="49">
        <v>90.96</v>
      </c>
      <c r="E476" s="609">
        <f t="shared" si="7"/>
        <v>90.96</v>
      </c>
      <c r="F476" s="607"/>
      <c r="G476" s="607"/>
    </row>
    <row r="477" spans="1:7" s="14" customFormat="1" ht="34.5" hidden="1" customHeight="1" outlineLevel="2" x14ac:dyDescent="0.25">
      <c r="A477" s="57"/>
      <c r="B477" s="61" t="s">
        <v>989</v>
      </c>
      <c r="C477" s="63" t="s">
        <v>78</v>
      </c>
      <c r="D477" s="49">
        <v>4</v>
      </c>
      <c r="E477" s="609">
        <f t="shared" si="7"/>
        <v>4</v>
      </c>
      <c r="F477" s="607"/>
      <c r="G477" s="607"/>
    </row>
    <row r="478" spans="1:7" s="14" customFormat="1" ht="34.5" hidden="1" customHeight="1" outlineLevel="2" x14ac:dyDescent="0.25">
      <c r="A478" s="57"/>
      <c r="B478" s="61" t="s">
        <v>990</v>
      </c>
      <c r="C478" s="63" t="s">
        <v>78</v>
      </c>
      <c r="D478" s="49">
        <v>4</v>
      </c>
      <c r="E478" s="609">
        <f t="shared" si="7"/>
        <v>4</v>
      </c>
      <c r="F478" s="607"/>
      <c r="G478" s="607"/>
    </row>
    <row r="479" spans="1:7" s="14" customFormat="1" ht="34.5" hidden="1" customHeight="1" outlineLevel="2" x14ac:dyDescent="0.25">
      <c r="A479" s="57"/>
      <c r="B479" s="76" t="s">
        <v>991</v>
      </c>
      <c r="C479" s="62" t="s">
        <v>10</v>
      </c>
      <c r="D479" s="49">
        <v>0.42599999999999999</v>
      </c>
      <c r="E479" s="609">
        <f t="shared" si="7"/>
        <v>0.42599999999999999</v>
      </c>
      <c r="F479" s="607"/>
      <c r="G479" s="607"/>
    </row>
    <row r="480" spans="1:7" s="14" customFormat="1" ht="34.5" hidden="1" customHeight="1" outlineLevel="1" collapsed="1" x14ac:dyDescent="0.25">
      <c r="A480" s="57">
        <v>23</v>
      </c>
      <c r="B480" s="58" t="s">
        <v>1036</v>
      </c>
      <c r="C480" s="57" t="s">
        <v>970</v>
      </c>
      <c r="D480" s="49">
        <v>1</v>
      </c>
      <c r="E480" s="609">
        <f t="shared" si="7"/>
        <v>1</v>
      </c>
      <c r="F480" s="607"/>
      <c r="G480" s="607"/>
    </row>
    <row r="481" spans="1:7" s="14" customFormat="1" ht="34.5" hidden="1" customHeight="1" outlineLevel="2" x14ac:dyDescent="0.25">
      <c r="A481" s="57"/>
      <c r="B481" s="64" t="s">
        <v>1037</v>
      </c>
      <c r="C481" s="60" t="s">
        <v>970</v>
      </c>
      <c r="D481" s="49">
        <v>1</v>
      </c>
      <c r="E481" s="609">
        <f t="shared" si="7"/>
        <v>1</v>
      </c>
      <c r="F481" s="607"/>
      <c r="G481" s="607"/>
    </row>
    <row r="482" spans="1:7" s="14" customFormat="1" ht="34.5" hidden="1" customHeight="1" outlineLevel="2" x14ac:dyDescent="0.25">
      <c r="A482" s="57"/>
      <c r="B482" s="61" t="s">
        <v>105</v>
      </c>
      <c r="C482" s="62" t="s">
        <v>77</v>
      </c>
      <c r="D482" s="49">
        <v>0.84038000000000002</v>
      </c>
      <c r="E482" s="609">
        <f t="shared" si="7"/>
        <v>0.84038000000000002</v>
      </c>
      <c r="F482" s="607"/>
      <c r="G482" s="607"/>
    </row>
    <row r="483" spans="1:7" s="14" customFormat="1" ht="34.5" hidden="1" customHeight="1" outlineLevel="2" x14ac:dyDescent="0.25">
      <c r="A483" s="57"/>
      <c r="B483" s="61" t="s">
        <v>83</v>
      </c>
      <c r="C483" s="62" t="s">
        <v>77</v>
      </c>
      <c r="D483" s="49">
        <v>1.5210699999999999</v>
      </c>
      <c r="E483" s="609">
        <f t="shared" si="7"/>
        <v>1.5210699999999999</v>
      </c>
      <c r="F483" s="607"/>
      <c r="G483" s="607"/>
    </row>
    <row r="484" spans="1:7" s="14" customFormat="1" ht="34.5" hidden="1" customHeight="1" outlineLevel="2" x14ac:dyDescent="0.25">
      <c r="A484" s="57"/>
      <c r="B484" s="61" t="s">
        <v>84</v>
      </c>
      <c r="C484" s="62" t="s">
        <v>77</v>
      </c>
      <c r="D484" s="49">
        <v>0.25</v>
      </c>
      <c r="E484" s="609">
        <f t="shared" si="7"/>
        <v>0.25</v>
      </c>
      <c r="F484" s="607"/>
      <c r="G484" s="607"/>
    </row>
    <row r="485" spans="1:7" s="14" customFormat="1" ht="34.5" hidden="1" customHeight="1" outlineLevel="2" x14ac:dyDescent="0.25">
      <c r="A485" s="57"/>
      <c r="B485" s="61" t="s">
        <v>85</v>
      </c>
      <c r="C485" s="62" t="s">
        <v>77</v>
      </c>
      <c r="D485" s="49">
        <v>0.80276000000000003</v>
      </c>
      <c r="E485" s="609">
        <f t="shared" si="7"/>
        <v>0.80276000000000003</v>
      </c>
      <c r="F485" s="607"/>
      <c r="G485" s="607"/>
    </row>
    <row r="486" spans="1:7" s="14" customFormat="1" ht="34.5" hidden="1" customHeight="1" outlineLevel="2" x14ac:dyDescent="0.25">
      <c r="A486" s="57"/>
      <c r="B486" s="61" t="s">
        <v>86</v>
      </c>
      <c r="C486" s="62" t="s">
        <v>77</v>
      </c>
      <c r="D486" s="49">
        <v>0.95211000000000001</v>
      </c>
      <c r="E486" s="609">
        <f t="shared" si="7"/>
        <v>0.95211000000000001</v>
      </c>
      <c r="F486" s="607"/>
      <c r="G486" s="607"/>
    </row>
    <row r="487" spans="1:7" s="14" customFormat="1" ht="34.5" hidden="1" customHeight="1" outlineLevel="2" x14ac:dyDescent="0.25">
      <c r="A487" s="57"/>
      <c r="B487" s="61" t="s">
        <v>87</v>
      </c>
      <c r="C487" s="62" t="s">
        <v>77</v>
      </c>
      <c r="D487" s="49">
        <v>1.9789000000000001</v>
      </c>
      <c r="E487" s="609">
        <f t="shared" si="7"/>
        <v>1.9789000000000001</v>
      </c>
      <c r="F487" s="607"/>
      <c r="G487" s="607"/>
    </row>
    <row r="488" spans="1:7" s="14" customFormat="1" ht="34.5" hidden="1" customHeight="1" outlineLevel="2" x14ac:dyDescent="0.25">
      <c r="A488" s="57"/>
      <c r="B488" s="61" t="s">
        <v>984</v>
      </c>
      <c r="C488" s="63" t="s">
        <v>10</v>
      </c>
      <c r="D488" s="49">
        <v>24.78</v>
      </c>
      <c r="E488" s="609">
        <f t="shared" si="7"/>
        <v>24.78</v>
      </c>
      <c r="F488" s="607"/>
      <c r="G488" s="607"/>
    </row>
    <row r="489" spans="1:7" s="14" customFormat="1" ht="34.5" hidden="1" customHeight="1" outlineLevel="2" x14ac:dyDescent="0.25">
      <c r="A489" s="57"/>
      <c r="B489" s="61" t="s">
        <v>102</v>
      </c>
      <c r="C489" s="63" t="s">
        <v>68</v>
      </c>
      <c r="D489" s="49">
        <v>101.49</v>
      </c>
      <c r="E489" s="609">
        <f t="shared" si="7"/>
        <v>101.49</v>
      </c>
      <c r="F489" s="607"/>
      <c r="G489" s="607"/>
    </row>
    <row r="490" spans="1:7" s="14" customFormat="1" ht="34.5" hidden="1" customHeight="1" outlineLevel="2" x14ac:dyDescent="0.25">
      <c r="A490" s="57"/>
      <c r="B490" s="64" t="s">
        <v>985</v>
      </c>
      <c r="C490" s="59" t="s">
        <v>134</v>
      </c>
      <c r="D490" s="49">
        <v>1</v>
      </c>
      <c r="E490" s="609">
        <f t="shared" si="7"/>
        <v>1</v>
      </c>
      <c r="F490" s="607"/>
      <c r="G490" s="607"/>
    </row>
    <row r="491" spans="1:7" s="14" customFormat="1" ht="34.5" hidden="1" customHeight="1" outlineLevel="2" x14ac:dyDescent="0.25">
      <c r="A491" s="57"/>
      <c r="B491" s="76" t="s">
        <v>986</v>
      </c>
      <c r="C491" s="62" t="s">
        <v>77</v>
      </c>
      <c r="D491" s="49">
        <v>2.2751550000000003</v>
      </c>
      <c r="E491" s="609">
        <f t="shared" si="7"/>
        <v>2.2751550000000003</v>
      </c>
      <c r="F491" s="607"/>
      <c r="G491" s="607"/>
    </row>
    <row r="492" spans="1:7" s="14" customFormat="1" ht="34.5" hidden="1" customHeight="1" outlineLevel="2" x14ac:dyDescent="0.25">
      <c r="A492" s="57"/>
      <c r="B492" s="76" t="s">
        <v>987</v>
      </c>
      <c r="C492" s="62" t="s">
        <v>124</v>
      </c>
      <c r="D492" s="49">
        <v>62.96</v>
      </c>
      <c r="E492" s="609">
        <f t="shared" si="7"/>
        <v>62.96</v>
      </c>
      <c r="F492" s="607"/>
      <c r="G492" s="607"/>
    </row>
    <row r="493" spans="1:7" s="14" customFormat="1" ht="34.5" hidden="1" customHeight="1" outlineLevel="2" x14ac:dyDescent="0.25">
      <c r="A493" s="57"/>
      <c r="B493" s="76" t="s">
        <v>988</v>
      </c>
      <c r="C493" s="62" t="s">
        <v>124</v>
      </c>
      <c r="D493" s="49">
        <v>5.6</v>
      </c>
      <c r="E493" s="609">
        <f t="shared" si="7"/>
        <v>5.6</v>
      </c>
      <c r="F493" s="607"/>
      <c r="G493" s="607"/>
    </row>
    <row r="494" spans="1:7" s="14" customFormat="1" ht="34.5" hidden="1" customHeight="1" outlineLevel="2" x14ac:dyDescent="0.25">
      <c r="A494" s="57"/>
      <c r="B494" s="61" t="s">
        <v>989</v>
      </c>
      <c r="C494" s="63" t="s">
        <v>78</v>
      </c>
      <c r="D494" s="49">
        <v>4</v>
      </c>
      <c r="E494" s="609">
        <f t="shared" si="7"/>
        <v>4</v>
      </c>
      <c r="F494" s="607"/>
      <c r="G494" s="607"/>
    </row>
    <row r="495" spans="1:7" s="14" customFormat="1" ht="34.5" hidden="1" customHeight="1" outlineLevel="2" x14ac:dyDescent="0.25">
      <c r="A495" s="57"/>
      <c r="B495" s="61" t="s">
        <v>990</v>
      </c>
      <c r="C495" s="63" t="s">
        <v>78</v>
      </c>
      <c r="D495" s="49">
        <v>4</v>
      </c>
      <c r="E495" s="609">
        <f t="shared" si="7"/>
        <v>4</v>
      </c>
      <c r="F495" s="607"/>
      <c r="G495" s="607"/>
    </row>
    <row r="496" spans="1:7" s="14" customFormat="1" ht="34.5" hidden="1" customHeight="1" outlineLevel="2" x14ac:dyDescent="0.25">
      <c r="A496" s="57"/>
      <c r="B496" s="76" t="s">
        <v>991</v>
      </c>
      <c r="C496" s="62" t="s">
        <v>10</v>
      </c>
      <c r="D496" s="49">
        <v>0.29499999999999998</v>
      </c>
      <c r="E496" s="609">
        <f t="shared" si="7"/>
        <v>0.29499999999999998</v>
      </c>
      <c r="F496" s="607"/>
      <c r="G496" s="607"/>
    </row>
    <row r="497" spans="1:7" s="14" customFormat="1" ht="34.5" hidden="1" customHeight="1" outlineLevel="1" collapsed="1" x14ac:dyDescent="0.25">
      <c r="A497" s="57">
        <v>24</v>
      </c>
      <c r="B497" s="58" t="s">
        <v>1038</v>
      </c>
      <c r="C497" s="57" t="s">
        <v>970</v>
      </c>
      <c r="D497" s="49"/>
      <c r="E497" s="609">
        <f t="shared" si="7"/>
        <v>0</v>
      </c>
      <c r="F497" s="607"/>
      <c r="G497" s="607"/>
    </row>
    <row r="498" spans="1:7" s="14" customFormat="1" ht="34.5" hidden="1" customHeight="1" outlineLevel="2" x14ac:dyDescent="0.25">
      <c r="A498" s="57"/>
      <c r="B498" s="64" t="s">
        <v>1039</v>
      </c>
      <c r="C498" s="60" t="s">
        <v>970</v>
      </c>
      <c r="D498" s="49"/>
      <c r="E498" s="609">
        <f t="shared" si="7"/>
        <v>0</v>
      </c>
      <c r="F498" s="607"/>
      <c r="G498" s="607"/>
    </row>
    <row r="499" spans="1:7" s="14" customFormat="1" ht="34.5" hidden="1" customHeight="1" outlineLevel="2" x14ac:dyDescent="0.25">
      <c r="A499" s="57"/>
      <c r="B499" s="61" t="s">
        <v>105</v>
      </c>
      <c r="C499" s="62" t="s">
        <v>77</v>
      </c>
      <c r="D499" s="49">
        <v>0</v>
      </c>
      <c r="E499" s="609">
        <f t="shared" si="7"/>
        <v>0</v>
      </c>
      <c r="F499" s="607"/>
      <c r="G499" s="607"/>
    </row>
    <row r="500" spans="1:7" s="14" customFormat="1" ht="34.5" hidden="1" customHeight="1" outlineLevel="2" x14ac:dyDescent="0.25">
      <c r="A500" s="57"/>
      <c r="B500" s="61" t="s">
        <v>83</v>
      </c>
      <c r="C500" s="62" t="s">
        <v>77</v>
      </c>
      <c r="D500" s="49">
        <v>0</v>
      </c>
      <c r="E500" s="609">
        <f t="shared" si="7"/>
        <v>0</v>
      </c>
      <c r="F500" s="607"/>
      <c r="G500" s="607"/>
    </row>
    <row r="501" spans="1:7" s="14" customFormat="1" ht="34.5" hidden="1" customHeight="1" outlineLevel="2" x14ac:dyDescent="0.25">
      <c r="A501" s="57"/>
      <c r="B501" s="61" t="s">
        <v>84</v>
      </c>
      <c r="C501" s="62" t="s">
        <v>77</v>
      </c>
      <c r="D501" s="49">
        <v>0</v>
      </c>
      <c r="E501" s="609">
        <f t="shared" si="7"/>
        <v>0</v>
      </c>
      <c r="F501" s="607"/>
      <c r="G501" s="607"/>
    </row>
    <row r="502" spans="1:7" s="14" customFormat="1" ht="34.5" hidden="1" customHeight="1" outlineLevel="2" x14ac:dyDescent="0.25">
      <c r="A502" s="57"/>
      <c r="B502" s="61" t="s">
        <v>85</v>
      </c>
      <c r="C502" s="62" t="s">
        <v>77</v>
      </c>
      <c r="D502" s="49">
        <v>0</v>
      </c>
      <c r="E502" s="609">
        <f t="shared" si="7"/>
        <v>0</v>
      </c>
      <c r="F502" s="607"/>
      <c r="G502" s="607"/>
    </row>
    <row r="503" spans="1:7" s="14" customFormat="1" ht="34.5" hidden="1" customHeight="1" outlineLevel="2" x14ac:dyDescent="0.25">
      <c r="A503" s="57"/>
      <c r="B503" s="61" t="s">
        <v>86</v>
      </c>
      <c r="C503" s="62" t="s">
        <v>77</v>
      </c>
      <c r="D503" s="49">
        <v>0</v>
      </c>
      <c r="E503" s="609">
        <f t="shared" si="7"/>
        <v>0</v>
      </c>
      <c r="F503" s="607"/>
      <c r="G503" s="607"/>
    </row>
    <row r="504" spans="1:7" s="14" customFormat="1" ht="34.5" hidden="1" customHeight="1" outlineLevel="2" x14ac:dyDescent="0.25">
      <c r="A504" s="57"/>
      <c r="B504" s="61" t="s">
        <v>87</v>
      </c>
      <c r="C504" s="62" t="s">
        <v>77</v>
      </c>
      <c r="D504" s="49">
        <v>0</v>
      </c>
      <c r="E504" s="609">
        <f t="shared" si="7"/>
        <v>0</v>
      </c>
      <c r="F504" s="607"/>
      <c r="G504" s="607"/>
    </row>
    <row r="505" spans="1:7" s="14" customFormat="1" ht="34.5" hidden="1" customHeight="1" outlineLevel="2" x14ac:dyDescent="0.25">
      <c r="A505" s="57"/>
      <c r="B505" s="61" t="s">
        <v>984</v>
      </c>
      <c r="C505" s="63" t="s">
        <v>10</v>
      </c>
      <c r="D505" s="49">
        <v>0</v>
      </c>
      <c r="E505" s="609">
        <f t="shared" si="7"/>
        <v>0</v>
      </c>
      <c r="F505" s="607"/>
      <c r="G505" s="607"/>
    </row>
    <row r="506" spans="1:7" s="14" customFormat="1" ht="34.5" hidden="1" customHeight="1" outlineLevel="2" x14ac:dyDescent="0.25">
      <c r="A506" s="57"/>
      <c r="B506" s="61" t="s">
        <v>102</v>
      </c>
      <c r="C506" s="63" t="s">
        <v>68</v>
      </c>
      <c r="D506" s="49"/>
      <c r="E506" s="609">
        <f t="shared" si="7"/>
        <v>0</v>
      </c>
      <c r="F506" s="607"/>
      <c r="G506" s="607"/>
    </row>
    <row r="507" spans="1:7" s="14" customFormat="1" ht="34.5" hidden="1" customHeight="1" outlineLevel="2" x14ac:dyDescent="0.25">
      <c r="A507" s="57"/>
      <c r="B507" s="61" t="s">
        <v>1040</v>
      </c>
      <c r="C507" s="63" t="s">
        <v>68</v>
      </c>
      <c r="D507" s="49">
        <v>0</v>
      </c>
      <c r="E507" s="609">
        <f t="shared" si="7"/>
        <v>0</v>
      </c>
      <c r="F507" s="607"/>
      <c r="G507" s="607"/>
    </row>
    <row r="508" spans="1:7" s="14" customFormat="1" ht="34.5" hidden="1" customHeight="1" outlineLevel="2" x14ac:dyDescent="0.25">
      <c r="A508" s="57"/>
      <c r="B508" s="64" t="s">
        <v>985</v>
      </c>
      <c r="C508" s="59" t="s">
        <v>134</v>
      </c>
      <c r="D508" s="49"/>
      <c r="E508" s="609">
        <f t="shared" si="7"/>
        <v>0</v>
      </c>
      <c r="F508" s="607"/>
      <c r="G508" s="607"/>
    </row>
    <row r="509" spans="1:7" s="14" customFormat="1" ht="34.5" hidden="1" customHeight="1" outlineLevel="2" x14ac:dyDescent="0.25">
      <c r="A509" s="57"/>
      <c r="B509" s="76" t="s">
        <v>986</v>
      </c>
      <c r="C509" s="62" t="s">
        <v>77</v>
      </c>
      <c r="D509" s="49">
        <v>0</v>
      </c>
      <c r="E509" s="609">
        <f t="shared" si="7"/>
        <v>0</v>
      </c>
      <c r="F509" s="607"/>
      <c r="G509" s="607"/>
    </row>
    <row r="510" spans="1:7" s="14" customFormat="1" ht="34.5" hidden="1" customHeight="1" outlineLevel="2" x14ac:dyDescent="0.25">
      <c r="A510" s="57"/>
      <c r="B510" s="76" t="s">
        <v>987</v>
      </c>
      <c r="C510" s="62" t="s">
        <v>124</v>
      </c>
      <c r="D510" s="49">
        <v>0</v>
      </c>
      <c r="E510" s="609">
        <f t="shared" si="7"/>
        <v>0</v>
      </c>
      <c r="F510" s="607"/>
      <c r="G510" s="607"/>
    </row>
    <row r="511" spans="1:7" s="14" customFormat="1" ht="34.5" hidden="1" customHeight="1" outlineLevel="2" x14ac:dyDescent="0.25">
      <c r="A511" s="57"/>
      <c r="B511" s="76" t="s">
        <v>988</v>
      </c>
      <c r="C511" s="62" t="s">
        <v>124</v>
      </c>
      <c r="D511" s="49">
        <v>0</v>
      </c>
      <c r="E511" s="609">
        <f t="shared" si="7"/>
        <v>0</v>
      </c>
      <c r="F511" s="607"/>
      <c r="G511" s="607"/>
    </row>
    <row r="512" spans="1:7" s="14" customFormat="1" ht="34.5" hidden="1" customHeight="1" outlineLevel="2" x14ac:dyDescent="0.25">
      <c r="A512" s="57"/>
      <c r="B512" s="61" t="s">
        <v>989</v>
      </c>
      <c r="C512" s="63" t="s">
        <v>78</v>
      </c>
      <c r="D512" s="49">
        <v>0</v>
      </c>
      <c r="E512" s="609">
        <f t="shared" si="7"/>
        <v>0</v>
      </c>
      <c r="F512" s="607"/>
      <c r="G512" s="607"/>
    </row>
    <row r="513" spans="1:7" s="14" customFormat="1" ht="34.5" hidden="1" customHeight="1" outlineLevel="2" x14ac:dyDescent="0.25">
      <c r="A513" s="57"/>
      <c r="B513" s="61" t="s">
        <v>990</v>
      </c>
      <c r="C513" s="63" t="s">
        <v>78</v>
      </c>
      <c r="D513" s="49">
        <v>0</v>
      </c>
      <c r="E513" s="609">
        <f t="shared" si="7"/>
        <v>0</v>
      </c>
      <c r="F513" s="607"/>
      <c r="G513" s="607"/>
    </row>
    <row r="514" spans="1:7" s="14" customFormat="1" ht="34.5" hidden="1" customHeight="1" outlineLevel="2" x14ac:dyDescent="0.25">
      <c r="A514" s="57"/>
      <c r="B514" s="76" t="s">
        <v>991</v>
      </c>
      <c r="C514" s="62" t="s">
        <v>10</v>
      </c>
      <c r="D514" s="49">
        <v>0</v>
      </c>
      <c r="E514" s="609">
        <f t="shared" si="7"/>
        <v>0</v>
      </c>
      <c r="F514" s="607"/>
      <c r="G514" s="607"/>
    </row>
    <row r="515" spans="1:7" s="14" customFormat="1" ht="34.5" hidden="1" customHeight="1" outlineLevel="1" collapsed="1" x14ac:dyDescent="0.25">
      <c r="A515" s="57">
        <v>25</v>
      </c>
      <c r="B515" s="58" t="s">
        <v>1041</v>
      </c>
      <c r="C515" s="57" t="s">
        <v>970</v>
      </c>
      <c r="D515" s="49">
        <v>1</v>
      </c>
      <c r="E515" s="609">
        <f t="shared" si="7"/>
        <v>1</v>
      </c>
      <c r="F515" s="607"/>
      <c r="G515" s="607"/>
    </row>
    <row r="516" spans="1:7" s="14" customFormat="1" ht="34.5" hidden="1" customHeight="1" outlineLevel="2" x14ac:dyDescent="0.25">
      <c r="A516" s="57"/>
      <c r="B516" s="64" t="s">
        <v>1042</v>
      </c>
      <c r="C516" s="60" t="s">
        <v>970</v>
      </c>
      <c r="D516" s="49">
        <v>1</v>
      </c>
      <c r="E516" s="609">
        <f t="shared" si="7"/>
        <v>1</v>
      </c>
      <c r="F516" s="607"/>
      <c r="G516" s="607"/>
    </row>
    <row r="517" spans="1:7" s="14" customFormat="1" ht="34.5" hidden="1" customHeight="1" outlineLevel="2" x14ac:dyDescent="0.25">
      <c r="A517" s="57"/>
      <c r="B517" s="61" t="s">
        <v>105</v>
      </c>
      <c r="C517" s="62" t="s">
        <v>77</v>
      </c>
      <c r="D517" s="49">
        <v>0.41550999999999999</v>
      </c>
      <c r="E517" s="609">
        <f t="shared" si="7"/>
        <v>0.41550999999999999</v>
      </c>
      <c r="F517" s="607"/>
      <c r="G517" s="607"/>
    </row>
    <row r="518" spans="1:7" s="14" customFormat="1" ht="34.5" hidden="1" customHeight="1" outlineLevel="2" x14ac:dyDescent="0.25">
      <c r="A518" s="57"/>
      <c r="B518" s="61" t="s">
        <v>83</v>
      </c>
      <c r="C518" s="62" t="s">
        <v>77</v>
      </c>
      <c r="D518" s="49">
        <v>0.88373999999999997</v>
      </c>
      <c r="E518" s="609">
        <f t="shared" si="7"/>
        <v>0.88373999999999997</v>
      </c>
      <c r="F518" s="607"/>
      <c r="G518" s="607"/>
    </row>
    <row r="519" spans="1:7" s="14" customFormat="1" ht="34.5" hidden="1" customHeight="1" outlineLevel="2" x14ac:dyDescent="0.25">
      <c r="A519" s="57"/>
      <c r="B519" s="61" t="s">
        <v>84</v>
      </c>
      <c r="C519" s="62" t="s">
        <v>77</v>
      </c>
      <c r="D519" s="49">
        <v>0.17</v>
      </c>
      <c r="E519" s="609">
        <f t="shared" si="7"/>
        <v>0.17</v>
      </c>
      <c r="F519" s="607"/>
      <c r="G519" s="607"/>
    </row>
    <row r="520" spans="1:7" s="14" customFormat="1" ht="34.5" hidden="1" customHeight="1" outlineLevel="2" x14ac:dyDescent="0.25">
      <c r="A520" s="57"/>
      <c r="B520" s="61" t="s">
        <v>85</v>
      </c>
      <c r="C520" s="62" t="s">
        <v>77</v>
      </c>
      <c r="D520" s="49">
        <v>0.54588000000000003</v>
      </c>
      <c r="E520" s="609">
        <f t="shared" si="7"/>
        <v>0.54588000000000003</v>
      </c>
      <c r="F520" s="607"/>
      <c r="G520" s="607"/>
    </row>
    <row r="521" spans="1:7" s="14" customFormat="1" ht="34.5" hidden="1" customHeight="1" outlineLevel="2" x14ac:dyDescent="0.25">
      <c r="A521" s="57"/>
      <c r="B521" s="61" t="s">
        <v>86</v>
      </c>
      <c r="C521" s="62" t="s">
        <v>77</v>
      </c>
      <c r="D521" s="49">
        <v>0.64742999999999995</v>
      </c>
      <c r="E521" s="609">
        <f t="shared" si="7"/>
        <v>0.64742999999999995</v>
      </c>
      <c r="F521" s="607"/>
      <c r="G521" s="607"/>
    </row>
    <row r="522" spans="1:7" s="14" customFormat="1" ht="34.5" hidden="1" customHeight="1" outlineLevel="2" x14ac:dyDescent="0.25">
      <c r="A522" s="57"/>
      <c r="B522" s="61" t="s">
        <v>87</v>
      </c>
      <c r="C522" s="62" t="s">
        <v>77</v>
      </c>
      <c r="D522" s="49">
        <v>1.2859</v>
      </c>
      <c r="E522" s="609">
        <f t="shared" si="7"/>
        <v>1.2859</v>
      </c>
      <c r="F522" s="607"/>
      <c r="G522" s="607"/>
    </row>
    <row r="523" spans="1:7" s="14" customFormat="1" ht="34.5" hidden="1" customHeight="1" outlineLevel="2" x14ac:dyDescent="0.25">
      <c r="A523" s="57"/>
      <c r="B523" s="61" t="s">
        <v>984</v>
      </c>
      <c r="C523" s="63" t="s">
        <v>10</v>
      </c>
      <c r="D523" s="49">
        <v>14.01</v>
      </c>
      <c r="E523" s="609">
        <f t="shared" si="7"/>
        <v>14.01</v>
      </c>
      <c r="F523" s="607"/>
      <c r="G523" s="607"/>
    </row>
    <row r="524" spans="1:7" s="14" customFormat="1" ht="34.5" hidden="1" customHeight="1" outlineLevel="2" x14ac:dyDescent="0.25">
      <c r="A524" s="57"/>
      <c r="B524" s="61" t="s">
        <v>102</v>
      </c>
      <c r="C524" s="63" t="s">
        <v>68</v>
      </c>
      <c r="D524" s="49">
        <v>61</v>
      </c>
      <c r="E524" s="609">
        <f t="shared" si="7"/>
        <v>61</v>
      </c>
      <c r="F524" s="607"/>
      <c r="G524" s="607"/>
    </row>
    <row r="525" spans="1:7" s="14" customFormat="1" ht="34.5" hidden="1" customHeight="1" outlineLevel="2" x14ac:dyDescent="0.25">
      <c r="A525" s="57"/>
      <c r="B525" s="61" t="s">
        <v>1040</v>
      </c>
      <c r="C525" s="63" t="s">
        <v>68</v>
      </c>
      <c r="D525" s="49">
        <v>0</v>
      </c>
      <c r="E525" s="609">
        <f t="shared" si="7"/>
        <v>0</v>
      </c>
      <c r="F525" s="607"/>
      <c r="G525" s="607"/>
    </row>
    <row r="526" spans="1:7" s="14" customFormat="1" ht="34.5" hidden="1" customHeight="1" outlineLevel="2" x14ac:dyDescent="0.25">
      <c r="A526" s="57"/>
      <c r="B526" s="64" t="s">
        <v>985</v>
      </c>
      <c r="C526" s="59" t="s">
        <v>134</v>
      </c>
      <c r="D526" s="52">
        <v>1</v>
      </c>
      <c r="E526" s="609">
        <f t="shared" si="7"/>
        <v>1</v>
      </c>
      <c r="F526" s="607"/>
      <c r="G526" s="607"/>
    </row>
    <row r="527" spans="1:7" s="14" customFormat="1" ht="34.5" hidden="1" customHeight="1" outlineLevel="2" x14ac:dyDescent="0.25">
      <c r="A527" s="57"/>
      <c r="B527" s="76" t="s">
        <v>986</v>
      </c>
      <c r="C527" s="62" t="s">
        <v>77</v>
      </c>
      <c r="D527" s="49">
        <v>6.6857990000000003</v>
      </c>
      <c r="E527" s="609">
        <f t="shared" si="7"/>
        <v>6.6857990000000003</v>
      </c>
      <c r="F527" s="607"/>
      <c r="G527" s="607"/>
    </row>
    <row r="528" spans="1:7" s="14" customFormat="1" ht="34.5" hidden="1" customHeight="1" outlineLevel="2" x14ac:dyDescent="0.25">
      <c r="A528" s="57"/>
      <c r="B528" s="76" t="s">
        <v>987</v>
      </c>
      <c r="C528" s="62" t="s">
        <v>124</v>
      </c>
      <c r="D528" s="49">
        <v>28</v>
      </c>
      <c r="E528" s="609">
        <f t="shared" ref="E528:E591" si="8">D528</f>
        <v>28</v>
      </c>
      <c r="F528" s="607"/>
      <c r="G528" s="607"/>
    </row>
    <row r="529" spans="1:7" s="14" customFormat="1" ht="34.5" hidden="1" customHeight="1" outlineLevel="2" x14ac:dyDescent="0.25">
      <c r="A529" s="57"/>
      <c r="B529" s="76" t="s">
        <v>988</v>
      </c>
      <c r="C529" s="62" t="s">
        <v>124</v>
      </c>
      <c r="D529" s="49">
        <v>0</v>
      </c>
      <c r="E529" s="609">
        <f t="shared" si="8"/>
        <v>0</v>
      </c>
      <c r="F529" s="607"/>
      <c r="G529" s="607"/>
    </row>
    <row r="530" spans="1:7" s="14" customFormat="1" ht="34.5" hidden="1" customHeight="1" outlineLevel="2" x14ac:dyDescent="0.25">
      <c r="A530" s="57"/>
      <c r="B530" s="61" t="s">
        <v>989</v>
      </c>
      <c r="C530" s="63" t="s">
        <v>78</v>
      </c>
      <c r="D530" s="49">
        <v>28</v>
      </c>
      <c r="E530" s="609">
        <f t="shared" si="8"/>
        <v>28</v>
      </c>
      <c r="F530" s="607"/>
      <c r="G530" s="607"/>
    </row>
    <row r="531" spans="1:7" s="14" customFormat="1" ht="34.5" hidden="1" customHeight="1" outlineLevel="2" x14ac:dyDescent="0.25">
      <c r="A531" s="57"/>
      <c r="B531" s="61" t="s">
        <v>990</v>
      </c>
      <c r="C531" s="63" t="s">
        <v>78</v>
      </c>
      <c r="D531" s="49">
        <v>28</v>
      </c>
      <c r="E531" s="609">
        <f t="shared" si="8"/>
        <v>28</v>
      </c>
      <c r="F531" s="607"/>
      <c r="G531" s="607"/>
    </row>
    <row r="532" spans="1:7" s="14" customFormat="1" ht="34.5" hidden="1" customHeight="1" outlineLevel="2" x14ac:dyDescent="0.25">
      <c r="A532" s="57"/>
      <c r="B532" s="76" t="s">
        <v>991</v>
      </c>
      <c r="C532" s="62" t="s">
        <v>10</v>
      </c>
      <c r="D532" s="49">
        <v>0.13100000000000001</v>
      </c>
      <c r="E532" s="609">
        <f t="shared" si="8"/>
        <v>0.13100000000000001</v>
      </c>
      <c r="F532" s="607"/>
      <c r="G532" s="607"/>
    </row>
    <row r="533" spans="1:7" s="14" customFormat="1" ht="34.5" hidden="1" customHeight="1" outlineLevel="1" collapsed="1" x14ac:dyDescent="0.25">
      <c r="A533" s="57">
        <v>26</v>
      </c>
      <c r="B533" s="58" t="s">
        <v>1043</v>
      </c>
      <c r="C533" s="57" t="s">
        <v>970</v>
      </c>
      <c r="D533" s="52">
        <v>1</v>
      </c>
      <c r="E533" s="609">
        <f t="shared" si="8"/>
        <v>1</v>
      </c>
      <c r="F533" s="607"/>
      <c r="G533" s="607"/>
    </row>
    <row r="534" spans="1:7" s="14" customFormat="1" ht="34.5" hidden="1" customHeight="1" outlineLevel="2" x14ac:dyDescent="0.25">
      <c r="A534" s="57"/>
      <c r="B534" s="61" t="s">
        <v>82</v>
      </c>
      <c r="C534" s="62" t="s">
        <v>77</v>
      </c>
      <c r="D534" s="49">
        <v>6.2340000000000007E-2</v>
      </c>
      <c r="E534" s="609">
        <f t="shared" si="8"/>
        <v>6.2340000000000007E-2</v>
      </c>
      <c r="F534" s="607"/>
      <c r="G534" s="607"/>
    </row>
    <row r="535" spans="1:7" s="14" customFormat="1" ht="34.5" hidden="1" customHeight="1" outlineLevel="2" x14ac:dyDescent="0.25">
      <c r="A535" s="57"/>
      <c r="B535" s="61" t="s">
        <v>105</v>
      </c>
      <c r="C535" s="62" t="s">
        <v>77</v>
      </c>
      <c r="D535" s="49">
        <v>1.8369000000000002</v>
      </c>
      <c r="E535" s="609">
        <f t="shared" si="8"/>
        <v>1.8369000000000002</v>
      </c>
      <c r="F535" s="607"/>
      <c r="G535" s="607"/>
    </row>
    <row r="536" spans="1:7" s="14" customFormat="1" ht="34.5" hidden="1" customHeight="1" outlineLevel="2" x14ac:dyDescent="0.25">
      <c r="A536" s="57"/>
      <c r="B536" s="61" t="s">
        <v>83</v>
      </c>
      <c r="C536" s="62" t="s">
        <v>77</v>
      </c>
      <c r="D536" s="49">
        <v>5.1370800000000001</v>
      </c>
      <c r="E536" s="609">
        <f t="shared" si="8"/>
        <v>5.1370800000000001</v>
      </c>
      <c r="F536" s="607"/>
      <c r="G536" s="607"/>
    </row>
    <row r="537" spans="1:7" s="14" customFormat="1" ht="34.5" hidden="1" customHeight="1" outlineLevel="2" x14ac:dyDescent="0.25">
      <c r="A537" s="57"/>
      <c r="B537" s="61" t="s">
        <v>84</v>
      </c>
      <c r="C537" s="62" t="s">
        <v>77</v>
      </c>
      <c r="D537" s="49">
        <v>0.53</v>
      </c>
      <c r="E537" s="609">
        <f t="shared" si="8"/>
        <v>0.53</v>
      </c>
      <c r="F537" s="607"/>
      <c r="G537" s="607"/>
    </row>
    <row r="538" spans="1:7" s="14" customFormat="1" ht="34.5" hidden="1" customHeight="1" outlineLevel="2" x14ac:dyDescent="0.25">
      <c r="A538" s="57"/>
      <c r="B538" s="61" t="s">
        <v>85</v>
      </c>
      <c r="C538" s="62" t="s">
        <v>77</v>
      </c>
      <c r="D538" s="49">
        <v>2.2484499999999996</v>
      </c>
      <c r="E538" s="609">
        <f t="shared" si="8"/>
        <v>2.2484499999999996</v>
      </c>
      <c r="F538" s="607"/>
      <c r="G538" s="607"/>
    </row>
    <row r="539" spans="1:7" s="14" customFormat="1" ht="34.5" hidden="1" customHeight="1" outlineLevel="2" x14ac:dyDescent="0.25">
      <c r="A539" s="57"/>
      <c r="B539" s="61" t="s">
        <v>86</v>
      </c>
      <c r="C539" s="62" t="s">
        <v>77</v>
      </c>
      <c r="D539" s="49">
        <v>2.0184700000000002</v>
      </c>
      <c r="E539" s="609">
        <f t="shared" si="8"/>
        <v>2.0184700000000002</v>
      </c>
      <c r="F539" s="607"/>
      <c r="G539" s="607"/>
    </row>
    <row r="540" spans="1:7" s="14" customFormat="1" ht="34.5" hidden="1" customHeight="1" outlineLevel="2" x14ac:dyDescent="0.25">
      <c r="A540" s="57"/>
      <c r="B540" s="61" t="s">
        <v>87</v>
      </c>
      <c r="C540" s="62" t="s">
        <v>77</v>
      </c>
      <c r="D540" s="49">
        <v>5.6714899999999995</v>
      </c>
      <c r="E540" s="609">
        <f t="shared" si="8"/>
        <v>5.6714899999999995</v>
      </c>
      <c r="F540" s="607"/>
      <c r="G540" s="607"/>
    </row>
    <row r="541" spans="1:7" s="14" customFormat="1" ht="34.5" hidden="1" customHeight="1" outlineLevel="2" x14ac:dyDescent="0.25">
      <c r="A541" s="57"/>
      <c r="B541" s="61" t="s">
        <v>984</v>
      </c>
      <c r="C541" s="63" t="s">
        <v>10</v>
      </c>
      <c r="D541" s="49">
        <v>0</v>
      </c>
      <c r="E541" s="609">
        <f t="shared" si="8"/>
        <v>0</v>
      </c>
      <c r="F541" s="607"/>
      <c r="G541" s="607"/>
    </row>
    <row r="542" spans="1:7" s="14" customFormat="1" ht="34.5" hidden="1" customHeight="1" outlineLevel="2" x14ac:dyDescent="0.25">
      <c r="A542" s="57"/>
      <c r="B542" s="61" t="s">
        <v>984</v>
      </c>
      <c r="C542" s="63" t="s">
        <v>10</v>
      </c>
      <c r="D542" s="49">
        <v>0</v>
      </c>
      <c r="E542" s="609">
        <f t="shared" si="8"/>
        <v>0</v>
      </c>
      <c r="F542" s="607"/>
      <c r="G542" s="607"/>
    </row>
    <row r="543" spans="1:7" s="14" customFormat="1" ht="34.5" hidden="1" customHeight="1" outlineLevel="2" x14ac:dyDescent="0.25">
      <c r="A543" s="57"/>
      <c r="B543" s="61" t="s">
        <v>984</v>
      </c>
      <c r="C543" s="63" t="s">
        <v>10</v>
      </c>
      <c r="D543" s="49">
        <v>82.49</v>
      </c>
      <c r="E543" s="609">
        <f t="shared" si="8"/>
        <v>82.49</v>
      </c>
      <c r="F543" s="607"/>
      <c r="G543" s="607"/>
    </row>
    <row r="544" spans="1:7" s="14" customFormat="1" ht="34.5" hidden="1" customHeight="1" outlineLevel="2" x14ac:dyDescent="0.25">
      <c r="A544" s="57"/>
      <c r="B544" s="61" t="s">
        <v>102</v>
      </c>
      <c r="C544" s="62" t="s">
        <v>66</v>
      </c>
      <c r="D544" s="49">
        <v>2.3456999999999999</v>
      </c>
      <c r="E544" s="609">
        <f t="shared" si="8"/>
        <v>2.3456999999999999</v>
      </c>
      <c r="F544" s="607"/>
      <c r="G544" s="607"/>
    </row>
    <row r="545" spans="1:7" s="14" customFormat="1" ht="34.5" hidden="1" customHeight="1" outlineLevel="2" x14ac:dyDescent="0.25">
      <c r="A545" s="57"/>
      <c r="B545" s="64" t="s">
        <v>985</v>
      </c>
      <c r="C545" s="59" t="s">
        <v>134</v>
      </c>
      <c r="D545" s="52">
        <v>1</v>
      </c>
      <c r="E545" s="609">
        <f t="shared" si="8"/>
        <v>1</v>
      </c>
      <c r="F545" s="607"/>
      <c r="G545" s="607"/>
    </row>
    <row r="546" spans="1:7" s="14" customFormat="1" ht="34.5" hidden="1" customHeight="1" outlineLevel="2" x14ac:dyDescent="0.25">
      <c r="A546" s="57"/>
      <c r="B546" s="76" t="s">
        <v>987</v>
      </c>
      <c r="C546" s="62" t="s">
        <v>124</v>
      </c>
      <c r="D546" s="49">
        <v>116.9</v>
      </c>
      <c r="E546" s="609">
        <f t="shared" si="8"/>
        <v>116.9</v>
      </c>
      <c r="F546" s="607"/>
      <c r="G546" s="607"/>
    </row>
    <row r="547" spans="1:7" s="14" customFormat="1" ht="34.5" hidden="1" customHeight="1" outlineLevel="2" x14ac:dyDescent="0.25">
      <c r="A547" s="57"/>
      <c r="B547" s="76" t="s">
        <v>991</v>
      </c>
      <c r="C547" s="62" t="s">
        <v>10</v>
      </c>
      <c r="D547" s="49">
        <v>0.54700000000000004</v>
      </c>
      <c r="E547" s="609">
        <f t="shared" si="8"/>
        <v>0.54700000000000004</v>
      </c>
      <c r="F547" s="607"/>
      <c r="G547" s="607"/>
    </row>
    <row r="548" spans="1:7" s="14" customFormat="1" ht="34.5" hidden="1" customHeight="1" outlineLevel="1" collapsed="1" x14ac:dyDescent="0.25">
      <c r="A548" s="57">
        <v>27</v>
      </c>
      <c r="B548" s="58" t="s">
        <v>1044</v>
      </c>
      <c r="C548" s="59" t="s">
        <v>134</v>
      </c>
      <c r="D548" s="52"/>
      <c r="E548" s="609">
        <f t="shared" si="8"/>
        <v>0</v>
      </c>
      <c r="F548" s="607"/>
      <c r="G548" s="607"/>
    </row>
    <row r="549" spans="1:7" s="14" customFormat="1" ht="34.5" hidden="1" customHeight="1" outlineLevel="2" x14ac:dyDescent="0.25">
      <c r="A549" s="57"/>
      <c r="B549" s="76" t="s">
        <v>1045</v>
      </c>
      <c r="C549" s="62" t="s">
        <v>78</v>
      </c>
      <c r="D549" s="49">
        <v>1</v>
      </c>
      <c r="E549" s="609">
        <f t="shared" si="8"/>
        <v>1</v>
      </c>
      <c r="F549" s="607"/>
      <c r="G549" s="607"/>
    </row>
    <row r="550" spans="1:7" s="14" customFormat="1" ht="34.5" hidden="1" customHeight="1" outlineLevel="2" x14ac:dyDescent="0.25">
      <c r="A550" s="57"/>
      <c r="B550" s="76" t="s">
        <v>1046</v>
      </c>
      <c r="C550" s="62" t="s">
        <v>78</v>
      </c>
      <c r="D550" s="49">
        <v>1</v>
      </c>
      <c r="E550" s="609">
        <f t="shared" si="8"/>
        <v>1</v>
      </c>
      <c r="F550" s="607"/>
      <c r="G550" s="607"/>
    </row>
    <row r="551" spans="1:7" s="14" customFormat="1" ht="34.5" hidden="1" customHeight="1" outlineLevel="1" collapsed="1" x14ac:dyDescent="0.25">
      <c r="A551" s="57">
        <v>28</v>
      </c>
      <c r="B551" s="58" t="s">
        <v>1047</v>
      </c>
      <c r="C551" s="59" t="s">
        <v>134</v>
      </c>
      <c r="D551" s="49">
        <v>1</v>
      </c>
      <c r="E551" s="609">
        <f t="shared" si="8"/>
        <v>1</v>
      </c>
      <c r="F551" s="607"/>
      <c r="G551" s="607"/>
    </row>
    <row r="552" spans="1:7" s="14" customFormat="1" ht="34.5" hidden="1" customHeight="1" outlineLevel="1" x14ac:dyDescent="0.25">
      <c r="A552" s="57"/>
      <c r="B552" s="76" t="s">
        <v>1048</v>
      </c>
      <c r="C552" s="63" t="s">
        <v>68</v>
      </c>
      <c r="D552" s="49"/>
      <c r="E552" s="609">
        <f t="shared" si="8"/>
        <v>0</v>
      </c>
      <c r="F552" s="607"/>
      <c r="G552" s="607"/>
    </row>
    <row r="553" spans="1:7" s="14" customFormat="1" ht="34.5" hidden="1" customHeight="1" outlineLevel="1" x14ac:dyDescent="0.25">
      <c r="A553" s="57"/>
      <c r="B553" s="76" t="s">
        <v>955</v>
      </c>
      <c r="C553" s="63" t="s">
        <v>66</v>
      </c>
      <c r="D553" s="49"/>
      <c r="E553" s="609">
        <f t="shared" si="8"/>
        <v>0</v>
      </c>
      <c r="F553" s="607"/>
      <c r="G553" s="607"/>
    </row>
    <row r="554" spans="1:7" s="14" customFormat="1" ht="34.5" hidden="1" customHeight="1" outlineLevel="1" x14ac:dyDescent="0.25">
      <c r="A554" s="57"/>
      <c r="B554" s="76" t="s">
        <v>956</v>
      </c>
      <c r="C554" s="62" t="s">
        <v>68</v>
      </c>
      <c r="D554" s="49">
        <v>1035.0999999999999</v>
      </c>
      <c r="E554" s="609">
        <f t="shared" si="8"/>
        <v>1035.0999999999999</v>
      </c>
      <c r="F554" s="607"/>
      <c r="G554" s="607"/>
    </row>
    <row r="555" spans="1:7" s="923" customFormat="1" ht="34.5" customHeight="1" collapsed="1" x14ac:dyDescent="0.25">
      <c r="A555" s="919" t="s">
        <v>915</v>
      </c>
      <c r="B555" s="920" t="s">
        <v>921</v>
      </c>
      <c r="C555" s="921"/>
      <c r="D555" s="922"/>
      <c r="E555" s="917">
        <f t="shared" si="8"/>
        <v>0</v>
      </c>
      <c r="F555" s="918"/>
      <c r="G555" s="918"/>
    </row>
    <row r="556" spans="1:7" s="923" customFormat="1" ht="34.5" customHeight="1" outlineLevel="1" x14ac:dyDescent="0.25">
      <c r="A556" s="919">
        <v>1</v>
      </c>
      <c r="B556" s="920" t="s">
        <v>922</v>
      </c>
      <c r="C556" s="921" t="s">
        <v>919</v>
      </c>
      <c r="D556" s="924">
        <v>20</v>
      </c>
      <c r="E556" s="917">
        <f t="shared" si="8"/>
        <v>20</v>
      </c>
      <c r="F556" s="918"/>
      <c r="G556" s="918"/>
    </row>
    <row r="557" spans="1:7" s="14" customFormat="1" ht="34.5" customHeight="1" outlineLevel="2" x14ac:dyDescent="0.25">
      <c r="A557" s="125"/>
      <c r="B557" s="292" t="s">
        <v>923</v>
      </c>
      <c r="C557" s="125" t="s">
        <v>920</v>
      </c>
      <c r="D557" s="298">
        <v>6</v>
      </c>
      <c r="E557" s="609">
        <f t="shared" si="8"/>
        <v>6</v>
      </c>
      <c r="F557" s="607" t="s">
        <v>418</v>
      </c>
      <c r="G557" s="873" t="s">
        <v>1147</v>
      </c>
    </row>
    <row r="558" spans="1:7" s="14" customFormat="1" ht="34.5" customHeight="1" outlineLevel="2" x14ac:dyDescent="0.25">
      <c r="A558" s="125"/>
      <c r="B558" s="299" t="s">
        <v>924</v>
      </c>
      <c r="C558" s="295" t="s">
        <v>77</v>
      </c>
      <c r="D558" s="293">
        <v>10.91268</v>
      </c>
      <c r="E558" s="609">
        <f t="shared" si="8"/>
        <v>10.91268</v>
      </c>
      <c r="F558" s="607" t="s">
        <v>418</v>
      </c>
      <c r="G558" s="873" t="s">
        <v>1147</v>
      </c>
    </row>
    <row r="559" spans="1:7" s="14" customFormat="1" ht="34.5" customHeight="1" outlineLevel="2" x14ac:dyDescent="0.25">
      <c r="A559" s="125"/>
      <c r="B559" s="299" t="s">
        <v>925</v>
      </c>
      <c r="C559" s="295" t="s">
        <v>124</v>
      </c>
      <c r="D559" s="293">
        <v>1042.32</v>
      </c>
      <c r="E559" s="609">
        <f t="shared" si="8"/>
        <v>1042.32</v>
      </c>
      <c r="F559" s="607" t="s">
        <v>418</v>
      </c>
      <c r="G559" s="873" t="s">
        <v>1147</v>
      </c>
    </row>
    <row r="560" spans="1:7" s="14" customFormat="1" ht="34.5" customHeight="1" outlineLevel="2" x14ac:dyDescent="0.25">
      <c r="A560" s="125"/>
      <c r="B560" s="299" t="s">
        <v>916</v>
      </c>
      <c r="C560" s="296" t="s">
        <v>78</v>
      </c>
      <c r="D560" s="293">
        <v>60</v>
      </c>
      <c r="E560" s="609">
        <f t="shared" si="8"/>
        <v>60</v>
      </c>
      <c r="F560" s="607" t="s">
        <v>418</v>
      </c>
      <c r="G560" s="873" t="s">
        <v>1147</v>
      </c>
    </row>
    <row r="561" spans="1:7" s="14" customFormat="1" ht="34.5" customHeight="1" outlineLevel="2" x14ac:dyDescent="0.25">
      <c r="A561" s="125"/>
      <c r="B561" s="299" t="s">
        <v>926</v>
      </c>
      <c r="C561" s="295" t="s">
        <v>77</v>
      </c>
      <c r="D561" s="293">
        <v>0.86399999999999999</v>
      </c>
      <c r="E561" s="609">
        <f t="shared" si="8"/>
        <v>0.86399999999999999</v>
      </c>
      <c r="F561" s="607" t="s">
        <v>418</v>
      </c>
      <c r="G561" s="873" t="s">
        <v>1147</v>
      </c>
    </row>
    <row r="562" spans="1:7" s="14" customFormat="1" ht="34.5" customHeight="1" outlineLevel="2" x14ac:dyDescent="0.25">
      <c r="A562" s="125"/>
      <c r="B562" s="299" t="s">
        <v>927</v>
      </c>
      <c r="C562" s="295" t="s">
        <v>77</v>
      </c>
      <c r="D562" s="293">
        <v>0.12251999999999999</v>
      </c>
      <c r="E562" s="609">
        <f t="shared" si="8"/>
        <v>0.12251999999999999</v>
      </c>
      <c r="F562" s="607" t="s">
        <v>418</v>
      </c>
      <c r="G562" s="873" t="s">
        <v>1147</v>
      </c>
    </row>
    <row r="563" spans="1:7" s="14" customFormat="1" ht="34.5" customHeight="1" outlineLevel="2" x14ac:dyDescent="0.25">
      <c r="A563" s="125"/>
      <c r="B563" s="299" t="s">
        <v>928</v>
      </c>
      <c r="C563" s="295" t="s">
        <v>77</v>
      </c>
      <c r="D563" s="293">
        <v>13.805459999999998</v>
      </c>
      <c r="E563" s="609">
        <f t="shared" si="8"/>
        <v>13.805459999999998</v>
      </c>
      <c r="F563" s="607" t="s">
        <v>418</v>
      </c>
      <c r="G563" s="873" t="s">
        <v>1147</v>
      </c>
    </row>
    <row r="564" spans="1:7" s="14" customFormat="1" ht="34.5" customHeight="1" outlineLevel="2" x14ac:dyDescent="0.25">
      <c r="A564" s="125"/>
      <c r="B564" s="299" t="s">
        <v>929</v>
      </c>
      <c r="C564" s="295" t="s">
        <v>77</v>
      </c>
      <c r="D564" s="293">
        <v>12.20166</v>
      </c>
      <c r="E564" s="609">
        <f t="shared" si="8"/>
        <v>12.20166</v>
      </c>
      <c r="F564" s="607" t="s">
        <v>418</v>
      </c>
      <c r="G564" s="873" t="s">
        <v>1147</v>
      </c>
    </row>
    <row r="565" spans="1:7" s="14" customFormat="1" ht="34.5" customHeight="1" outlineLevel="2" x14ac:dyDescent="0.25">
      <c r="A565" s="125"/>
      <c r="B565" s="299" t="s">
        <v>930</v>
      </c>
      <c r="C565" s="295" t="s">
        <v>77</v>
      </c>
      <c r="D565" s="293">
        <v>0.35399999999999998</v>
      </c>
      <c r="E565" s="609">
        <f t="shared" si="8"/>
        <v>0.35399999999999998</v>
      </c>
      <c r="F565" s="607" t="s">
        <v>418</v>
      </c>
      <c r="G565" s="873" t="s">
        <v>1147</v>
      </c>
    </row>
    <row r="566" spans="1:7" s="14" customFormat="1" ht="34.5" customHeight="1" outlineLevel="2" x14ac:dyDescent="0.25">
      <c r="A566" s="125"/>
      <c r="B566" s="299" t="s">
        <v>931</v>
      </c>
      <c r="C566" s="296" t="s">
        <v>10</v>
      </c>
      <c r="D566" s="293">
        <v>158.46</v>
      </c>
      <c r="E566" s="609">
        <f t="shared" si="8"/>
        <v>158.46</v>
      </c>
      <c r="F566" s="607" t="s">
        <v>418</v>
      </c>
      <c r="G566" s="873" t="s">
        <v>1147</v>
      </c>
    </row>
    <row r="567" spans="1:7" s="14" customFormat="1" ht="34.5" customHeight="1" outlineLevel="2" x14ac:dyDescent="0.25">
      <c r="A567" s="125"/>
      <c r="B567" s="299" t="s">
        <v>932</v>
      </c>
      <c r="C567" s="295" t="s">
        <v>10</v>
      </c>
      <c r="D567" s="293">
        <v>3.9</v>
      </c>
      <c r="E567" s="609">
        <f t="shared" si="8"/>
        <v>3.9</v>
      </c>
      <c r="F567" s="607" t="s">
        <v>418</v>
      </c>
      <c r="G567" s="873" t="s">
        <v>1147</v>
      </c>
    </row>
    <row r="568" spans="1:7" s="14" customFormat="1" ht="34.5" customHeight="1" outlineLevel="2" x14ac:dyDescent="0.25">
      <c r="A568" s="125"/>
      <c r="B568" s="299" t="s">
        <v>102</v>
      </c>
      <c r="C568" s="295" t="s">
        <v>68</v>
      </c>
      <c r="D568" s="293">
        <v>1054.6199999999999</v>
      </c>
      <c r="E568" s="609">
        <f t="shared" si="8"/>
        <v>1054.6199999999999</v>
      </c>
      <c r="F568" s="607" t="s">
        <v>418</v>
      </c>
      <c r="G568" s="873" t="s">
        <v>1147</v>
      </c>
    </row>
    <row r="569" spans="1:7" s="923" customFormat="1" ht="34.5" customHeight="1" outlineLevel="2" x14ac:dyDescent="0.25">
      <c r="A569" s="919"/>
      <c r="B569" s="920" t="s">
        <v>933</v>
      </c>
      <c r="C569" s="919" t="s">
        <v>920</v>
      </c>
      <c r="D569" s="924">
        <v>4</v>
      </c>
      <c r="E569" s="917">
        <f t="shared" si="8"/>
        <v>4</v>
      </c>
      <c r="F569" s="918" t="s">
        <v>418</v>
      </c>
      <c r="G569" s="925"/>
    </row>
    <row r="570" spans="1:7" s="14" customFormat="1" ht="34.5" customHeight="1" outlineLevel="2" x14ac:dyDescent="0.25">
      <c r="A570" s="125"/>
      <c r="B570" s="299" t="s">
        <v>924</v>
      </c>
      <c r="C570" s="295" t="s">
        <v>77</v>
      </c>
      <c r="D570" s="293">
        <v>7.2751200000000003</v>
      </c>
      <c r="E570" s="609">
        <f t="shared" si="8"/>
        <v>7.2751200000000003</v>
      </c>
      <c r="F570" s="607" t="s">
        <v>418</v>
      </c>
      <c r="G570" s="873" t="s">
        <v>1147</v>
      </c>
    </row>
    <row r="571" spans="1:7" s="14" customFormat="1" ht="34.5" customHeight="1" outlineLevel="2" x14ac:dyDescent="0.25">
      <c r="A571" s="125"/>
      <c r="B571" s="299" t="s">
        <v>925</v>
      </c>
      <c r="C571" s="295" t="s">
        <v>124</v>
      </c>
      <c r="D571" s="293">
        <v>694.88</v>
      </c>
      <c r="E571" s="609">
        <f t="shared" si="8"/>
        <v>694.88</v>
      </c>
      <c r="F571" s="607" t="s">
        <v>418</v>
      </c>
      <c r="G571" s="873" t="s">
        <v>1147</v>
      </c>
    </row>
    <row r="572" spans="1:7" s="14" customFormat="1" ht="34.5" customHeight="1" outlineLevel="2" x14ac:dyDescent="0.25">
      <c r="A572" s="125"/>
      <c r="B572" s="299" t="s">
        <v>916</v>
      </c>
      <c r="C572" s="296" t="s">
        <v>78</v>
      </c>
      <c r="D572" s="293">
        <v>40</v>
      </c>
      <c r="E572" s="609">
        <f t="shared" si="8"/>
        <v>40</v>
      </c>
      <c r="F572" s="607" t="s">
        <v>418</v>
      </c>
      <c r="G572" s="873" t="s">
        <v>1147</v>
      </c>
    </row>
    <row r="573" spans="1:7" s="14" customFormat="1" ht="34.5" customHeight="1" outlineLevel="2" x14ac:dyDescent="0.25">
      <c r="A573" s="125"/>
      <c r="B573" s="299" t="s">
        <v>926</v>
      </c>
      <c r="C573" s="295" t="s">
        <v>77</v>
      </c>
      <c r="D573" s="293">
        <v>0.57599999999999996</v>
      </c>
      <c r="E573" s="609">
        <f t="shared" si="8"/>
        <v>0.57599999999999996</v>
      </c>
      <c r="F573" s="607" t="s">
        <v>418</v>
      </c>
      <c r="G573" s="873" t="s">
        <v>1147</v>
      </c>
    </row>
    <row r="574" spans="1:7" s="14" customFormat="1" ht="34.5" customHeight="1" outlineLevel="2" x14ac:dyDescent="0.25">
      <c r="A574" s="125"/>
      <c r="B574" s="299" t="s">
        <v>927</v>
      </c>
      <c r="C574" s="295" t="s">
        <v>77</v>
      </c>
      <c r="D574" s="293">
        <v>8.1680000000000003E-2</v>
      </c>
      <c r="E574" s="609">
        <f t="shared" si="8"/>
        <v>8.1680000000000003E-2</v>
      </c>
      <c r="F574" s="607" t="s">
        <v>418</v>
      </c>
      <c r="G574" s="873" t="s">
        <v>1147</v>
      </c>
    </row>
    <row r="575" spans="1:7" s="14" customFormat="1" ht="34.5" customHeight="1" outlineLevel="2" x14ac:dyDescent="0.25">
      <c r="A575" s="125"/>
      <c r="B575" s="299" t="s">
        <v>928</v>
      </c>
      <c r="C575" s="295" t="s">
        <v>77</v>
      </c>
      <c r="D575" s="293">
        <v>9.20364</v>
      </c>
      <c r="E575" s="609">
        <f t="shared" si="8"/>
        <v>9.20364</v>
      </c>
      <c r="F575" s="607" t="s">
        <v>418</v>
      </c>
      <c r="G575" s="873" t="s">
        <v>1147</v>
      </c>
    </row>
    <row r="576" spans="1:7" s="14" customFormat="1" ht="34.5" customHeight="1" outlineLevel="2" x14ac:dyDescent="0.25">
      <c r="A576" s="125"/>
      <c r="B576" s="299" t="s">
        <v>929</v>
      </c>
      <c r="C576" s="295" t="s">
        <v>77</v>
      </c>
      <c r="D576" s="293">
        <v>7.8911199999999999</v>
      </c>
      <c r="E576" s="609">
        <f t="shared" si="8"/>
        <v>7.8911199999999999</v>
      </c>
      <c r="F576" s="607" t="s">
        <v>418</v>
      </c>
      <c r="G576" s="873" t="s">
        <v>1147</v>
      </c>
    </row>
    <row r="577" spans="1:7" s="14" customFormat="1" ht="34.5" customHeight="1" outlineLevel="2" x14ac:dyDescent="0.25">
      <c r="A577" s="125"/>
      <c r="B577" s="299" t="s">
        <v>930</v>
      </c>
      <c r="C577" s="295" t="s">
        <v>77</v>
      </c>
      <c r="D577" s="293">
        <v>0.15736</v>
      </c>
      <c r="E577" s="609">
        <f t="shared" si="8"/>
        <v>0.15736</v>
      </c>
      <c r="F577" s="607" t="s">
        <v>418</v>
      </c>
      <c r="G577" s="873" t="s">
        <v>1147</v>
      </c>
    </row>
    <row r="578" spans="1:7" s="14" customFormat="1" ht="34.5" customHeight="1" outlineLevel="2" x14ac:dyDescent="0.25">
      <c r="A578" s="125"/>
      <c r="B578" s="299" t="s">
        <v>931</v>
      </c>
      <c r="C578" s="296" t="s">
        <v>10</v>
      </c>
      <c r="D578" s="293">
        <v>105.64</v>
      </c>
      <c r="E578" s="609">
        <f t="shared" si="8"/>
        <v>105.64</v>
      </c>
      <c r="F578" s="607" t="s">
        <v>418</v>
      </c>
      <c r="G578" s="873" t="s">
        <v>1147</v>
      </c>
    </row>
    <row r="579" spans="1:7" s="14" customFormat="1" ht="34.5" customHeight="1" outlineLevel="2" x14ac:dyDescent="0.25">
      <c r="A579" s="125"/>
      <c r="B579" s="299" t="s">
        <v>932</v>
      </c>
      <c r="C579" s="295" t="s">
        <v>10</v>
      </c>
      <c r="D579" s="293">
        <v>2.6</v>
      </c>
      <c r="E579" s="609">
        <f t="shared" si="8"/>
        <v>2.6</v>
      </c>
      <c r="F579" s="607" t="s">
        <v>418</v>
      </c>
      <c r="G579" s="873" t="s">
        <v>1147</v>
      </c>
    </row>
    <row r="580" spans="1:7" s="14" customFormat="1" ht="34.5" customHeight="1" outlineLevel="2" x14ac:dyDescent="0.25">
      <c r="A580" s="125"/>
      <c r="B580" s="299" t="s">
        <v>102</v>
      </c>
      <c r="C580" s="295" t="s">
        <v>68</v>
      </c>
      <c r="D580" s="293">
        <v>703.08</v>
      </c>
      <c r="E580" s="609">
        <f t="shared" si="8"/>
        <v>703.08</v>
      </c>
      <c r="F580" s="607" t="s">
        <v>418</v>
      </c>
      <c r="G580" s="873" t="s">
        <v>1147</v>
      </c>
    </row>
    <row r="581" spans="1:7" s="923" customFormat="1" ht="34.5" customHeight="1" outlineLevel="2" x14ac:dyDescent="0.25">
      <c r="A581" s="919"/>
      <c r="B581" s="920" t="s">
        <v>934</v>
      </c>
      <c r="C581" s="919" t="s">
        <v>920</v>
      </c>
      <c r="D581" s="924">
        <v>6</v>
      </c>
      <c r="E581" s="917">
        <f t="shared" si="8"/>
        <v>6</v>
      </c>
      <c r="F581" s="918" t="s">
        <v>418</v>
      </c>
      <c r="G581" s="925"/>
    </row>
    <row r="582" spans="1:7" s="14" customFormat="1" ht="34.5" customHeight="1" outlineLevel="2" x14ac:dyDescent="0.25">
      <c r="A582" s="125"/>
      <c r="B582" s="299" t="s">
        <v>924</v>
      </c>
      <c r="C582" s="295" t="s">
        <v>77</v>
      </c>
      <c r="D582" s="293">
        <v>10.91268</v>
      </c>
      <c r="E582" s="609">
        <f t="shared" si="8"/>
        <v>10.91268</v>
      </c>
      <c r="F582" s="607" t="s">
        <v>418</v>
      </c>
      <c r="G582" s="873" t="s">
        <v>1147</v>
      </c>
    </row>
    <row r="583" spans="1:7" s="14" customFormat="1" ht="34.5" customHeight="1" outlineLevel="2" x14ac:dyDescent="0.25">
      <c r="A583" s="125"/>
      <c r="B583" s="299" t="s">
        <v>925</v>
      </c>
      <c r="C583" s="295" t="s">
        <v>124</v>
      </c>
      <c r="D583" s="293">
        <v>1042.32</v>
      </c>
      <c r="E583" s="609">
        <f t="shared" si="8"/>
        <v>1042.32</v>
      </c>
      <c r="F583" s="607" t="s">
        <v>418</v>
      </c>
      <c r="G583" s="873" t="s">
        <v>1147</v>
      </c>
    </row>
    <row r="584" spans="1:7" s="14" customFormat="1" ht="34.5" customHeight="1" outlineLevel="2" x14ac:dyDescent="0.25">
      <c r="A584" s="125"/>
      <c r="B584" s="299" t="s">
        <v>916</v>
      </c>
      <c r="C584" s="296" t="s">
        <v>78</v>
      </c>
      <c r="D584" s="293">
        <v>60</v>
      </c>
      <c r="E584" s="609">
        <f t="shared" si="8"/>
        <v>60</v>
      </c>
      <c r="F584" s="607" t="s">
        <v>418</v>
      </c>
      <c r="G584" s="873" t="s">
        <v>1147</v>
      </c>
    </row>
    <row r="585" spans="1:7" s="14" customFormat="1" ht="34.5" customHeight="1" outlineLevel="2" x14ac:dyDescent="0.25">
      <c r="A585" s="125"/>
      <c r="B585" s="299" t="s">
        <v>926</v>
      </c>
      <c r="C585" s="295" t="s">
        <v>77</v>
      </c>
      <c r="D585" s="293">
        <v>0.86399999999999999</v>
      </c>
      <c r="E585" s="609">
        <f t="shared" si="8"/>
        <v>0.86399999999999999</v>
      </c>
      <c r="F585" s="607" t="s">
        <v>418</v>
      </c>
      <c r="G585" s="873" t="s">
        <v>1147</v>
      </c>
    </row>
    <row r="586" spans="1:7" s="14" customFormat="1" ht="34.5" customHeight="1" outlineLevel="2" x14ac:dyDescent="0.25">
      <c r="A586" s="125"/>
      <c r="B586" s="299" t="s">
        <v>927</v>
      </c>
      <c r="C586" s="295" t="s">
        <v>77</v>
      </c>
      <c r="D586" s="293">
        <v>0.12251999999999999</v>
      </c>
      <c r="E586" s="609">
        <f t="shared" si="8"/>
        <v>0.12251999999999999</v>
      </c>
      <c r="F586" s="607" t="s">
        <v>418</v>
      </c>
      <c r="G586" s="873" t="s">
        <v>1147</v>
      </c>
    </row>
    <row r="587" spans="1:7" s="14" customFormat="1" ht="34.5" customHeight="1" outlineLevel="2" x14ac:dyDescent="0.25">
      <c r="A587" s="125"/>
      <c r="B587" s="299" t="s">
        <v>928</v>
      </c>
      <c r="C587" s="295" t="s">
        <v>77</v>
      </c>
      <c r="D587" s="293">
        <v>13.805459999999998</v>
      </c>
      <c r="E587" s="609">
        <f t="shared" si="8"/>
        <v>13.805459999999998</v>
      </c>
      <c r="F587" s="607" t="s">
        <v>418</v>
      </c>
      <c r="G587" s="873" t="s">
        <v>1147</v>
      </c>
    </row>
    <row r="588" spans="1:7" s="14" customFormat="1" ht="34.5" customHeight="1" outlineLevel="2" x14ac:dyDescent="0.25">
      <c r="A588" s="125"/>
      <c r="B588" s="299" t="s">
        <v>929</v>
      </c>
      <c r="C588" s="295" t="s">
        <v>77</v>
      </c>
      <c r="D588" s="293">
        <v>12.114180000000001</v>
      </c>
      <c r="E588" s="609">
        <f t="shared" si="8"/>
        <v>12.114180000000001</v>
      </c>
      <c r="F588" s="607" t="s">
        <v>418</v>
      </c>
      <c r="G588" s="873" t="s">
        <v>1147</v>
      </c>
    </row>
    <row r="589" spans="1:7" s="14" customFormat="1" ht="34.5" customHeight="1" outlineLevel="2" x14ac:dyDescent="0.25">
      <c r="A589" s="125"/>
      <c r="B589" s="299" t="s">
        <v>930</v>
      </c>
      <c r="C589" s="295" t="s">
        <v>77</v>
      </c>
      <c r="D589" s="293">
        <v>0.35399999999999998</v>
      </c>
      <c r="E589" s="609">
        <f t="shared" si="8"/>
        <v>0.35399999999999998</v>
      </c>
      <c r="F589" s="607" t="s">
        <v>418</v>
      </c>
      <c r="G589" s="873" t="s">
        <v>1147</v>
      </c>
    </row>
    <row r="590" spans="1:7" s="14" customFormat="1" ht="34.5" customHeight="1" outlineLevel="2" x14ac:dyDescent="0.25">
      <c r="A590" s="125"/>
      <c r="B590" s="299" t="s">
        <v>931</v>
      </c>
      <c r="C590" s="296" t="s">
        <v>10</v>
      </c>
      <c r="D590" s="293">
        <v>158.46</v>
      </c>
      <c r="E590" s="609">
        <f t="shared" si="8"/>
        <v>158.46</v>
      </c>
      <c r="F590" s="607" t="s">
        <v>418</v>
      </c>
      <c r="G590" s="873" t="s">
        <v>1147</v>
      </c>
    </row>
    <row r="591" spans="1:7" s="14" customFormat="1" ht="34.5" customHeight="1" outlineLevel="2" x14ac:dyDescent="0.25">
      <c r="A591" s="125"/>
      <c r="B591" s="299" t="s">
        <v>932</v>
      </c>
      <c r="C591" s="295" t="s">
        <v>10</v>
      </c>
      <c r="D591" s="293">
        <v>3.9</v>
      </c>
      <c r="E591" s="609">
        <f t="shared" si="8"/>
        <v>3.9</v>
      </c>
      <c r="F591" s="607" t="s">
        <v>418</v>
      </c>
      <c r="G591" s="873" t="s">
        <v>1147</v>
      </c>
    </row>
    <row r="592" spans="1:7" s="14" customFormat="1" ht="34.5" customHeight="1" outlineLevel="2" x14ac:dyDescent="0.25">
      <c r="A592" s="125"/>
      <c r="B592" s="299" t="s">
        <v>102</v>
      </c>
      <c r="C592" s="295" t="s">
        <v>68</v>
      </c>
      <c r="D592" s="293">
        <v>1054.6199999999999</v>
      </c>
      <c r="E592" s="609">
        <f t="shared" ref="E592:E655" si="9">D592</f>
        <v>1054.6199999999999</v>
      </c>
      <c r="F592" s="607" t="s">
        <v>418</v>
      </c>
      <c r="G592" s="873" t="s">
        <v>1147</v>
      </c>
    </row>
    <row r="593" spans="1:7" s="923" customFormat="1" ht="34.5" customHeight="1" outlineLevel="2" x14ac:dyDescent="0.25">
      <c r="A593" s="919"/>
      <c r="B593" s="920" t="s">
        <v>935</v>
      </c>
      <c r="C593" s="919" t="s">
        <v>920</v>
      </c>
      <c r="D593" s="924">
        <v>4</v>
      </c>
      <c r="E593" s="917">
        <f t="shared" si="9"/>
        <v>4</v>
      </c>
      <c r="F593" s="918" t="s">
        <v>418</v>
      </c>
      <c r="G593" s="925"/>
    </row>
    <row r="594" spans="1:7" s="14" customFormat="1" ht="34.5" customHeight="1" outlineLevel="2" x14ac:dyDescent="0.25">
      <c r="A594" s="125"/>
      <c r="B594" s="299" t="s">
        <v>924</v>
      </c>
      <c r="C594" s="295" t="s">
        <v>77</v>
      </c>
      <c r="D594" s="293">
        <v>7.2751200000000003</v>
      </c>
      <c r="E594" s="609">
        <f t="shared" si="9"/>
        <v>7.2751200000000003</v>
      </c>
      <c r="F594" s="607" t="s">
        <v>418</v>
      </c>
      <c r="G594" s="873" t="s">
        <v>1147</v>
      </c>
    </row>
    <row r="595" spans="1:7" s="14" customFormat="1" ht="34.5" customHeight="1" outlineLevel="2" x14ac:dyDescent="0.25">
      <c r="A595" s="125"/>
      <c r="B595" s="299" t="s">
        <v>925</v>
      </c>
      <c r="C595" s="295" t="s">
        <v>124</v>
      </c>
      <c r="D595" s="293">
        <v>694.88</v>
      </c>
      <c r="E595" s="609">
        <f t="shared" si="9"/>
        <v>694.88</v>
      </c>
      <c r="F595" s="607" t="s">
        <v>418</v>
      </c>
      <c r="G595" s="873" t="s">
        <v>1147</v>
      </c>
    </row>
    <row r="596" spans="1:7" s="14" customFormat="1" ht="34.5" customHeight="1" outlineLevel="2" x14ac:dyDescent="0.25">
      <c r="A596" s="125"/>
      <c r="B596" s="299" t="s">
        <v>916</v>
      </c>
      <c r="C596" s="296" t="s">
        <v>78</v>
      </c>
      <c r="D596" s="293">
        <v>40</v>
      </c>
      <c r="E596" s="609">
        <f t="shared" si="9"/>
        <v>40</v>
      </c>
      <c r="F596" s="607" t="s">
        <v>418</v>
      </c>
      <c r="G596" s="873" t="s">
        <v>1147</v>
      </c>
    </row>
    <row r="597" spans="1:7" s="14" customFormat="1" ht="34.5" customHeight="1" outlineLevel="2" x14ac:dyDescent="0.25">
      <c r="A597" s="125"/>
      <c r="B597" s="299" t="s">
        <v>926</v>
      </c>
      <c r="C597" s="295" t="s">
        <v>77</v>
      </c>
      <c r="D597" s="293">
        <v>0.57599999999999996</v>
      </c>
      <c r="E597" s="609">
        <f t="shared" si="9"/>
        <v>0.57599999999999996</v>
      </c>
      <c r="F597" s="607" t="s">
        <v>418</v>
      </c>
      <c r="G597" s="873" t="s">
        <v>1147</v>
      </c>
    </row>
    <row r="598" spans="1:7" s="14" customFormat="1" ht="34.5" customHeight="1" outlineLevel="2" x14ac:dyDescent="0.25">
      <c r="A598" s="125"/>
      <c r="B598" s="299" t="s">
        <v>927</v>
      </c>
      <c r="C598" s="295" t="s">
        <v>77</v>
      </c>
      <c r="D598" s="293">
        <v>8.1680000000000003E-2</v>
      </c>
      <c r="E598" s="609">
        <f t="shared" si="9"/>
        <v>8.1680000000000003E-2</v>
      </c>
      <c r="F598" s="607" t="s">
        <v>418</v>
      </c>
      <c r="G598" s="873" t="s">
        <v>1147</v>
      </c>
    </row>
    <row r="599" spans="1:7" s="14" customFormat="1" ht="34.5" customHeight="1" outlineLevel="2" x14ac:dyDescent="0.25">
      <c r="A599" s="125"/>
      <c r="B599" s="299" t="s">
        <v>928</v>
      </c>
      <c r="C599" s="295" t="s">
        <v>77</v>
      </c>
      <c r="D599" s="293">
        <v>9.20364</v>
      </c>
      <c r="E599" s="609">
        <f t="shared" si="9"/>
        <v>9.20364</v>
      </c>
      <c r="F599" s="607" t="s">
        <v>418</v>
      </c>
      <c r="G599" s="873" t="s">
        <v>1147</v>
      </c>
    </row>
    <row r="600" spans="1:7" s="14" customFormat="1" ht="34.5" customHeight="1" outlineLevel="2" x14ac:dyDescent="0.25">
      <c r="A600" s="125"/>
      <c r="B600" s="299" t="s">
        <v>929</v>
      </c>
      <c r="C600" s="295" t="s">
        <v>77</v>
      </c>
      <c r="D600" s="293">
        <v>8.0761199999999995</v>
      </c>
      <c r="E600" s="609">
        <f t="shared" si="9"/>
        <v>8.0761199999999995</v>
      </c>
      <c r="F600" s="607" t="s">
        <v>418</v>
      </c>
      <c r="G600" s="873" t="s">
        <v>1147</v>
      </c>
    </row>
    <row r="601" spans="1:7" s="14" customFormat="1" ht="34.5" customHeight="1" outlineLevel="2" x14ac:dyDescent="0.25">
      <c r="A601" s="125"/>
      <c r="B601" s="299" t="s">
        <v>930</v>
      </c>
      <c r="C601" s="295" t="s">
        <v>77</v>
      </c>
      <c r="D601" s="293">
        <v>0.15736</v>
      </c>
      <c r="E601" s="609">
        <f t="shared" si="9"/>
        <v>0.15736</v>
      </c>
      <c r="F601" s="607" t="s">
        <v>418</v>
      </c>
      <c r="G601" s="873" t="s">
        <v>1147</v>
      </c>
    </row>
    <row r="602" spans="1:7" s="14" customFormat="1" ht="34.5" customHeight="1" outlineLevel="2" x14ac:dyDescent="0.25">
      <c r="A602" s="125"/>
      <c r="B602" s="299" t="s">
        <v>931</v>
      </c>
      <c r="C602" s="296" t="s">
        <v>10</v>
      </c>
      <c r="D602" s="293">
        <v>105.64</v>
      </c>
      <c r="E602" s="609">
        <f t="shared" si="9"/>
        <v>105.64</v>
      </c>
      <c r="F602" s="607" t="s">
        <v>418</v>
      </c>
      <c r="G602" s="873" t="s">
        <v>1147</v>
      </c>
    </row>
    <row r="603" spans="1:7" s="14" customFormat="1" ht="34.5" customHeight="1" outlineLevel="2" x14ac:dyDescent="0.25">
      <c r="A603" s="125"/>
      <c r="B603" s="299" t="s">
        <v>932</v>
      </c>
      <c r="C603" s="295" t="s">
        <v>10</v>
      </c>
      <c r="D603" s="293">
        <v>2.6</v>
      </c>
      <c r="E603" s="609">
        <f t="shared" si="9"/>
        <v>2.6</v>
      </c>
      <c r="F603" s="607" t="s">
        <v>418</v>
      </c>
      <c r="G603" s="873" t="s">
        <v>1147</v>
      </c>
    </row>
    <row r="604" spans="1:7" s="14" customFormat="1" ht="34.5" customHeight="1" outlineLevel="2" x14ac:dyDescent="0.25">
      <c r="A604" s="125"/>
      <c r="B604" s="299" t="s">
        <v>102</v>
      </c>
      <c r="C604" s="295" t="s">
        <v>68</v>
      </c>
      <c r="D604" s="293">
        <v>703.08</v>
      </c>
      <c r="E604" s="609">
        <f t="shared" si="9"/>
        <v>703.08</v>
      </c>
      <c r="F604" s="607" t="s">
        <v>418</v>
      </c>
      <c r="G604" s="873" t="s">
        <v>1147</v>
      </c>
    </row>
    <row r="605" spans="1:7" s="923" customFormat="1" ht="34.5" customHeight="1" outlineLevel="1" x14ac:dyDescent="0.25">
      <c r="A605" s="919">
        <v>2</v>
      </c>
      <c r="B605" s="920" t="s">
        <v>936</v>
      </c>
      <c r="C605" s="919" t="s">
        <v>331</v>
      </c>
      <c r="D605" s="924">
        <v>40</v>
      </c>
      <c r="E605" s="917">
        <f t="shared" si="9"/>
        <v>40</v>
      </c>
      <c r="F605" s="918"/>
      <c r="G605" s="925"/>
    </row>
    <row r="606" spans="1:7" s="14" customFormat="1" ht="34.5" customHeight="1" outlineLevel="2" x14ac:dyDescent="0.25">
      <c r="A606" s="125"/>
      <c r="B606" s="299" t="s">
        <v>90</v>
      </c>
      <c r="C606" s="296" t="s">
        <v>77</v>
      </c>
      <c r="D606" s="293">
        <v>2.512</v>
      </c>
      <c r="E606" s="609">
        <f t="shared" si="9"/>
        <v>2.512</v>
      </c>
      <c r="F606" s="607" t="s">
        <v>418</v>
      </c>
      <c r="G606" s="873" t="s">
        <v>1147</v>
      </c>
    </row>
    <row r="607" spans="1:7" s="14" customFormat="1" ht="34.5" customHeight="1" outlineLevel="2" x14ac:dyDescent="0.25">
      <c r="A607" s="125"/>
      <c r="B607" s="299" t="s">
        <v>917</v>
      </c>
      <c r="C607" s="295" t="s">
        <v>68</v>
      </c>
      <c r="D607" s="293">
        <v>8</v>
      </c>
      <c r="E607" s="609">
        <f t="shared" si="9"/>
        <v>8</v>
      </c>
      <c r="F607" s="607" t="s">
        <v>418</v>
      </c>
      <c r="G607" s="873" t="s">
        <v>1147</v>
      </c>
    </row>
    <row r="608" spans="1:7" s="923" customFormat="1" ht="34.5" customHeight="1" outlineLevel="1" x14ac:dyDescent="0.25">
      <c r="A608" s="919">
        <v>3</v>
      </c>
      <c r="B608" s="920" t="s">
        <v>937</v>
      </c>
      <c r="C608" s="926" t="s">
        <v>134</v>
      </c>
      <c r="D608" s="924">
        <v>1</v>
      </c>
      <c r="E608" s="917">
        <f t="shared" si="9"/>
        <v>1</v>
      </c>
      <c r="F608" s="918"/>
      <c r="G608" s="925"/>
    </row>
    <row r="609" spans="1:7" s="14" customFormat="1" ht="34.5" customHeight="1" outlineLevel="2" x14ac:dyDescent="0.25">
      <c r="A609" s="125"/>
      <c r="B609" s="299" t="s">
        <v>938</v>
      </c>
      <c r="C609" s="295" t="s">
        <v>78</v>
      </c>
      <c r="D609" s="293">
        <v>20</v>
      </c>
      <c r="E609" s="609">
        <f t="shared" si="9"/>
        <v>20</v>
      </c>
      <c r="F609" s="607" t="s">
        <v>1417</v>
      </c>
      <c r="G609" s="905" t="s">
        <v>1419</v>
      </c>
    </row>
    <row r="610" spans="1:7" s="14" customFormat="1" ht="34.5" customHeight="1" outlineLevel="2" x14ac:dyDescent="0.25">
      <c r="A610" s="125"/>
      <c r="B610" s="299" t="s">
        <v>939</v>
      </c>
      <c r="C610" s="295" t="s">
        <v>78</v>
      </c>
      <c r="D610" s="293">
        <v>20</v>
      </c>
      <c r="E610" s="609">
        <f t="shared" si="9"/>
        <v>20</v>
      </c>
      <c r="F610" s="607" t="s">
        <v>1417</v>
      </c>
      <c r="G610" s="905" t="s">
        <v>1418</v>
      </c>
    </row>
    <row r="611" spans="1:7" s="923" customFormat="1" ht="34.5" customHeight="1" outlineLevel="1" x14ac:dyDescent="0.25">
      <c r="A611" s="919">
        <v>4</v>
      </c>
      <c r="B611" s="920" t="s">
        <v>940</v>
      </c>
      <c r="C611" s="919" t="s">
        <v>920</v>
      </c>
      <c r="D611" s="924">
        <v>80</v>
      </c>
      <c r="E611" s="917">
        <f t="shared" si="9"/>
        <v>80</v>
      </c>
      <c r="F611" s="918"/>
      <c r="G611" s="925"/>
    </row>
    <row r="612" spans="1:7" s="14" customFormat="1" ht="34.5" customHeight="1" outlineLevel="2" x14ac:dyDescent="0.25">
      <c r="A612" s="125"/>
      <c r="B612" s="299" t="s">
        <v>941</v>
      </c>
      <c r="C612" s="295" t="s">
        <v>77</v>
      </c>
      <c r="D612" s="293">
        <v>0.10543999999999999</v>
      </c>
      <c r="E612" s="609">
        <f t="shared" si="9"/>
        <v>0.10543999999999999</v>
      </c>
      <c r="F612" s="607" t="s">
        <v>418</v>
      </c>
      <c r="G612" s="873" t="s">
        <v>1147</v>
      </c>
    </row>
    <row r="613" spans="1:7" s="14" customFormat="1" ht="34.5" customHeight="1" outlineLevel="2" x14ac:dyDescent="0.25">
      <c r="A613" s="125"/>
      <c r="B613" s="299" t="s">
        <v>927</v>
      </c>
      <c r="C613" s="295" t="s">
        <v>77</v>
      </c>
      <c r="D613" s="293">
        <v>2.3313600000000001</v>
      </c>
      <c r="E613" s="609">
        <f t="shared" si="9"/>
        <v>2.3313600000000001</v>
      </c>
      <c r="F613" s="607" t="s">
        <v>418</v>
      </c>
      <c r="G613" s="873" t="s">
        <v>1147</v>
      </c>
    </row>
    <row r="614" spans="1:7" s="14" customFormat="1" ht="34.5" customHeight="1" outlineLevel="2" x14ac:dyDescent="0.25">
      <c r="A614" s="125"/>
      <c r="B614" s="299" t="s">
        <v>929</v>
      </c>
      <c r="C614" s="295" t="s">
        <v>77</v>
      </c>
      <c r="D614" s="293">
        <v>2.92</v>
      </c>
      <c r="E614" s="609">
        <f t="shared" si="9"/>
        <v>2.92</v>
      </c>
      <c r="F614" s="607" t="s">
        <v>418</v>
      </c>
      <c r="G614" s="873" t="s">
        <v>1147</v>
      </c>
    </row>
    <row r="615" spans="1:7" s="14" customFormat="1" ht="34.5" customHeight="1" outlineLevel="2" x14ac:dyDescent="0.25">
      <c r="A615" s="125"/>
      <c r="B615" s="299" t="s">
        <v>930</v>
      </c>
      <c r="C615" s="295" t="s">
        <v>77</v>
      </c>
      <c r="D615" s="293">
        <v>0.94384000000000001</v>
      </c>
      <c r="E615" s="609">
        <f t="shared" si="9"/>
        <v>0.94384000000000001</v>
      </c>
      <c r="F615" s="607" t="s">
        <v>418</v>
      </c>
      <c r="G615" s="873" t="s">
        <v>1147</v>
      </c>
    </row>
    <row r="616" spans="1:7" s="14" customFormat="1" ht="34.5" customHeight="1" outlineLevel="2" x14ac:dyDescent="0.25">
      <c r="A616" s="125"/>
      <c r="B616" s="299" t="s">
        <v>106</v>
      </c>
      <c r="C616" s="296" t="s">
        <v>10</v>
      </c>
      <c r="D616" s="293">
        <v>58.24</v>
      </c>
      <c r="E616" s="609">
        <f t="shared" si="9"/>
        <v>58.24</v>
      </c>
      <c r="F616" s="607" t="s">
        <v>418</v>
      </c>
      <c r="G616" s="873" t="s">
        <v>1147</v>
      </c>
    </row>
    <row r="617" spans="1:7" s="14" customFormat="1" ht="34.5" customHeight="1" outlineLevel="2" x14ac:dyDescent="0.25">
      <c r="A617" s="125"/>
      <c r="B617" s="299" t="s">
        <v>102</v>
      </c>
      <c r="C617" s="295" t="s">
        <v>68</v>
      </c>
      <c r="D617" s="293">
        <v>459.2</v>
      </c>
      <c r="E617" s="609">
        <f t="shared" si="9"/>
        <v>459.2</v>
      </c>
      <c r="F617" s="607" t="s">
        <v>418</v>
      </c>
      <c r="G617" s="873" t="s">
        <v>1147</v>
      </c>
    </row>
    <row r="618" spans="1:7" s="923" customFormat="1" ht="34.5" customHeight="1" outlineLevel="1" x14ac:dyDescent="0.25">
      <c r="A618" s="919">
        <v>5</v>
      </c>
      <c r="B618" s="920" t="s">
        <v>942</v>
      </c>
      <c r="C618" s="919" t="s">
        <v>331</v>
      </c>
      <c r="D618" s="924">
        <v>544</v>
      </c>
      <c r="E618" s="917">
        <f t="shared" si="9"/>
        <v>544</v>
      </c>
      <c r="F618" s="918"/>
      <c r="G618" s="925"/>
    </row>
    <row r="619" spans="1:7" s="14" customFormat="1" ht="34.5" customHeight="1" outlineLevel="2" x14ac:dyDescent="0.25">
      <c r="A619" s="125"/>
      <c r="B619" s="299" t="s">
        <v>941</v>
      </c>
      <c r="C619" s="295" t="s">
        <v>77</v>
      </c>
      <c r="D619" s="293">
        <v>0.81823999999999997</v>
      </c>
      <c r="E619" s="609">
        <f t="shared" si="9"/>
        <v>0.81823999999999997</v>
      </c>
      <c r="F619" s="607" t="s">
        <v>418</v>
      </c>
      <c r="G619" s="873" t="s">
        <v>1147</v>
      </c>
    </row>
    <row r="620" spans="1:7" s="14" customFormat="1" ht="34.5" customHeight="1" outlineLevel="2" x14ac:dyDescent="0.25">
      <c r="A620" s="125"/>
      <c r="B620" s="299" t="s">
        <v>927</v>
      </c>
      <c r="C620" s="295" t="s">
        <v>77</v>
      </c>
      <c r="D620" s="293">
        <v>10.3408</v>
      </c>
      <c r="E620" s="609">
        <f t="shared" si="9"/>
        <v>10.3408</v>
      </c>
      <c r="F620" s="607" t="s">
        <v>418</v>
      </c>
      <c r="G620" s="873" t="s">
        <v>1147</v>
      </c>
    </row>
    <row r="621" spans="1:7" s="14" customFormat="1" ht="34.5" customHeight="1" outlineLevel="2" x14ac:dyDescent="0.25">
      <c r="A621" s="125"/>
      <c r="B621" s="299" t="s">
        <v>943</v>
      </c>
      <c r="C621" s="296" t="s">
        <v>10</v>
      </c>
      <c r="D621" s="293">
        <v>75.2</v>
      </c>
      <c r="E621" s="609">
        <f t="shared" si="9"/>
        <v>75.2</v>
      </c>
      <c r="F621" s="607" t="s">
        <v>418</v>
      </c>
      <c r="G621" s="873" t="s">
        <v>1147</v>
      </c>
    </row>
    <row r="622" spans="1:7" s="14" customFormat="1" ht="34.5" customHeight="1" outlineLevel="2" x14ac:dyDescent="0.25">
      <c r="A622" s="125"/>
      <c r="B622" s="299" t="s">
        <v>102</v>
      </c>
      <c r="C622" s="295" t="s">
        <v>66</v>
      </c>
      <c r="D622" s="293">
        <v>2.3464</v>
      </c>
      <c r="E622" s="609">
        <f t="shared" si="9"/>
        <v>2.3464</v>
      </c>
      <c r="F622" s="607" t="s">
        <v>418</v>
      </c>
      <c r="G622" s="873" t="s">
        <v>1147</v>
      </c>
    </row>
    <row r="623" spans="1:7" s="923" customFormat="1" ht="34.5" customHeight="1" outlineLevel="1" x14ac:dyDescent="0.25">
      <c r="A623" s="919">
        <v>6</v>
      </c>
      <c r="B623" s="920" t="s">
        <v>944</v>
      </c>
      <c r="C623" s="926"/>
      <c r="D623" s="927"/>
      <c r="E623" s="917">
        <f t="shared" si="9"/>
        <v>0</v>
      </c>
      <c r="F623" s="918"/>
      <c r="G623" s="925"/>
    </row>
    <row r="624" spans="1:7" s="923" customFormat="1" ht="34.5" customHeight="1" outlineLevel="2" x14ac:dyDescent="0.25">
      <c r="A624" s="919"/>
      <c r="B624" s="920" t="s">
        <v>945</v>
      </c>
      <c r="C624" s="926" t="s">
        <v>134</v>
      </c>
      <c r="D624" s="924">
        <v>1</v>
      </c>
      <c r="E624" s="917">
        <f t="shared" si="9"/>
        <v>1</v>
      </c>
      <c r="F624" s="918"/>
      <c r="G624" s="925"/>
    </row>
    <row r="625" spans="1:7" s="14" customFormat="1" ht="34.5" customHeight="1" outlineLevel="2" x14ac:dyDescent="0.25">
      <c r="A625" s="125"/>
      <c r="B625" s="299" t="s">
        <v>941</v>
      </c>
      <c r="C625" s="295" t="s">
        <v>77</v>
      </c>
      <c r="D625" s="293">
        <v>0.34354000000000001</v>
      </c>
      <c r="E625" s="609">
        <f t="shared" si="9"/>
        <v>0.34354000000000001</v>
      </c>
      <c r="F625" s="607" t="s">
        <v>418</v>
      </c>
      <c r="G625" s="873" t="s">
        <v>1147</v>
      </c>
    </row>
    <row r="626" spans="1:7" s="14" customFormat="1" ht="34.5" customHeight="1" outlineLevel="2" x14ac:dyDescent="0.25">
      <c r="A626" s="125"/>
      <c r="B626" s="299" t="s">
        <v>928</v>
      </c>
      <c r="C626" s="295" t="s">
        <v>77</v>
      </c>
      <c r="D626" s="293">
        <v>29.732140000000001</v>
      </c>
      <c r="E626" s="609">
        <f t="shared" si="9"/>
        <v>29.732140000000001</v>
      </c>
      <c r="F626" s="607" t="s">
        <v>418</v>
      </c>
      <c r="G626" s="873" t="s">
        <v>1147</v>
      </c>
    </row>
    <row r="627" spans="1:7" s="14" customFormat="1" ht="34.5" customHeight="1" outlineLevel="2" x14ac:dyDescent="0.25">
      <c r="A627" s="125"/>
      <c r="B627" s="299" t="s">
        <v>946</v>
      </c>
      <c r="C627" s="295" t="s">
        <v>77</v>
      </c>
      <c r="D627" s="293">
        <v>39.254400000000004</v>
      </c>
      <c r="E627" s="609">
        <f t="shared" si="9"/>
        <v>39.254400000000004</v>
      </c>
      <c r="F627" s="607" t="s">
        <v>418</v>
      </c>
      <c r="G627" s="873" t="s">
        <v>1147</v>
      </c>
    </row>
    <row r="628" spans="1:7" s="14" customFormat="1" ht="34.5" customHeight="1" outlineLevel="2" x14ac:dyDescent="0.25">
      <c r="A628" s="125"/>
      <c r="B628" s="299" t="s">
        <v>106</v>
      </c>
      <c r="C628" s="296" t="s">
        <v>10</v>
      </c>
      <c r="D628" s="293">
        <v>322.33999999999997</v>
      </c>
      <c r="E628" s="609">
        <f t="shared" si="9"/>
        <v>322.33999999999997</v>
      </c>
      <c r="F628" s="607" t="s">
        <v>418</v>
      </c>
      <c r="G628" s="873" t="s">
        <v>1147</v>
      </c>
    </row>
    <row r="629" spans="1:7" s="14" customFormat="1" ht="34.5" customHeight="1" outlineLevel="2" x14ac:dyDescent="0.25">
      <c r="A629" s="125"/>
      <c r="B629" s="299" t="s">
        <v>947</v>
      </c>
      <c r="C629" s="295" t="s">
        <v>57</v>
      </c>
      <c r="D629" s="293">
        <v>2.8029999999999999</v>
      </c>
      <c r="E629" s="609">
        <f t="shared" si="9"/>
        <v>2.8029999999999999</v>
      </c>
      <c r="F629" s="607" t="s">
        <v>418</v>
      </c>
      <c r="G629" s="873" t="s">
        <v>1147</v>
      </c>
    </row>
    <row r="630" spans="1:7" s="14" customFormat="1" ht="34.5" customHeight="1" outlineLevel="2" x14ac:dyDescent="0.25">
      <c r="A630" s="125"/>
      <c r="B630" s="299" t="s">
        <v>102</v>
      </c>
      <c r="C630" s="295" t="s">
        <v>66</v>
      </c>
      <c r="D630" s="293">
        <v>2.3260000000000001</v>
      </c>
      <c r="E630" s="609">
        <f t="shared" si="9"/>
        <v>2.3260000000000001</v>
      </c>
      <c r="F630" s="607" t="s">
        <v>418</v>
      </c>
      <c r="G630" s="873" t="s">
        <v>1147</v>
      </c>
    </row>
    <row r="631" spans="1:7" s="923" customFormat="1" ht="34.5" customHeight="1" outlineLevel="2" x14ac:dyDescent="0.25">
      <c r="A631" s="919"/>
      <c r="B631" s="920" t="s">
        <v>948</v>
      </c>
      <c r="C631" s="919" t="s">
        <v>949</v>
      </c>
      <c r="D631" s="924">
        <v>3</v>
      </c>
      <c r="E631" s="917">
        <f t="shared" si="9"/>
        <v>3</v>
      </c>
      <c r="F631" s="918"/>
      <c r="G631" s="925"/>
    </row>
    <row r="632" spans="1:7" s="14" customFormat="1" ht="34.5" customHeight="1" outlineLevel="2" x14ac:dyDescent="0.25">
      <c r="A632" s="125"/>
      <c r="B632" s="299" t="s">
        <v>941</v>
      </c>
      <c r="C632" s="295" t="s">
        <v>77</v>
      </c>
      <c r="D632" s="293">
        <v>3.372E-2</v>
      </c>
      <c r="E632" s="609">
        <f t="shared" si="9"/>
        <v>3.372E-2</v>
      </c>
      <c r="F632" s="607" t="s">
        <v>418</v>
      </c>
      <c r="G632" s="873" t="s">
        <v>1147</v>
      </c>
    </row>
    <row r="633" spans="1:7" s="14" customFormat="1" ht="34.5" customHeight="1" outlineLevel="2" x14ac:dyDescent="0.25">
      <c r="A633" s="125"/>
      <c r="B633" s="299" t="s">
        <v>928</v>
      </c>
      <c r="C633" s="295" t="s">
        <v>77</v>
      </c>
      <c r="D633" s="293">
        <v>0.29675999999999997</v>
      </c>
      <c r="E633" s="609">
        <f t="shared" si="9"/>
        <v>0.29675999999999997</v>
      </c>
      <c r="F633" s="607" t="s">
        <v>418</v>
      </c>
      <c r="G633" s="873" t="s">
        <v>1147</v>
      </c>
    </row>
    <row r="634" spans="1:7" s="14" customFormat="1" ht="34.5" customHeight="1" outlineLevel="2" x14ac:dyDescent="0.25">
      <c r="A634" s="125"/>
      <c r="B634" s="299" t="s">
        <v>950</v>
      </c>
      <c r="C634" s="295" t="s">
        <v>77</v>
      </c>
      <c r="D634" s="293">
        <v>4.8135300000000001</v>
      </c>
      <c r="E634" s="609">
        <f t="shared" si="9"/>
        <v>4.8135300000000001</v>
      </c>
      <c r="F634" s="607" t="s">
        <v>418</v>
      </c>
      <c r="G634" s="873" t="s">
        <v>1147</v>
      </c>
    </row>
    <row r="635" spans="1:7" s="14" customFormat="1" ht="34.5" customHeight="1" outlineLevel="2" x14ac:dyDescent="0.25">
      <c r="A635" s="125"/>
      <c r="B635" s="299" t="s">
        <v>951</v>
      </c>
      <c r="C635" s="295" t="s">
        <v>77</v>
      </c>
      <c r="D635" s="293">
        <v>7.6692</v>
      </c>
      <c r="E635" s="609">
        <f t="shared" si="9"/>
        <v>7.6692</v>
      </c>
      <c r="F635" s="607" t="s">
        <v>418</v>
      </c>
      <c r="G635" s="873" t="s">
        <v>1147</v>
      </c>
    </row>
    <row r="636" spans="1:7" s="14" customFormat="1" ht="34.5" customHeight="1" outlineLevel="2" x14ac:dyDescent="0.25">
      <c r="A636" s="125"/>
      <c r="B636" s="299" t="s">
        <v>106</v>
      </c>
      <c r="C636" s="296" t="s">
        <v>10</v>
      </c>
      <c r="D636" s="293">
        <v>31.62</v>
      </c>
      <c r="E636" s="609">
        <f t="shared" si="9"/>
        <v>31.62</v>
      </c>
      <c r="F636" s="607" t="s">
        <v>418</v>
      </c>
      <c r="G636" s="873" t="s">
        <v>1147</v>
      </c>
    </row>
    <row r="637" spans="1:7" s="14" customFormat="1" ht="34.5" customHeight="1" outlineLevel="2" x14ac:dyDescent="0.25">
      <c r="A637" s="125"/>
      <c r="B637" s="299" t="s">
        <v>952</v>
      </c>
      <c r="C637" s="295" t="s">
        <v>68</v>
      </c>
      <c r="D637" s="293">
        <v>65.25</v>
      </c>
      <c r="E637" s="609">
        <f t="shared" si="9"/>
        <v>65.25</v>
      </c>
      <c r="F637" s="607" t="s">
        <v>418</v>
      </c>
      <c r="G637" s="873" t="s">
        <v>1147</v>
      </c>
    </row>
    <row r="638" spans="1:7" s="14" customFormat="1" ht="34.5" customHeight="1" outlineLevel="2" x14ac:dyDescent="0.25">
      <c r="A638" s="125"/>
      <c r="B638" s="299" t="s">
        <v>102</v>
      </c>
      <c r="C638" s="295" t="s">
        <v>66</v>
      </c>
      <c r="D638" s="293">
        <v>0.21179999999999999</v>
      </c>
      <c r="E638" s="609">
        <f t="shared" si="9"/>
        <v>0.21179999999999999</v>
      </c>
      <c r="F638" s="607" t="s">
        <v>418</v>
      </c>
      <c r="G638" s="873" t="s">
        <v>1147</v>
      </c>
    </row>
    <row r="639" spans="1:7" s="923" customFormat="1" ht="34.5" customHeight="1" outlineLevel="2" x14ac:dyDescent="0.25">
      <c r="A639" s="919"/>
      <c r="B639" s="920" t="s">
        <v>953</v>
      </c>
      <c r="C639" s="926" t="s">
        <v>134</v>
      </c>
      <c r="D639" s="924">
        <v>1</v>
      </c>
      <c r="E639" s="917">
        <f t="shared" si="9"/>
        <v>1</v>
      </c>
      <c r="F639" s="918"/>
      <c r="G639" s="918"/>
    </row>
    <row r="640" spans="1:7" s="14" customFormat="1" ht="34.5" customHeight="1" outlineLevel="2" x14ac:dyDescent="0.25">
      <c r="A640" s="125"/>
      <c r="B640" s="299" t="s">
        <v>954</v>
      </c>
      <c r="C640" s="296" t="s">
        <v>68</v>
      </c>
      <c r="D640" s="293"/>
      <c r="E640" s="609">
        <f t="shared" si="9"/>
        <v>0</v>
      </c>
      <c r="F640" s="607"/>
      <c r="G640" s="607"/>
    </row>
    <row r="641" spans="1:7" s="14" customFormat="1" ht="34.5" customHeight="1" outlineLevel="2" x14ac:dyDescent="0.25">
      <c r="A641" s="125"/>
      <c r="B641" s="299" t="s">
        <v>955</v>
      </c>
      <c r="C641" s="296" t="s">
        <v>66</v>
      </c>
      <c r="D641" s="293"/>
      <c r="E641" s="609">
        <f t="shared" si="9"/>
        <v>0</v>
      </c>
      <c r="F641" s="607"/>
      <c r="G641" s="607"/>
    </row>
    <row r="642" spans="1:7" s="14" customFormat="1" ht="34.5" customHeight="1" outlineLevel="2" x14ac:dyDescent="0.25">
      <c r="A642" s="125"/>
      <c r="B642" s="299" t="s">
        <v>956</v>
      </c>
      <c r="C642" s="295" t="s">
        <v>68</v>
      </c>
      <c r="D642" s="293">
        <v>1534</v>
      </c>
      <c r="E642" s="609">
        <f t="shared" si="9"/>
        <v>1534</v>
      </c>
      <c r="F642" s="607"/>
      <c r="G642" s="607"/>
    </row>
    <row r="643" spans="1:7" s="923" customFormat="1" ht="34.5" customHeight="1" outlineLevel="2" x14ac:dyDescent="0.25">
      <c r="A643" s="919"/>
      <c r="B643" s="920" t="s">
        <v>957</v>
      </c>
      <c r="C643" s="919" t="s">
        <v>918</v>
      </c>
      <c r="D643" s="924">
        <v>2</v>
      </c>
      <c r="E643" s="917">
        <f t="shared" si="9"/>
        <v>2</v>
      </c>
      <c r="F643" s="918"/>
      <c r="G643" s="925"/>
    </row>
    <row r="644" spans="1:7" s="14" customFormat="1" ht="34.5" customHeight="1" outlineLevel="2" x14ac:dyDescent="0.25">
      <c r="A644" s="125"/>
      <c r="B644" s="299" t="s">
        <v>83</v>
      </c>
      <c r="C644" s="295" t="s">
        <v>77</v>
      </c>
      <c r="D644" s="293">
        <v>1.0204800000000001</v>
      </c>
      <c r="E644" s="609">
        <f t="shared" si="9"/>
        <v>1.0204800000000001</v>
      </c>
      <c r="F644" s="607" t="s">
        <v>418</v>
      </c>
      <c r="G644" s="873" t="s">
        <v>1409</v>
      </c>
    </row>
    <row r="645" spans="1:7" s="14" customFormat="1" ht="34.5" customHeight="1" outlineLevel="2" x14ac:dyDescent="0.25">
      <c r="A645" s="125"/>
      <c r="B645" s="299" t="s">
        <v>958</v>
      </c>
      <c r="C645" s="295" t="s">
        <v>68</v>
      </c>
      <c r="D645" s="293">
        <v>14.72</v>
      </c>
      <c r="E645" s="609">
        <f t="shared" si="9"/>
        <v>14.72</v>
      </c>
      <c r="F645" s="607" t="s">
        <v>418</v>
      </c>
      <c r="G645" s="873" t="s">
        <v>1409</v>
      </c>
    </row>
    <row r="646" spans="1:7" s="14" customFormat="1" ht="34.5" customHeight="1" outlineLevel="2" x14ac:dyDescent="0.25">
      <c r="A646" s="125"/>
      <c r="B646" s="299" t="s">
        <v>959</v>
      </c>
      <c r="C646" s="295" t="s">
        <v>124</v>
      </c>
      <c r="D646" s="293">
        <v>23.2</v>
      </c>
      <c r="E646" s="609">
        <f t="shared" si="9"/>
        <v>23.2</v>
      </c>
      <c r="F646" s="607" t="s">
        <v>418</v>
      </c>
      <c r="G646" s="873" t="s">
        <v>1409</v>
      </c>
    </row>
    <row r="647" spans="1:7" s="14" customFormat="1" ht="34.5" customHeight="1" outlineLevel="2" x14ac:dyDescent="0.25">
      <c r="A647" s="125"/>
      <c r="B647" s="299" t="s">
        <v>960</v>
      </c>
      <c r="C647" s="295" t="s">
        <v>10</v>
      </c>
      <c r="D647" s="293">
        <v>0.94</v>
      </c>
      <c r="E647" s="609">
        <f t="shared" si="9"/>
        <v>0.94</v>
      </c>
      <c r="F647" s="607" t="s">
        <v>418</v>
      </c>
      <c r="G647" s="873" t="s">
        <v>1409</v>
      </c>
    </row>
    <row r="648" spans="1:7" s="14" customFormat="1" ht="34.5" customHeight="1" outlineLevel="2" x14ac:dyDescent="0.25">
      <c r="A648" s="125"/>
      <c r="B648" s="299" t="s">
        <v>961</v>
      </c>
      <c r="C648" s="295" t="s">
        <v>10</v>
      </c>
      <c r="D648" s="293">
        <v>2.1500000000000004</v>
      </c>
      <c r="E648" s="609">
        <f t="shared" si="9"/>
        <v>2.1500000000000004</v>
      </c>
      <c r="F648" s="607" t="s">
        <v>418</v>
      </c>
      <c r="G648" s="873" t="s">
        <v>1409</v>
      </c>
    </row>
    <row r="649" spans="1:7" s="923" customFormat="1" ht="34.5" customHeight="1" outlineLevel="1" x14ac:dyDescent="0.25">
      <c r="A649" s="913">
        <v>7</v>
      </c>
      <c r="B649" s="914" t="s">
        <v>1049</v>
      </c>
      <c r="C649" s="928"/>
      <c r="D649" s="916"/>
      <c r="E649" s="917"/>
      <c r="F649" s="918"/>
      <c r="G649" s="918"/>
    </row>
    <row r="650" spans="1:7" s="923" customFormat="1" ht="34.5" customHeight="1" outlineLevel="1" x14ac:dyDescent="0.25">
      <c r="A650" s="913"/>
      <c r="B650" s="914" t="s">
        <v>1050</v>
      </c>
      <c r="C650" s="928" t="s">
        <v>134</v>
      </c>
      <c r="D650" s="929">
        <v>1</v>
      </c>
      <c r="E650" s="917">
        <f t="shared" si="9"/>
        <v>1</v>
      </c>
      <c r="F650" s="918"/>
      <c r="G650" s="918"/>
    </row>
    <row r="651" spans="1:7" s="14" customFormat="1" ht="34.5" customHeight="1" outlineLevel="1" x14ac:dyDescent="0.25">
      <c r="A651" s="57"/>
      <c r="B651" s="76" t="s">
        <v>105</v>
      </c>
      <c r="C651" s="62" t="s">
        <v>77</v>
      </c>
      <c r="D651" s="49">
        <v>17.584295999999998</v>
      </c>
      <c r="E651" s="609">
        <f t="shared" si="9"/>
        <v>17.584295999999998</v>
      </c>
      <c r="F651" s="607" t="s">
        <v>418</v>
      </c>
      <c r="G651" s="873" t="s">
        <v>1211</v>
      </c>
    </row>
    <row r="652" spans="1:7" s="14" customFormat="1" ht="34.5" customHeight="1" outlineLevel="1" x14ac:dyDescent="0.25">
      <c r="A652" s="57"/>
      <c r="B652" s="76" t="s">
        <v>88</v>
      </c>
      <c r="C652" s="63" t="s">
        <v>10</v>
      </c>
      <c r="D652" s="49">
        <v>126.774</v>
      </c>
      <c r="E652" s="609">
        <f t="shared" si="9"/>
        <v>126.774</v>
      </c>
      <c r="F652" s="607" t="s">
        <v>418</v>
      </c>
      <c r="G652" s="873" t="s">
        <v>1211</v>
      </c>
    </row>
    <row r="653" spans="1:7" s="14" customFormat="1" ht="34.5" customHeight="1" outlineLevel="1" x14ac:dyDescent="0.25">
      <c r="A653" s="57"/>
      <c r="B653" s="76" t="s">
        <v>102</v>
      </c>
      <c r="C653" s="62" t="s">
        <v>66</v>
      </c>
      <c r="D653" s="49">
        <v>11.43662</v>
      </c>
      <c r="E653" s="609">
        <f t="shared" si="9"/>
        <v>11.43662</v>
      </c>
      <c r="F653" s="607" t="s">
        <v>418</v>
      </c>
      <c r="G653" s="873" t="s">
        <v>1211</v>
      </c>
    </row>
    <row r="654" spans="1:7" s="14" customFormat="1" ht="34.5" customHeight="1" outlineLevel="1" x14ac:dyDescent="0.25">
      <c r="A654" s="57"/>
      <c r="B654" s="76" t="s">
        <v>1051</v>
      </c>
      <c r="C654" s="62" t="s">
        <v>57</v>
      </c>
      <c r="D654" s="49"/>
      <c r="E654" s="609">
        <f t="shared" si="9"/>
        <v>0</v>
      </c>
      <c r="F654" s="607" t="s">
        <v>418</v>
      </c>
      <c r="G654" s="873" t="s">
        <v>1211</v>
      </c>
    </row>
    <row r="655" spans="1:7" s="923" customFormat="1" ht="34.5" customHeight="1" outlineLevel="1" x14ac:dyDescent="0.25">
      <c r="A655" s="913"/>
      <c r="B655" s="914" t="s">
        <v>1052</v>
      </c>
      <c r="C655" s="928" t="s">
        <v>134</v>
      </c>
      <c r="D655" s="929">
        <v>1</v>
      </c>
      <c r="E655" s="917">
        <f t="shared" si="9"/>
        <v>1</v>
      </c>
      <c r="F655" s="918"/>
      <c r="G655" s="918"/>
    </row>
    <row r="656" spans="1:7" s="14" customFormat="1" ht="34.5" customHeight="1" outlineLevel="1" x14ac:dyDescent="0.25">
      <c r="A656" s="57"/>
      <c r="B656" s="76" t="s">
        <v>105</v>
      </c>
      <c r="C656" s="62" t="s">
        <v>77</v>
      </c>
      <c r="D656" s="49">
        <v>0.16768</v>
      </c>
      <c r="E656" s="609">
        <f t="shared" ref="E656:E719" si="10">D656</f>
        <v>0.16768</v>
      </c>
      <c r="F656" s="607" t="s">
        <v>418</v>
      </c>
      <c r="G656" s="873" t="s">
        <v>1211</v>
      </c>
    </row>
    <row r="657" spans="1:12" s="14" customFormat="1" ht="34.5" customHeight="1" outlineLevel="1" x14ac:dyDescent="0.25">
      <c r="A657" s="57"/>
      <c r="B657" s="76" t="s">
        <v>83</v>
      </c>
      <c r="C657" s="62" t="s">
        <v>77</v>
      </c>
      <c r="D657" s="49">
        <v>0.28160000000000002</v>
      </c>
      <c r="E657" s="609">
        <f t="shared" si="10"/>
        <v>0.28160000000000002</v>
      </c>
      <c r="F657" s="607" t="s">
        <v>418</v>
      </c>
      <c r="G657" s="873" t="s">
        <v>1211</v>
      </c>
    </row>
    <row r="658" spans="1:12" s="14" customFormat="1" ht="54.75" customHeight="1" outlineLevel="1" x14ac:dyDescent="0.25">
      <c r="A658" s="57"/>
      <c r="B658" s="76" t="s">
        <v>88</v>
      </c>
      <c r="C658" s="63" t="s">
        <v>10</v>
      </c>
      <c r="D658" s="49">
        <v>2.72</v>
      </c>
      <c r="E658" s="609">
        <f t="shared" si="10"/>
        <v>2.72</v>
      </c>
      <c r="F658" s="607" t="s">
        <v>1395</v>
      </c>
      <c r="G658" s="873"/>
      <c r="I658" s="14" t="e">
        <f>diengiai</f>
        <v>#VALUE!</v>
      </c>
    </row>
    <row r="659" spans="1:12" s="14" customFormat="1" ht="34.5" customHeight="1" outlineLevel="1" x14ac:dyDescent="0.25">
      <c r="A659" s="57"/>
      <c r="B659" s="76" t="s">
        <v>102</v>
      </c>
      <c r="C659" s="62" t="s">
        <v>66</v>
      </c>
      <c r="D659" s="49">
        <v>0.18559999999999999</v>
      </c>
      <c r="E659" s="609">
        <f t="shared" si="10"/>
        <v>0.18559999999999999</v>
      </c>
      <c r="F659" s="607" t="s">
        <v>418</v>
      </c>
      <c r="G659" s="873" t="s">
        <v>1211</v>
      </c>
      <c r="K659" s="14">
        <f>((0.5*518*259*363+0.5*311*259*518/3)*2+(52+52+311)*518*363+0.5*311*518*(52+52+311))*10^-9</f>
        <v>0.17407087833333335</v>
      </c>
      <c r="L659" s="14">
        <v>10</v>
      </c>
    </row>
    <row r="660" spans="1:12" s="923" customFormat="1" ht="34.5" customHeight="1" outlineLevel="1" x14ac:dyDescent="0.25">
      <c r="A660" s="913"/>
      <c r="B660" s="914" t="s">
        <v>1053</v>
      </c>
      <c r="C660" s="928" t="s">
        <v>134</v>
      </c>
      <c r="D660" s="929">
        <v>1</v>
      </c>
      <c r="E660" s="917">
        <f t="shared" si="10"/>
        <v>1</v>
      </c>
      <c r="F660" s="918"/>
      <c r="G660" s="918"/>
    </row>
    <row r="661" spans="1:12" s="14" customFormat="1" ht="34.5" customHeight="1" outlineLevel="1" x14ac:dyDescent="0.25">
      <c r="A661" s="57"/>
      <c r="B661" s="76" t="s">
        <v>1054</v>
      </c>
      <c r="C661" s="63" t="s">
        <v>77</v>
      </c>
      <c r="D661" s="49">
        <v>7.3078799999999999</v>
      </c>
      <c r="E661" s="609">
        <f t="shared" si="10"/>
        <v>7.3078799999999999</v>
      </c>
      <c r="F661" s="607"/>
      <c r="G661" s="607"/>
      <c r="K661" s="14">
        <f>2.72/K659</f>
        <v>15.625818781653953</v>
      </c>
    </row>
    <row r="662" spans="1:12" s="14" customFormat="1" ht="34.5" customHeight="1" outlineLevel="1" x14ac:dyDescent="0.25">
      <c r="A662" s="57"/>
      <c r="B662" s="76" t="s">
        <v>1055</v>
      </c>
      <c r="C662" s="63" t="s">
        <v>77</v>
      </c>
      <c r="D662" s="49">
        <v>5.2701000000000002</v>
      </c>
      <c r="E662" s="609">
        <f t="shared" si="10"/>
        <v>5.2701000000000002</v>
      </c>
      <c r="F662" s="607"/>
      <c r="G662" s="607"/>
    </row>
    <row r="663" spans="1:12" s="14" customFormat="1" ht="34.5" customHeight="1" outlineLevel="1" x14ac:dyDescent="0.25">
      <c r="A663" s="57"/>
      <c r="B663" s="76" t="s">
        <v>1056</v>
      </c>
      <c r="C663" s="63" t="s">
        <v>77</v>
      </c>
      <c r="D663" s="49">
        <v>7.6435700000000004</v>
      </c>
      <c r="E663" s="609">
        <f t="shared" si="10"/>
        <v>7.6435700000000004</v>
      </c>
      <c r="F663" s="607"/>
      <c r="G663" s="607"/>
    </row>
    <row r="664" spans="1:12" s="14" customFormat="1" ht="34.5" customHeight="1" outlineLevel="1" x14ac:dyDescent="0.25">
      <c r="A664" s="57"/>
      <c r="B664" s="76" t="s">
        <v>1057</v>
      </c>
      <c r="C664" s="63" t="s">
        <v>77</v>
      </c>
      <c r="D664" s="49">
        <v>0.54910000000000003</v>
      </c>
      <c r="E664" s="609">
        <f t="shared" si="10"/>
        <v>0.54910000000000003</v>
      </c>
      <c r="F664" s="607"/>
      <c r="G664" s="607"/>
    </row>
    <row r="665" spans="1:12" s="14" customFormat="1" ht="34.5" customHeight="1" outlineLevel="1" x14ac:dyDescent="0.25">
      <c r="A665" s="57"/>
      <c r="B665" s="76" t="s">
        <v>1058</v>
      </c>
      <c r="C665" s="63" t="s">
        <v>77</v>
      </c>
      <c r="D665" s="49">
        <v>0.47142000000000001</v>
      </c>
      <c r="E665" s="609">
        <f t="shared" si="10"/>
        <v>0.47142000000000001</v>
      </c>
      <c r="F665" s="607"/>
      <c r="G665" s="607"/>
    </row>
    <row r="666" spans="1:12" s="14" customFormat="1" ht="34.5" customHeight="1" outlineLevel="1" x14ac:dyDescent="0.25">
      <c r="A666" s="57"/>
      <c r="B666" s="76" t="s">
        <v>1059</v>
      </c>
      <c r="C666" s="62" t="s">
        <v>78</v>
      </c>
      <c r="D666" s="49">
        <v>968</v>
      </c>
      <c r="E666" s="609">
        <f t="shared" si="10"/>
        <v>968</v>
      </c>
      <c r="F666" s="607"/>
      <c r="G666" s="607"/>
    </row>
    <row r="667" spans="1:12" s="14" customFormat="1" ht="34.5" customHeight="1" outlineLevel="1" x14ac:dyDescent="0.25">
      <c r="A667" s="57"/>
      <c r="B667" s="76" t="s">
        <v>1060</v>
      </c>
      <c r="C667" s="62" t="s">
        <v>78</v>
      </c>
      <c r="D667" s="49">
        <v>484</v>
      </c>
      <c r="E667" s="609">
        <f t="shared" si="10"/>
        <v>484</v>
      </c>
      <c r="F667" s="607"/>
      <c r="G667" s="607"/>
    </row>
    <row r="668" spans="1:12" s="14" customFormat="1" ht="34.5" customHeight="1" outlineLevel="1" x14ac:dyDescent="0.25">
      <c r="A668" s="57"/>
      <c r="B668" s="76" t="s">
        <v>1061</v>
      </c>
      <c r="C668" s="63" t="s">
        <v>77</v>
      </c>
      <c r="D668" s="589">
        <v>5.2199999999999998E-3</v>
      </c>
      <c r="E668" s="609">
        <f t="shared" si="10"/>
        <v>5.2199999999999998E-3</v>
      </c>
      <c r="F668" s="607"/>
      <c r="G668" s="607"/>
    </row>
    <row r="669" spans="1:12" s="14" customFormat="1" ht="34.5" customHeight="1" outlineLevel="1" x14ac:dyDescent="0.25">
      <c r="A669" s="57"/>
      <c r="B669" s="76" t="s">
        <v>1062</v>
      </c>
      <c r="C669" s="63" t="s">
        <v>77</v>
      </c>
      <c r="D669" s="589">
        <v>3.8899999999999998E-3</v>
      </c>
      <c r="E669" s="609">
        <f t="shared" si="10"/>
        <v>3.8899999999999998E-3</v>
      </c>
      <c r="F669" s="607"/>
      <c r="G669" s="607"/>
    </row>
    <row r="670" spans="1:12" s="923" customFormat="1" ht="34.5" customHeight="1" outlineLevel="1" x14ac:dyDescent="0.25">
      <c r="A670" s="913"/>
      <c r="B670" s="914" t="s">
        <v>1063</v>
      </c>
      <c r="C670" s="928" t="s">
        <v>134</v>
      </c>
      <c r="D670" s="929">
        <v>1</v>
      </c>
      <c r="E670" s="917">
        <f t="shared" si="10"/>
        <v>1</v>
      </c>
      <c r="F670" s="918"/>
      <c r="G670" s="918"/>
    </row>
    <row r="671" spans="1:12" s="14" customFormat="1" ht="34.5" customHeight="1" outlineLevel="1" x14ac:dyDescent="0.25">
      <c r="A671" s="57"/>
      <c r="B671" s="76" t="s">
        <v>1064</v>
      </c>
      <c r="C671" s="62" t="s">
        <v>57</v>
      </c>
      <c r="D671" s="49">
        <v>0.13500000000000001</v>
      </c>
      <c r="E671" s="609">
        <f t="shared" si="10"/>
        <v>0.13500000000000001</v>
      </c>
      <c r="F671" s="607"/>
      <c r="G671" s="607"/>
    </row>
    <row r="672" spans="1:12" s="14" customFormat="1" ht="34.5" customHeight="1" outlineLevel="1" x14ac:dyDescent="0.25">
      <c r="A672" s="57"/>
      <c r="B672" s="76" t="s">
        <v>1065</v>
      </c>
      <c r="C672" s="62" t="s">
        <v>57</v>
      </c>
      <c r="D672" s="49">
        <v>0.26190000000000002</v>
      </c>
      <c r="E672" s="609">
        <f t="shared" si="10"/>
        <v>0.26190000000000002</v>
      </c>
      <c r="F672" s="607"/>
      <c r="G672" s="607"/>
    </row>
    <row r="673" spans="1:7" s="14" customFormat="1" ht="34.5" customHeight="1" outlineLevel="1" x14ac:dyDescent="0.25">
      <c r="A673" s="57"/>
      <c r="B673" s="76" t="s">
        <v>1066</v>
      </c>
      <c r="C673" s="62" t="s">
        <v>57</v>
      </c>
      <c r="D673" s="49">
        <v>0.30399999999999999</v>
      </c>
      <c r="E673" s="609">
        <f t="shared" si="10"/>
        <v>0.30399999999999999</v>
      </c>
      <c r="F673" s="607"/>
      <c r="G673" s="607"/>
    </row>
    <row r="674" spans="1:7" s="14" customFormat="1" ht="34.5" customHeight="1" outlineLevel="1" x14ac:dyDescent="0.25">
      <c r="A674" s="57"/>
      <c r="B674" s="76" t="s">
        <v>1067</v>
      </c>
      <c r="C674" s="62" t="s">
        <v>77</v>
      </c>
      <c r="D674" s="49">
        <v>0.34469</v>
      </c>
      <c r="E674" s="609">
        <f t="shared" si="10"/>
        <v>0.34469</v>
      </c>
      <c r="F674" s="607"/>
      <c r="G674" s="607"/>
    </row>
    <row r="675" spans="1:7" s="14" customFormat="1" ht="34.5" customHeight="1" outlineLevel="1" x14ac:dyDescent="0.25">
      <c r="A675" s="57"/>
      <c r="B675" s="76" t="s">
        <v>1068</v>
      </c>
      <c r="C675" s="62" t="s">
        <v>79</v>
      </c>
      <c r="D675" s="49">
        <v>2</v>
      </c>
      <c r="E675" s="609">
        <f t="shared" si="10"/>
        <v>2</v>
      </c>
      <c r="F675" s="607"/>
      <c r="G675" s="607"/>
    </row>
    <row r="676" spans="1:7" s="14" customFormat="1" ht="34.5" customHeight="1" outlineLevel="1" x14ac:dyDescent="0.25">
      <c r="A676" s="57"/>
      <c r="B676" s="76" t="s">
        <v>1068</v>
      </c>
      <c r="C676" s="62" t="s">
        <v>79</v>
      </c>
      <c r="D676" s="49">
        <v>1</v>
      </c>
      <c r="E676" s="609">
        <f t="shared" si="10"/>
        <v>1</v>
      </c>
      <c r="F676" s="607"/>
      <c r="G676" s="607"/>
    </row>
    <row r="677" spans="1:7" s="14" customFormat="1" ht="34.5" customHeight="1" outlineLevel="1" x14ac:dyDescent="0.25">
      <c r="A677" s="57"/>
      <c r="B677" s="76" t="s">
        <v>1069</v>
      </c>
      <c r="C677" s="62" t="s">
        <v>79</v>
      </c>
      <c r="D677" s="49">
        <v>1</v>
      </c>
      <c r="E677" s="609">
        <f t="shared" si="10"/>
        <v>1</v>
      </c>
      <c r="F677" s="607"/>
      <c r="G677" s="607"/>
    </row>
    <row r="678" spans="1:7" s="14" customFormat="1" ht="34.5" customHeight="1" outlineLevel="1" x14ac:dyDescent="0.25">
      <c r="A678" s="57"/>
      <c r="B678" s="76" t="s">
        <v>1069</v>
      </c>
      <c r="C678" s="62" t="s">
        <v>79</v>
      </c>
      <c r="D678" s="49">
        <v>1</v>
      </c>
      <c r="E678" s="609">
        <f t="shared" si="10"/>
        <v>1</v>
      </c>
      <c r="F678" s="607"/>
      <c r="G678" s="607"/>
    </row>
    <row r="679" spans="1:7" s="14" customFormat="1" ht="34.5" customHeight="1" outlineLevel="1" x14ac:dyDescent="0.25">
      <c r="A679" s="57"/>
      <c r="B679" s="76" t="s">
        <v>1070</v>
      </c>
      <c r="C679" s="62" t="s">
        <v>79</v>
      </c>
      <c r="D679" s="49">
        <v>27</v>
      </c>
      <c r="E679" s="609">
        <f t="shared" si="10"/>
        <v>27</v>
      </c>
      <c r="F679" s="607"/>
      <c r="G679" s="607"/>
    </row>
    <row r="680" spans="1:7" s="14" customFormat="1" ht="34.5" customHeight="1" outlineLevel="1" x14ac:dyDescent="0.25">
      <c r="A680" s="57"/>
      <c r="B680" s="76" t="s">
        <v>963</v>
      </c>
      <c r="C680" s="62" t="s">
        <v>79</v>
      </c>
      <c r="D680" s="49">
        <v>168</v>
      </c>
      <c r="E680" s="609">
        <f t="shared" si="10"/>
        <v>168</v>
      </c>
      <c r="F680" s="607"/>
      <c r="G680" s="607"/>
    </row>
    <row r="681" spans="1:7" s="923" customFormat="1" ht="34.5" customHeight="1" x14ac:dyDescent="0.25">
      <c r="A681" s="913" t="s">
        <v>964</v>
      </c>
      <c r="B681" s="914" t="s">
        <v>1071</v>
      </c>
      <c r="C681" s="915"/>
      <c r="D681" s="916"/>
      <c r="E681" s="917"/>
      <c r="F681" s="918"/>
      <c r="G681" s="918"/>
    </row>
    <row r="682" spans="1:7" s="14" customFormat="1" ht="34.5" hidden="1" customHeight="1" outlineLevel="1" x14ac:dyDescent="0.25">
      <c r="A682" s="57">
        <v>1</v>
      </c>
      <c r="B682" s="58" t="s">
        <v>1072</v>
      </c>
      <c r="C682" s="59" t="s">
        <v>134</v>
      </c>
      <c r="D682" s="49"/>
      <c r="E682" s="609"/>
      <c r="F682" s="607"/>
      <c r="G682" s="607"/>
    </row>
    <row r="683" spans="1:7" s="14" customFormat="1" ht="34.5" hidden="1" customHeight="1" outlineLevel="1" x14ac:dyDescent="0.25">
      <c r="A683" s="57"/>
      <c r="B683" s="58" t="s">
        <v>1073</v>
      </c>
      <c r="C683" s="59" t="s">
        <v>971</v>
      </c>
      <c r="D683" s="49"/>
      <c r="E683" s="609"/>
      <c r="F683" s="607"/>
      <c r="G683" s="607"/>
    </row>
    <row r="684" spans="1:7" s="14" customFormat="1" ht="34.5" hidden="1" customHeight="1" outlineLevel="1" x14ac:dyDescent="0.25">
      <c r="A684" s="57"/>
      <c r="B684" s="58" t="s">
        <v>1074</v>
      </c>
      <c r="C684" s="59" t="s">
        <v>972</v>
      </c>
      <c r="D684" s="49"/>
      <c r="E684" s="609"/>
      <c r="F684" s="607"/>
      <c r="G684" s="607"/>
    </row>
    <row r="685" spans="1:7" s="14" customFormat="1" ht="34.5" hidden="1" customHeight="1" outlineLevel="1" x14ac:dyDescent="0.25">
      <c r="A685" s="57"/>
      <c r="B685" s="76" t="s">
        <v>1075</v>
      </c>
      <c r="C685" s="63" t="s">
        <v>77</v>
      </c>
      <c r="D685" s="49"/>
      <c r="E685" s="609"/>
      <c r="F685" s="607"/>
      <c r="G685" s="607"/>
    </row>
    <row r="686" spans="1:7" s="14" customFormat="1" ht="34.5" hidden="1" customHeight="1" outlineLevel="1" x14ac:dyDescent="0.25">
      <c r="A686" s="57"/>
      <c r="B686" s="76" t="s">
        <v>1076</v>
      </c>
      <c r="C686" s="63" t="s">
        <v>77</v>
      </c>
      <c r="D686" s="49"/>
      <c r="E686" s="609"/>
      <c r="F686" s="607"/>
      <c r="G686" s="607"/>
    </row>
    <row r="687" spans="1:7" s="14" customFormat="1" ht="34.5" hidden="1" customHeight="1" outlineLevel="1" x14ac:dyDescent="0.25">
      <c r="A687" s="57"/>
      <c r="B687" s="58" t="s">
        <v>1077</v>
      </c>
      <c r="C687" s="59" t="s">
        <v>972</v>
      </c>
      <c r="D687" s="52"/>
      <c r="E687" s="609"/>
      <c r="F687" s="607"/>
      <c r="G687" s="607"/>
    </row>
    <row r="688" spans="1:7" s="14" customFormat="1" ht="34.5" hidden="1" customHeight="1" outlineLevel="1" x14ac:dyDescent="0.25">
      <c r="A688" s="57"/>
      <c r="B688" s="76" t="s">
        <v>1078</v>
      </c>
      <c r="C688" s="63" t="s">
        <v>77</v>
      </c>
      <c r="D688" s="49"/>
      <c r="E688" s="609"/>
      <c r="F688" s="607"/>
      <c r="G688" s="607"/>
    </row>
    <row r="689" spans="1:7" s="14" customFormat="1" ht="34.5" hidden="1" customHeight="1" outlineLevel="1" x14ac:dyDescent="0.25">
      <c r="A689" s="57"/>
      <c r="B689" s="76" t="s">
        <v>1076</v>
      </c>
      <c r="C689" s="63" t="s">
        <v>77</v>
      </c>
      <c r="D689" s="49"/>
      <c r="E689" s="609"/>
      <c r="F689" s="607"/>
      <c r="G689" s="607"/>
    </row>
    <row r="690" spans="1:7" s="14" customFormat="1" ht="34.5" hidden="1" customHeight="1" outlineLevel="1" x14ac:dyDescent="0.25">
      <c r="A690" s="57"/>
      <c r="B690" s="58" t="s">
        <v>1079</v>
      </c>
      <c r="C690" s="59" t="s">
        <v>973</v>
      </c>
      <c r="D690" s="52"/>
      <c r="E690" s="609"/>
      <c r="F690" s="607"/>
      <c r="G690" s="607"/>
    </row>
    <row r="691" spans="1:7" s="14" customFormat="1" ht="34.5" hidden="1" customHeight="1" outlineLevel="1" x14ac:dyDescent="0.25">
      <c r="A691" s="57"/>
      <c r="B691" s="76" t="s">
        <v>1080</v>
      </c>
      <c r="C691" s="63" t="s">
        <v>77</v>
      </c>
      <c r="D691" s="49"/>
      <c r="E691" s="609"/>
      <c r="F691" s="607"/>
      <c r="G691" s="607"/>
    </row>
    <row r="692" spans="1:7" s="14" customFormat="1" ht="34.5" hidden="1" customHeight="1" outlineLevel="1" x14ac:dyDescent="0.25">
      <c r="A692" s="57"/>
      <c r="B692" s="76" t="s">
        <v>1075</v>
      </c>
      <c r="C692" s="63" t="s">
        <v>77</v>
      </c>
      <c r="D692" s="49"/>
      <c r="E692" s="609"/>
      <c r="F692" s="607"/>
      <c r="G692" s="607"/>
    </row>
    <row r="693" spans="1:7" s="14" customFormat="1" ht="34.5" hidden="1" customHeight="1" outlineLevel="1" x14ac:dyDescent="0.25">
      <c r="A693" s="57"/>
      <c r="B693" s="58" t="s">
        <v>1081</v>
      </c>
      <c r="C693" s="59"/>
      <c r="D693" s="49"/>
      <c r="E693" s="609"/>
      <c r="F693" s="607"/>
      <c r="G693" s="607"/>
    </row>
    <row r="694" spans="1:7" s="14" customFormat="1" ht="34.5" hidden="1" customHeight="1" outlineLevel="1" x14ac:dyDescent="0.25">
      <c r="A694" s="57"/>
      <c r="B694" s="58" t="s">
        <v>1082</v>
      </c>
      <c r="C694" s="59" t="s">
        <v>972</v>
      </c>
      <c r="D694" s="49"/>
      <c r="E694" s="609"/>
      <c r="F694" s="607"/>
      <c r="G694" s="607"/>
    </row>
    <row r="695" spans="1:7" s="14" customFormat="1" ht="34.5" hidden="1" customHeight="1" outlineLevel="1" x14ac:dyDescent="0.25">
      <c r="A695" s="57"/>
      <c r="B695" s="76" t="s">
        <v>1075</v>
      </c>
      <c r="C695" s="63" t="s">
        <v>77</v>
      </c>
      <c r="D695" s="49"/>
      <c r="E695" s="609"/>
      <c r="F695" s="607"/>
      <c r="G695" s="607"/>
    </row>
    <row r="696" spans="1:7" s="14" customFormat="1" ht="34.5" hidden="1" customHeight="1" outlineLevel="1" x14ac:dyDescent="0.25">
      <c r="A696" s="57"/>
      <c r="B696" s="76" t="s">
        <v>1076</v>
      </c>
      <c r="C696" s="63" t="s">
        <v>77</v>
      </c>
      <c r="D696" s="49"/>
      <c r="E696" s="609"/>
      <c r="F696" s="607"/>
      <c r="G696" s="607"/>
    </row>
    <row r="697" spans="1:7" s="14" customFormat="1" ht="34.5" hidden="1" customHeight="1" outlineLevel="1" x14ac:dyDescent="0.25">
      <c r="A697" s="57"/>
      <c r="B697" s="58" t="s">
        <v>1077</v>
      </c>
      <c r="C697" s="59" t="s">
        <v>972</v>
      </c>
      <c r="D697" s="49"/>
      <c r="E697" s="609"/>
      <c r="F697" s="607"/>
      <c r="G697" s="607"/>
    </row>
    <row r="698" spans="1:7" s="14" customFormat="1" ht="34.5" hidden="1" customHeight="1" outlineLevel="1" x14ac:dyDescent="0.25">
      <c r="A698" s="57"/>
      <c r="B698" s="76" t="s">
        <v>1078</v>
      </c>
      <c r="C698" s="63" t="s">
        <v>77</v>
      </c>
      <c r="D698" s="49"/>
      <c r="E698" s="609"/>
      <c r="F698" s="607"/>
      <c r="G698" s="607"/>
    </row>
    <row r="699" spans="1:7" s="14" customFormat="1" ht="34.5" hidden="1" customHeight="1" outlineLevel="1" x14ac:dyDescent="0.25">
      <c r="A699" s="57"/>
      <c r="B699" s="76" t="s">
        <v>1076</v>
      </c>
      <c r="C699" s="63" t="s">
        <v>77</v>
      </c>
      <c r="D699" s="49"/>
      <c r="E699" s="609"/>
      <c r="F699" s="607"/>
      <c r="G699" s="607"/>
    </row>
    <row r="700" spans="1:7" s="14" customFormat="1" ht="34.5" hidden="1" customHeight="1" outlineLevel="1" x14ac:dyDescent="0.25">
      <c r="A700" s="57"/>
      <c r="B700" s="58" t="s">
        <v>1083</v>
      </c>
      <c r="C700" s="59" t="s">
        <v>973</v>
      </c>
      <c r="D700" s="49"/>
      <c r="E700" s="609"/>
      <c r="F700" s="607"/>
      <c r="G700" s="607"/>
    </row>
    <row r="701" spans="1:7" s="14" customFormat="1" ht="34.5" hidden="1" customHeight="1" outlineLevel="1" x14ac:dyDescent="0.25">
      <c r="A701" s="57"/>
      <c r="B701" s="76" t="s">
        <v>1080</v>
      </c>
      <c r="C701" s="63" t="s">
        <v>77</v>
      </c>
      <c r="D701" s="49"/>
      <c r="E701" s="609"/>
      <c r="F701" s="607"/>
      <c r="G701" s="607"/>
    </row>
    <row r="702" spans="1:7" s="14" customFormat="1" ht="34.5" hidden="1" customHeight="1" outlineLevel="1" x14ac:dyDescent="0.25">
      <c r="A702" s="57"/>
      <c r="B702" s="76" t="s">
        <v>1075</v>
      </c>
      <c r="C702" s="63" t="s">
        <v>77</v>
      </c>
      <c r="D702" s="49"/>
      <c r="E702" s="609"/>
      <c r="F702" s="607"/>
      <c r="G702" s="607"/>
    </row>
    <row r="703" spans="1:7" s="14" customFormat="1" ht="34.5" hidden="1" customHeight="1" outlineLevel="1" x14ac:dyDescent="0.25">
      <c r="A703" s="57"/>
      <c r="B703" s="58" t="s">
        <v>1084</v>
      </c>
      <c r="C703" s="59" t="s">
        <v>1085</v>
      </c>
      <c r="D703" s="52"/>
      <c r="E703" s="609"/>
      <c r="F703" s="607"/>
      <c r="G703" s="607"/>
    </row>
    <row r="704" spans="1:7" s="14" customFormat="1" ht="34.5" hidden="1" customHeight="1" outlineLevel="1" x14ac:dyDescent="0.25">
      <c r="A704" s="57"/>
      <c r="B704" s="76" t="s">
        <v>1086</v>
      </c>
      <c r="C704" s="62" t="s">
        <v>1085</v>
      </c>
      <c r="D704" s="49"/>
      <c r="E704" s="609"/>
      <c r="F704" s="607"/>
      <c r="G704" s="607"/>
    </row>
    <row r="705" spans="1:7" s="14" customFormat="1" ht="34.5" customHeight="1" collapsed="1" x14ac:dyDescent="0.25">
      <c r="A705" s="913" t="s">
        <v>965</v>
      </c>
      <c r="B705" s="914" t="s">
        <v>1087</v>
      </c>
      <c r="C705" s="915"/>
      <c r="D705" s="916"/>
      <c r="E705" s="917"/>
      <c r="F705" s="918"/>
      <c r="G705" s="918"/>
    </row>
    <row r="706" spans="1:7" s="14" customFormat="1" ht="34.5" customHeight="1" outlineLevel="1" x14ac:dyDescent="0.25">
      <c r="A706" s="919">
        <v>1</v>
      </c>
      <c r="B706" s="920" t="s">
        <v>663</v>
      </c>
      <c r="C706" s="926" t="s">
        <v>134</v>
      </c>
      <c r="D706" s="924">
        <v>1</v>
      </c>
      <c r="E706" s="917">
        <f t="shared" si="10"/>
        <v>1</v>
      </c>
      <c r="F706" s="918"/>
      <c r="G706" s="918"/>
    </row>
    <row r="707" spans="1:7" s="14" customFormat="1" ht="34.5" customHeight="1" outlineLevel="2" x14ac:dyDescent="0.25">
      <c r="A707" s="125"/>
      <c r="B707" s="297" t="s">
        <v>267</v>
      </c>
      <c r="C707" s="294" t="s">
        <v>76</v>
      </c>
      <c r="D707" s="293" t="s">
        <v>662</v>
      </c>
      <c r="E707" s="609" t="str">
        <f t="shared" si="10"/>
        <v>16/1238,88</v>
      </c>
      <c r="F707" s="607"/>
      <c r="G707" s="607"/>
    </row>
    <row r="708" spans="1:7" s="14" customFormat="1" ht="34.5" customHeight="1" outlineLevel="2" x14ac:dyDescent="0.25">
      <c r="A708" s="125"/>
      <c r="B708" s="874" t="s">
        <v>81</v>
      </c>
      <c r="C708" s="295" t="s">
        <v>77</v>
      </c>
      <c r="D708" s="293">
        <v>19.84</v>
      </c>
      <c r="E708" s="609">
        <f t="shared" si="10"/>
        <v>19.84</v>
      </c>
      <c r="F708" s="607" t="s">
        <v>418</v>
      </c>
      <c r="G708" s="1018" t="s">
        <v>1454</v>
      </c>
    </row>
    <row r="709" spans="1:7" s="14" customFormat="1" ht="34.5" customHeight="1" outlineLevel="2" x14ac:dyDescent="0.25">
      <c r="A709" s="125"/>
      <c r="B709" s="874" t="s">
        <v>85</v>
      </c>
      <c r="C709" s="295" t="s">
        <v>77</v>
      </c>
      <c r="D709" s="293">
        <v>20.342400000000001</v>
      </c>
      <c r="E709" s="609">
        <f t="shared" si="10"/>
        <v>20.342400000000001</v>
      </c>
      <c r="F709" s="607" t="s">
        <v>418</v>
      </c>
      <c r="G709" s="1018" t="s">
        <v>1454</v>
      </c>
    </row>
    <row r="710" spans="1:7" s="14" customFormat="1" ht="34.5" customHeight="1" outlineLevel="2" x14ac:dyDescent="0.25">
      <c r="A710" s="125"/>
      <c r="B710" s="874" t="s">
        <v>86</v>
      </c>
      <c r="C710" s="295" t="s">
        <v>77</v>
      </c>
      <c r="D710" s="293">
        <v>17.851199999999999</v>
      </c>
      <c r="E710" s="609">
        <f t="shared" si="10"/>
        <v>17.851199999999999</v>
      </c>
      <c r="F710" s="607" t="s">
        <v>418</v>
      </c>
      <c r="G710" s="1018" t="s">
        <v>1454</v>
      </c>
    </row>
    <row r="711" spans="1:7" s="14" customFormat="1" ht="34.5" customHeight="1" outlineLevel="2" x14ac:dyDescent="0.25">
      <c r="A711" s="125"/>
      <c r="B711" s="874" t="s">
        <v>87</v>
      </c>
      <c r="C711" s="295" t="s">
        <v>77</v>
      </c>
      <c r="D711" s="293">
        <v>45.944000000000003</v>
      </c>
      <c r="E711" s="609">
        <f t="shared" si="10"/>
        <v>45.944000000000003</v>
      </c>
      <c r="F711" s="607" t="s">
        <v>418</v>
      </c>
      <c r="G711" s="1018" t="s">
        <v>1454</v>
      </c>
    </row>
    <row r="712" spans="1:7" s="14" customFormat="1" ht="34.5" customHeight="1" outlineLevel="2" x14ac:dyDescent="0.25">
      <c r="A712" s="125"/>
      <c r="B712" s="874" t="s">
        <v>143</v>
      </c>
      <c r="C712" s="295" t="s">
        <v>77</v>
      </c>
      <c r="D712" s="293">
        <v>28.9344</v>
      </c>
      <c r="E712" s="609">
        <f t="shared" si="10"/>
        <v>28.9344</v>
      </c>
      <c r="F712" s="607" t="s">
        <v>418</v>
      </c>
      <c r="G712" s="1018" t="s">
        <v>1454</v>
      </c>
    </row>
    <row r="713" spans="1:7" s="14" customFormat="1" ht="34.5" customHeight="1" outlineLevel="2" x14ac:dyDescent="0.25">
      <c r="A713" s="125"/>
      <c r="B713" s="874" t="s">
        <v>109</v>
      </c>
      <c r="C713" s="295" t="s">
        <v>77</v>
      </c>
      <c r="D713" s="293">
        <v>222.66079999999999</v>
      </c>
      <c r="E713" s="609">
        <f t="shared" si="10"/>
        <v>222.66079999999999</v>
      </c>
      <c r="F713" s="607" t="s">
        <v>418</v>
      </c>
      <c r="G713" s="1018" t="s">
        <v>1454</v>
      </c>
    </row>
    <row r="714" spans="1:7" s="14" customFormat="1" ht="34.5" customHeight="1" outlineLevel="2" x14ac:dyDescent="0.25">
      <c r="A714" s="125"/>
      <c r="B714" s="874" t="s">
        <v>88</v>
      </c>
      <c r="C714" s="296" t="s">
        <v>10</v>
      </c>
      <c r="D714" s="293">
        <v>2176.64</v>
      </c>
      <c r="E714" s="609">
        <f t="shared" si="10"/>
        <v>2176.64</v>
      </c>
      <c r="F714" s="609" t="s">
        <v>1451</v>
      </c>
      <c r="G714" s="607"/>
    </row>
    <row r="715" spans="1:7" s="14" customFormat="1" ht="34.5" customHeight="1" outlineLevel="2" x14ac:dyDescent="0.25">
      <c r="A715" s="125"/>
      <c r="B715" s="874" t="s">
        <v>89</v>
      </c>
      <c r="C715" s="295" t="s">
        <v>10</v>
      </c>
      <c r="D715" s="293">
        <v>23.04</v>
      </c>
      <c r="E715" s="609">
        <f t="shared" si="10"/>
        <v>23.04</v>
      </c>
      <c r="F715" s="609" t="s">
        <v>1452</v>
      </c>
      <c r="G715" s="607"/>
    </row>
    <row r="716" spans="1:7" s="14" customFormat="1" ht="34.5" customHeight="1" outlineLevel="2" x14ac:dyDescent="0.25">
      <c r="A716" s="125"/>
      <c r="B716" s="874" t="s">
        <v>664</v>
      </c>
      <c r="C716" s="295" t="s">
        <v>10</v>
      </c>
      <c r="D716" s="293">
        <v>31.64</v>
      </c>
      <c r="E716" s="609">
        <f t="shared" si="10"/>
        <v>31.64</v>
      </c>
      <c r="F716" s="609" t="s">
        <v>1453</v>
      </c>
      <c r="G716" s="607"/>
    </row>
    <row r="717" spans="1:7" s="14" customFormat="1" ht="34.5" customHeight="1" outlineLevel="2" x14ac:dyDescent="0.25">
      <c r="A717" s="125"/>
      <c r="B717" s="874" t="s">
        <v>90</v>
      </c>
      <c r="C717" s="296" t="s">
        <v>77</v>
      </c>
      <c r="D717" s="293">
        <v>6.7232000000000003</v>
      </c>
      <c r="E717" s="609">
        <f t="shared" si="10"/>
        <v>6.7232000000000003</v>
      </c>
      <c r="F717" s="607" t="s">
        <v>418</v>
      </c>
      <c r="G717" s="1018" t="s">
        <v>1454</v>
      </c>
    </row>
    <row r="718" spans="1:7" s="14" customFormat="1" ht="34.5" customHeight="1" outlineLevel="2" x14ac:dyDescent="0.25">
      <c r="A718" s="125"/>
      <c r="B718" s="874" t="s">
        <v>665</v>
      </c>
      <c r="C718" s="295" t="s">
        <v>78</v>
      </c>
      <c r="D718" s="293">
        <v>3192</v>
      </c>
      <c r="E718" s="609">
        <f t="shared" si="10"/>
        <v>3192</v>
      </c>
      <c r="F718" s="607" t="s">
        <v>418</v>
      </c>
      <c r="G718" s="1018" t="s">
        <v>1454</v>
      </c>
    </row>
    <row r="719" spans="1:7" s="14" customFormat="1" ht="34.5" customHeight="1" outlineLevel="2" x14ac:dyDescent="0.25">
      <c r="A719" s="125"/>
      <c r="B719" s="874" t="s">
        <v>666</v>
      </c>
      <c r="C719" s="295" t="s">
        <v>78</v>
      </c>
      <c r="D719" s="293">
        <v>1596</v>
      </c>
      <c r="E719" s="609">
        <f t="shared" si="10"/>
        <v>1596</v>
      </c>
      <c r="F719" s="607" t="s">
        <v>418</v>
      </c>
      <c r="G719" s="1018" t="s">
        <v>1454</v>
      </c>
    </row>
    <row r="720" spans="1:7" s="14" customFormat="1" ht="34.5" customHeight="1" outlineLevel="2" x14ac:dyDescent="0.25">
      <c r="A720" s="125"/>
      <c r="B720" s="874" t="s">
        <v>146</v>
      </c>
      <c r="C720" s="295" t="s">
        <v>78</v>
      </c>
      <c r="D720" s="293">
        <v>1596</v>
      </c>
      <c r="E720" s="609">
        <f t="shared" ref="E720:E783" si="11">D720</f>
        <v>1596</v>
      </c>
      <c r="F720" s="607" t="s">
        <v>418</v>
      </c>
      <c r="G720" s="1018" t="s">
        <v>1454</v>
      </c>
    </row>
    <row r="721" spans="1:7" s="14" customFormat="1" ht="34.5" customHeight="1" outlineLevel="2" x14ac:dyDescent="0.25">
      <c r="A721" s="125"/>
      <c r="B721" s="874" t="s">
        <v>667</v>
      </c>
      <c r="C721" s="295" t="s">
        <v>78</v>
      </c>
      <c r="D721" s="293">
        <v>1596</v>
      </c>
      <c r="E721" s="609">
        <f t="shared" si="11"/>
        <v>1596</v>
      </c>
      <c r="F721" s="607" t="s">
        <v>418</v>
      </c>
      <c r="G721" s="1018" t="s">
        <v>1454</v>
      </c>
    </row>
    <row r="722" spans="1:7" s="14" customFormat="1" ht="34.5" customHeight="1" outlineLevel="2" x14ac:dyDescent="0.25">
      <c r="A722" s="125"/>
      <c r="B722" s="874" t="s">
        <v>148</v>
      </c>
      <c r="C722" s="295" t="s">
        <v>78</v>
      </c>
      <c r="D722" s="293">
        <v>1064</v>
      </c>
      <c r="E722" s="609">
        <f t="shared" si="11"/>
        <v>1064</v>
      </c>
      <c r="F722" s="607" t="s">
        <v>418</v>
      </c>
      <c r="G722" s="1018" t="s">
        <v>1454</v>
      </c>
    </row>
    <row r="723" spans="1:7" s="14" customFormat="1" ht="34.5" customHeight="1" outlineLevel="2" x14ac:dyDescent="0.25">
      <c r="A723" s="125"/>
      <c r="B723" s="874" t="s">
        <v>149</v>
      </c>
      <c r="C723" s="295" t="s">
        <v>78</v>
      </c>
      <c r="D723" s="293">
        <v>1064</v>
      </c>
      <c r="E723" s="609">
        <f t="shared" si="11"/>
        <v>1064</v>
      </c>
      <c r="F723" s="607" t="s">
        <v>418</v>
      </c>
      <c r="G723" s="1018" t="s">
        <v>1454</v>
      </c>
    </row>
    <row r="724" spans="1:7" s="14" customFormat="1" ht="34.5" customHeight="1" outlineLevel="2" x14ac:dyDescent="0.25">
      <c r="A724" s="125"/>
      <c r="B724" s="874" t="s">
        <v>150</v>
      </c>
      <c r="C724" s="295" t="s">
        <v>57</v>
      </c>
      <c r="D724" s="293">
        <v>39.622</v>
      </c>
      <c r="E724" s="609">
        <f t="shared" si="11"/>
        <v>39.622</v>
      </c>
      <c r="F724" s="607" t="s">
        <v>418</v>
      </c>
      <c r="G724" s="1018" t="s">
        <v>1454</v>
      </c>
    </row>
    <row r="725" spans="1:7" s="14" customFormat="1" ht="34.5" customHeight="1" outlineLevel="2" x14ac:dyDescent="0.25">
      <c r="A725" s="125"/>
      <c r="B725" s="874" t="s">
        <v>151</v>
      </c>
      <c r="C725" s="295" t="s">
        <v>57</v>
      </c>
      <c r="D725" s="293">
        <v>13.08</v>
      </c>
      <c r="E725" s="609">
        <f t="shared" si="11"/>
        <v>13.08</v>
      </c>
      <c r="F725" s="607" t="s">
        <v>418</v>
      </c>
      <c r="G725" s="1018" t="s">
        <v>1454</v>
      </c>
    </row>
    <row r="726" spans="1:7" s="14" customFormat="1" ht="34.5" customHeight="1" outlineLevel="2" x14ac:dyDescent="0.25">
      <c r="A726" s="125"/>
      <c r="B726" s="874" t="s">
        <v>97</v>
      </c>
      <c r="C726" s="295" t="s">
        <v>79</v>
      </c>
      <c r="D726" s="293">
        <v>96</v>
      </c>
      <c r="E726" s="609">
        <f t="shared" si="11"/>
        <v>96</v>
      </c>
      <c r="F726" s="607" t="s">
        <v>418</v>
      </c>
      <c r="G726" s="1018" t="s">
        <v>1454</v>
      </c>
    </row>
    <row r="727" spans="1:7" s="14" customFormat="1" ht="34.5" customHeight="1" outlineLevel="2" x14ac:dyDescent="0.25">
      <c r="A727" s="125"/>
      <c r="B727" s="874" t="s">
        <v>98</v>
      </c>
      <c r="C727" s="295" t="s">
        <v>79</v>
      </c>
      <c r="D727" s="293">
        <v>32</v>
      </c>
      <c r="E727" s="609">
        <f t="shared" si="11"/>
        <v>32</v>
      </c>
      <c r="F727" s="607" t="s">
        <v>418</v>
      </c>
      <c r="G727" s="1018" t="s">
        <v>1454</v>
      </c>
    </row>
    <row r="728" spans="1:7" s="14" customFormat="1" ht="34.5" hidden="1" customHeight="1" outlineLevel="2" x14ac:dyDescent="0.25">
      <c r="A728" s="57"/>
      <c r="B728" s="64" t="s">
        <v>99</v>
      </c>
      <c r="C728" s="57" t="s">
        <v>135</v>
      </c>
      <c r="D728" s="49">
        <v>1</v>
      </c>
      <c r="E728" s="609">
        <f t="shared" si="11"/>
        <v>1</v>
      </c>
      <c r="F728" s="607"/>
      <c r="G728" s="607"/>
    </row>
    <row r="729" spans="1:7" s="14" customFormat="1" ht="34.5" hidden="1" customHeight="1" outlineLevel="2" x14ac:dyDescent="0.25">
      <c r="A729" s="57"/>
      <c r="B729" s="61" t="s">
        <v>83</v>
      </c>
      <c r="C729" s="62" t="s">
        <v>77</v>
      </c>
      <c r="D729" s="49"/>
      <c r="E729" s="609">
        <f t="shared" si="11"/>
        <v>0</v>
      </c>
      <c r="F729" s="607"/>
      <c r="G729" s="607"/>
    </row>
    <row r="730" spans="1:7" s="14" customFormat="1" ht="34.5" hidden="1" customHeight="1" outlineLevel="2" x14ac:dyDescent="0.25">
      <c r="A730" s="57"/>
      <c r="B730" s="61" t="s">
        <v>85</v>
      </c>
      <c r="C730" s="62" t="s">
        <v>77</v>
      </c>
      <c r="D730" s="49">
        <v>26.493099999999998</v>
      </c>
      <c r="E730" s="609">
        <f t="shared" si="11"/>
        <v>26.493099999999998</v>
      </c>
      <c r="F730" s="607"/>
      <c r="G730" s="607"/>
    </row>
    <row r="731" spans="1:7" s="14" customFormat="1" ht="34.5" hidden="1" customHeight="1" outlineLevel="2" x14ac:dyDescent="0.25">
      <c r="A731" s="57"/>
      <c r="B731" s="61" t="s">
        <v>87</v>
      </c>
      <c r="C731" s="62" t="s">
        <v>77</v>
      </c>
      <c r="D731" s="49">
        <v>12.243880000000001</v>
      </c>
      <c r="E731" s="609">
        <f t="shared" si="11"/>
        <v>12.243880000000001</v>
      </c>
      <c r="F731" s="607"/>
      <c r="G731" s="607"/>
    </row>
    <row r="732" spans="1:7" s="14" customFormat="1" ht="34.5" hidden="1" customHeight="1" outlineLevel="2" x14ac:dyDescent="0.25">
      <c r="A732" s="57"/>
      <c r="B732" s="61" t="s">
        <v>109</v>
      </c>
      <c r="C732" s="62" t="s">
        <v>77</v>
      </c>
      <c r="D732" s="49">
        <v>92.989660000000001</v>
      </c>
      <c r="E732" s="609">
        <f t="shared" si="11"/>
        <v>92.989660000000001</v>
      </c>
      <c r="F732" s="607"/>
      <c r="G732" s="607"/>
    </row>
    <row r="733" spans="1:7" s="14" customFormat="1" ht="34.5" hidden="1" customHeight="1" outlineLevel="2" x14ac:dyDescent="0.25">
      <c r="A733" s="57"/>
      <c r="B733" s="61" t="s">
        <v>1088</v>
      </c>
      <c r="C733" s="63" t="s">
        <v>10</v>
      </c>
      <c r="D733" s="49">
        <v>811.26</v>
      </c>
      <c r="E733" s="609">
        <f t="shared" si="11"/>
        <v>811.26</v>
      </c>
      <c r="F733" s="607"/>
      <c r="G733" s="607"/>
    </row>
    <row r="734" spans="1:7" s="14" customFormat="1" ht="34.5" hidden="1" customHeight="1" outlineLevel="2" x14ac:dyDescent="0.25">
      <c r="A734" s="57"/>
      <c r="B734" s="61" t="s">
        <v>102</v>
      </c>
      <c r="C734" s="62" t="s">
        <v>66</v>
      </c>
      <c r="D734" s="49">
        <v>4.4400000000000004</v>
      </c>
      <c r="E734" s="609">
        <f t="shared" si="11"/>
        <v>4.4400000000000004</v>
      </c>
      <c r="F734" s="607"/>
      <c r="G734" s="607"/>
    </row>
    <row r="735" spans="1:7" s="14" customFormat="1" ht="34.5" hidden="1" customHeight="1" outlineLevel="2" x14ac:dyDescent="0.25">
      <c r="A735" s="57"/>
      <c r="B735" s="64" t="s">
        <v>104</v>
      </c>
      <c r="C735" s="57" t="s">
        <v>136</v>
      </c>
      <c r="D735" s="49">
        <v>1</v>
      </c>
      <c r="E735" s="609">
        <f t="shared" si="11"/>
        <v>1</v>
      </c>
      <c r="F735" s="607"/>
      <c r="G735" s="607"/>
    </row>
    <row r="736" spans="1:7" s="14" customFormat="1" ht="34.5" hidden="1" customHeight="1" outlineLevel="2" x14ac:dyDescent="0.25">
      <c r="A736" s="57"/>
      <c r="B736" s="61" t="s">
        <v>83</v>
      </c>
      <c r="C736" s="62" t="s">
        <v>77</v>
      </c>
      <c r="D736" s="49">
        <v>0.27021000000000001</v>
      </c>
      <c r="E736" s="609">
        <f t="shared" si="11"/>
        <v>0.27021000000000001</v>
      </c>
      <c r="F736" s="607"/>
      <c r="G736" s="607"/>
    </row>
    <row r="737" spans="1:7" s="14" customFormat="1" ht="34.5" hidden="1" customHeight="1" outlineLevel="2" x14ac:dyDescent="0.25">
      <c r="A737" s="57"/>
      <c r="B737" s="61" t="s">
        <v>85</v>
      </c>
      <c r="C737" s="62" t="s">
        <v>77</v>
      </c>
      <c r="D737" s="49">
        <v>19.951160000000002</v>
      </c>
      <c r="E737" s="609">
        <f t="shared" si="11"/>
        <v>19.951160000000002</v>
      </c>
      <c r="F737" s="607"/>
      <c r="G737" s="607"/>
    </row>
    <row r="738" spans="1:7" s="14" customFormat="1" ht="34.5" hidden="1" customHeight="1" outlineLevel="2" x14ac:dyDescent="0.25">
      <c r="A738" s="57"/>
      <c r="B738" s="61" t="s">
        <v>87</v>
      </c>
      <c r="C738" s="62" t="s">
        <v>77</v>
      </c>
      <c r="D738" s="49">
        <v>1.15743</v>
      </c>
      <c r="E738" s="609">
        <f t="shared" si="11"/>
        <v>1.15743</v>
      </c>
      <c r="F738" s="607"/>
      <c r="G738" s="607"/>
    </row>
    <row r="739" spans="1:7" s="14" customFormat="1" ht="34.5" hidden="1" customHeight="1" outlineLevel="2" x14ac:dyDescent="0.25">
      <c r="A739" s="57"/>
      <c r="B739" s="61" t="s">
        <v>109</v>
      </c>
      <c r="C739" s="62" t="s">
        <v>77</v>
      </c>
      <c r="D739" s="49">
        <v>30.29608</v>
      </c>
      <c r="E739" s="609">
        <f t="shared" si="11"/>
        <v>30.29608</v>
      </c>
      <c r="F739" s="607"/>
      <c r="G739" s="607"/>
    </row>
    <row r="740" spans="1:7" s="14" customFormat="1" ht="34.5" hidden="1" customHeight="1" outlineLevel="2" x14ac:dyDescent="0.25">
      <c r="A740" s="57"/>
      <c r="B740" s="61" t="s">
        <v>1088</v>
      </c>
      <c r="C740" s="63" t="s">
        <v>10</v>
      </c>
      <c r="D740" s="49">
        <v>221.14</v>
      </c>
      <c r="E740" s="609">
        <f t="shared" si="11"/>
        <v>221.14</v>
      </c>
      <c r="F740" s="607"/>
      <c r="G740" s="607"/>
    </row>
    <row r="741" spans="1:7" s="14" customFormat="1" ht="34.5" hidden="1" customHeight="1" outlineLevel="2" x14ac:dyDescent="0.25">
      <c r="A741" s="57"/>
      <c r="B741" s="61" t="s">
        <v>102</v>
      </c>
      <c r="C741" s="62" t="s">
        <v>66</v>
      </c>
      <c r="D741" s="49">
        <v>2.0449999999999999</v>
      </c>
      <c r="E741" s="609">
        <f t="shared" si="11"/>
        <v>2.0449999999999999</v>
      </c>
      <c r="F741" s="607"/>
      <c r="G741" s="607"/>
    </row>
    <row r="742" spans="1:7" s="14" customFormat="1" ht="34.5" hidden="1" customHeight="1" outlineLevel="2" x14ac:dyDescent="0.25">
      <c r="A742" s="57"/>
      <c r="B742" s="64" t="s">
        <v>1089</v>
      </c>
      <c r="C742" s="59" t="s">
        <v>134</v>
      </c>
      <c r="D742" s="49"/>
      <c r="E742" s="609">
        <f t="shared" si="11"/>
        <v>0</v>
      </c>
      <c r="F742" s="607"/>
      <c r="G742" s="607"/>
    </row>
    <row r="743" spans="1:7" s="14" customFormat="1" ht="34.5" hidden="1" customHeight="1" outlineLevel="2" x14ac:dyDescent="0.25">
      <c r="A743" s="57"/>
      <c r="B743" s="875" t="s">
        <v>924</v>
      </c>
      <c r="C743" s="876" t="s">
        <v>77</v>
      </c>
      <c r="D743" s="49"/>
      <c r="E743" s="609">
        <f t="shared" si="11"/>
        <v>0</v>
      </c>
      <c r="F743" s="607"/>
      <c r="G743" s="607"/>
    </row>
    <row r="744" spans="1:7" s="14" customFormat="1" ht="34.5" hidden="1" customHeight="1" outlineLevel="2" x14ac:dyDescent="0.25">
      <c r="A744" s="57"/>
      <c r="B744" s="875" t="s">
        <v>987</v>
      </c>
      <c r="C744" s="876" t="s">
        <v>124</v>
      </c>
      <c r="D744" s="49"/>
      <c r="E744" s="609">
        <f t="shared" si="11"/>
        <v>0</v>
      </c>
      <c r="F744" s="607"/>
      <c r="G744" s="607"/>
    </row>
    <row r="745" spans="1:7" s="14" customFormat="1" ht="34.5" hidden="1" customHeight="1" outlineLevel="2" x14ac:dyDescent="0.25">
      <c r="A745" s="57"/>
      <c r="B745" s="875" t="s">
        <v>1090</v>
      </c>
      <c r="C745" s="876" t="s">
        <v>78</v>
      </c>
      <c r="D745" s="49"/>
      <c r="E745" s="609">
        <f t="shared" si="11"/>
        <v>0</v>
      </c>
      <c r="F745" s="607"/>
      <c r="G745" s="607"/>
    </row>
    <row r="746" spans="1:7" s="14" customFormat="1" ht="34.5" hidden="1" customHeight="1" outlineLevel="2" x14ac:dyDescent="0.25">
      <c r="A746" s="57"/>
      <c r="B746" s="875" t="s">
        <v>990</v>
      </c>
      <c r="C746" s="876" t="s">
        <v>78</v>
      </c>
      <c r="D746" s="49"/>
      <c r="E746" s="609">
        <f t="shared" si="11"/>
        <v>0</v>
      </c>
      <c r="F746" s="607"/>
      <c r="G746" s="607"/>
    </row>
    <row r="747" spans="1:7" s="14" customFormat="1" ht="34.5" hidden="1" customHeight="1" outlineLevel="2" x14ac:dyDescent="0.25">
      <c r="A747" s="57"/>
      <c r="B747" s="875" t="s">
        <v>1091</v>
      </c>
      <c r="C747" s="876" t="s">
        <v>57</v>
      </c>
      <c r="D747" s="49"/>
      <c r="E747" s="609">
        <f t="shared" si="11"/>
        <v>0</v>
      </c>
      <c r="F747" s="607"/>
      <c r="G747" s="607"/>
    </row>
    <row r="748" spans="1:7" s="14" customFormat="1" ht="34.5" hidden="1" customHeight="1" outlineLevel="2" x14ac:dyDescent="0.25">
      <c r="A748" s="57"/>
      <c r="B748" s="875" t="s">
        <v>932</v>
      </c>
      <c r="C748" s="876" t="s">
        <v>10</v>
      </c>
      <c r="D748" s="49"/>
      <c r="E748" s="609">
        <f t="shared" si="11"/>
        <v>0</v>
      </c>
      <c r="F748" s="607"/>
      <c r="G748" s="607"/>
    </row>
    <row r="749" spans="1:7" s="14" customFormat="1" ht="34.5" hidden="1" customHeight="1" outlineLevel="2" x14ac:dyDescent="0.25">
      <c r="A749" s="57"/>
      <c r="B749" s="875" t="s">
        <v>1092</v>
      </c>
      <c r="C749" s="876" t="s">
        <v>10</v>
      </c>
      <c r="D749" s="49"/>
      <c r="E749" s="609">
        <f t="shared" si="11"/>
        <v>0</v>
      </c>
      <c r="F749" s="607"/>
      <c r="G749" s="607"/>
    </row>
    <row r="750" spans="1:7" s="14" customFormat="1" ht="34.5" hidden="1" customHeight="1" outlineLevel="2" x14ac:dyDescent="0.25">
      <c r="A750" s="57"/>
      <c r="B750" s="875" t="s">
        <v>929</v>
      </c>
      <c r="C750" s="876" t="s">
        <v>77</v>
      </c>
      <c r="D750" s="49"/>
      <c r="E750" s="609">
        <f t="shared" si="11"/>
        <v>0</v>
      </c>
      <c r="F750" s="607"/>
      <c r="G750" s="607"/>
    </row>
    <row r="751" spans="1:7" s="947" customFormat="1" ht="30.75" customHeight="1" outlineLevel="2" x14ac:dyDescent="0.25">
      <c r="A751" s="907"/>
      <c r="B751" s="949" t="s">
        <v>1093</v>
      </c>
      <c r="C751" s="946"/>
      <c r="D751" s="910"/>
      <c r="E751" s="911">
        <f t="shared" si="11"/>
        <v>0</v>
      </c>
      <c r="F751" s="912"/>
      <c r="G751" s="912"/>
    </row>
    <row r="752" spans="1:7" s="14" customFormat="1" ht="42.75" customHeight="1" outlineLevel="2" x14ac:dyDescent="0.25">
      <c r="A752" s="57"/>
      <c r="B752" s="68" t="s">
        <v>1094</v>
      </c>
      <c r="C752" s="66" t="s">
        <v>77</v>
      </c>
      <c r="D752" s="49">
        <v>2.5893099999999998</v>
      </c>
      <c r="E752" s="609">
        <f t="shared" si="11"/>
        <v>2.5893099999999998</v>
      </c>
      <c r="F752" s="607"/>
      <c r="G752" s="607"/>
    </row>
    <row r="753" spans="1:7" s="14" customFormat="1" ht="34.5" customHeight="1" outlineLevel="2" x14ac:dyDescent="0.25">
      <c r="A753" s="57"/>
      <c r="B753" s="68" t="s">
        <v>987</v>
      </c>
      <c r="C753" s="66" t="s">
        <v>124</v>
      </c>
      <c r="D753" s="49">
        <v>80</v>
      </c>
      <c r="E753" s="609">
        <f t="shared" si="11"/>
        <v>80</v>
      </c>
      <c r="F753" s="607"/>
      <c r="G753" s="607"/>
    </row>
    <row r="754" spans="1:7" s="14" customFormat="1" ht="34.5" customHeight="1" outlineLevel="2" x14ac:dyDescent="0.25">
      <c r="A754" s="57"/>
      <c r="B754" s="68" t="s">
        <v>1090</v>
      </c>
      <c r="C754" s="66" t="s">
        <v>78</v>
      </c>
      <c r="D754" s="49">
        <v>16</v>
      </c>
      <c r="E754" s="609">
        <f t="shared" si="11"/>
        <v>16</v>
      </c>
      <c r="F754" s="607"/>
      <c r="G754" s="607"/>
    </row>
    <row r="755" spans="1:7" s="14" customFormat="1" ht="34.5" customHeight="1" outlineLevel="2" x14ac:dyDescent="0.25">
      <c r="A755" s="57"/>
      <c r="B755" s="68" t="s">
        <v>990</v>
      </c>
      <c r="C755" s="66" t="s">
        <v>78</v>
      </c>
      <c r="D755" s="49">
        <v>16</v>
      </c>
      <c r="E755" s="609">
        <f t="shared" si="11"/>
        <v>16</v>
      </c>
      <c r="F755" s="607"/>
      <c r="G755" s="607"/>
    </row>
    <row r="756" spans="1:7" s="14" customFormat="1" ht="34.5" customHeight="1" outlineLevel="2" x14ac:dyDescent="0.25">
      <c r="A756" s="57"/>
      <c r="B756" s="68" t="s">
        <v>1091</v>
      </c>
      <c r="C756" s="66" t="s">
        <v>57</v>
      </c>
      <c r="D756" s="49">
        <v>0.99120000000000008</v>
      </c>
      <c r="E756" s="609">
        <f t="shared" si="11"/>
        <v>0.99120000000000008</v>
      </c>
      <c r="F756" s="607"/>
      <c r="G756" s="607"/>
    </row>
    <row r="757" spans="1:7" s="14" customFormat="1" ht="34.5" customHeight="1" outlineLevel="2" x14ac:dyDescent="0.25">
      <c r="A757" s="57"/>
      <c r="B757" s="68" t="s">
        <v>932</v>
      </c>
      <c r="C757" s="66" t="s">
        <v>10</v>
      </c>
      <c r="D757" s="49">
        <v>0.34</v>
      </c>
      <c r="E757" s="609">
        <f t="shared" si="11"/>
        <v>0.34</v>
      </c>
      <c r="F757" s="607"/>
      <c r="G757" s="607"/>
    </row>
    <row r="758" spans="1:7" s="14" customFormat="1" ht="34.5" customHeight="1" outlineLevel="2" x14ac:dyDescent="0.25">
      <c r="A758" s="57"/>
      <c r="B758" s="68" t="s">
        <v>1092</v>
      </c>
      <c r="C758" s="66" t="s">
        <v>10</v>
      </c>
      <c r="D758" s="49">
        <v>0.22</v>
      </c>
      <c r="E758" s="609">
        <f t="shared" si="11"/>
        <v>0.22</v>
      </c>
      <c r="F758" s="607"/>
      <c r="G758" s="607"/>
    </row>
    <row r="759" spans="1:7" s="14" customFormat="1" ht="34.5" customHeight="1" outlineLevel="2" x14ac:dyDescent="0.25">
      <c r="A759" s="57"/>
      <c r="B759" s="68" t="s">
        <v>929</v>
      </c>
      <c r="C759" s="66" t="s">
        <v>77</v>
      </c>
      <c r="D759" s="49">
        <v>0.45961000000000002</v>
      </c>
      <c r="E759" s="609">
        <f t="shared" si="11"/>
        <v>0.45961000000000002</v>
      </c>
      <c r="F759" s="607"/>
      <c r="G759" s="607"/>
    </row>
    <row r="760" spans="1:7" s="958" customFormat="1" ht="34.5" customHeight="1" outlineLevel="2" x14ac:dyDescent="0.25">
      <c r="A760" s="952"/>
      <c r="B760" s="953" t="s">
        <v>153</v>
      </c>
      <c r="C760" s="954"/>
      <c r="D760" s="955"/>
      <c r="E760" s="956"/>
      <c r="F760" s="957"/>
      <c r="G760" s="957"/>
    </row>
    <row r="761" spans="1:7" s="14" customFormat="1" ht="34.5" customHeight="1" outlineLevel="2" x14ac:dyDescent="0.25">
      <c r="A761" s="57"/>
      <c r="B761" s="67" t="s">
        <v>85</v>
      </c>
      <c r="C761" s="66" t="s">
        <v>77</v>
      </c>
      <c r="D761" s="49">
        <v>0.183</v>
      </c>
      <c r="E761" s="609">
        <f t="shared" si="11"/>
        <v>0.183</v>
      </c>
      <c r="F761" s="607" t="s">
        <v>418</v>
      </c>
      <c r="G761" s="1052" t="s">
        <v>1468</v>
      </c>
    </row>
    <row r="762" spans="1:7" s="14" customFormat="1" ht="34.5" customHeight="1" outlineLevel="2" x14ac:dyDescent="0.25">
      <c r="A762" s="57"/>
      <c r="B762" s="67" t="s">
        <v>150</v>
      </c>
      <c r="C762" s="66" t="s">
        <v>57</v>
      </c>
      <c r="D762" s="49">
        <v>4.2000000000000003E-2</v>
      </c>
      <c r="E762" s="609">
        <f t="shared" si="11"/>
        <v>4.2000000000000003E-2</v>
      </c>
      <c r="F762" s="607" t="s">
        <v>418</v>
      </c>
      <c r="G762" s="1052" t="s">
        <v>1468</v>
      </c>
    </row>
    <row r="763" spans="1:7" s="14" customFormat="1" ht="34.5" customHeight="1" outlineLevel="2" x14ac:dyDescent="0.25">
      <c r="A763" s="57"/>
      <c r="B763" s="67" t="s">
        <v>151</v>
      </c>
      <c r="C763" s="66" t="s">
        <v>57</v>
      </c>
      <c r="D763" s="49">
        <v>1.4E-2</v>
      </c>
      <c r="E763" s="609">
        <f t="shared" si="11"/>
        <v>1.4E-2</v>
      </c>
      <c r="F763" s="607" t="s">
        <v>418</v>
      </c>
      <c r="G763" s="1052" t="s">
        <v>1468</v>
      </c>
    </row>
    <row r="764" spans="1:7" s="14" customFormat="1" ht="34.5" customHeight="1" outlineLevel="2" x14ac:dyDescent="0.25">
      <c r="A764" s="57"/>
      <c r="B764" s="68" t="s">
        <v>1095</v>
      </c>
      <c r="C764" s="66" t="s">
        <v>78</v>
      </c>
      <c r="D764" s="49">
        <v>18</v>
      </c>
      <c r="E764" s="609">
        <f t="shared" si="11"/>
        <v>18</v>
      </c>
      <c r="F764" s="607" t="s">
        <v>418</v>
      </c>
      <c r="G764" s="1052" t="s">
        <v>1468</v>
      </c>
    </row>
    <row r="765" spans="1:7" s="947" customFormat="1" ht="41.25" customHeight="1" outlineLevel="1" x14ac:dyDescent="0.25">
      <c r="A765" s="907">
        <v>3</v>
      </c>
      <c r="B765" s="908" t="s">
        <v>141</v>
      </c>
      <c r="C765" s="959" t="s">
        <v>134</v>
      </c>
      <c r="D765" s="910">
        <v>1</v>
      </c>
      <c r="E765" s="911">
        <f t="shared" si="11"/>
        <v>1</v>
      </c>
      <c r="F765" s="912"/>
      <c r="G765" s="912"/>
    </row>
    <row r="766" spans="1:7" s="947" customFormat="1" ht="39" customHeight="1" outlineLevel="2" x14ac:dyDescent="0.25">
      <c r="A766" s="907"/>
      <c r="B766" s="908" t="s">
        <v>142</v>
      </c>
      <c r="C766" s="960" t="s">
        <v>76</v>
      </c>
      <c r="D766" s="910" t="s">
        <v>114</v>
      </c>
      <c r="E766" s="911" t="str">
        <f t="shared" si="11"/>
        <v>6/392,58</v>
      </c>
      <c r="F766" s="961"/>
      <c r="G766" s="962"/>
    </row>
    <row r="767" spans="1:7" s="14" customFormat="1" ht="34.5" customHeight="1" outlineLevel="2" x14ac:dyDescent="0.25">
      <c r="A767" s="57"/>
      <c r="B767" s="61" t="s">
        <v>81</v>
      </c>
      <c r="C767" s="62" t="s">
        <v>77</v>
      </c>
      <c r="D767" s="49">
        <v>6.3647999999999998</v>
      </c>
      <c r="E767" s="609">
        <f t="shared" si="11"/>
        <v>6.3647999999999998</v>
      </c>
      <c r="F767" s="629" t="s">
        <v>418</v>
      </c>
      <c r="G767" s="878" t="s">
        <v>425</v>
      </c>
    </row>
    <row r="768" spans="1:7" s="14" customFormat="1" ht="34.5" customHeight="1" outlineLevel="2" x14ac:dyDescent="0.25">
      <c r="A768" s="57"/>
      <c r="B768" s="61" t="s">
        <v>85</v>
      </c>
      <c r="C768" s="62" t="s">
        <v>77</v>
      </c>
      <c r="D768" s="49">
        <v>10.468200000000001</v>
      </c>
      <c r="E768" s="609">
        <f t="shared" si="11"/>
        <v>10.468200000000001</v>
      </c>
      <c r="F768" s="629" t="s">
        <v>418</v>
      </c>
      <c r="G768" s="878" t="s">
        <v>425</v>
      </c>
    </row>
    <row r="769" spans="1:10" s="14" customFormat="1" ht="34.5" customHeight="1" outlineLevel="2" x14ac:dyDescent="0.25">
      <c r="A769" s="57"/>
      <c r="B769" s="61" t="s">
        <v>86</v>
      </c>
      <c r="C769" s="62" t="s">
        <v>77</v>
      </c>
      <c r="D769" s="49">
        <v>5.8571999999999997</v>
      </c>
      <c r="E769" s="609">
        <f t="shared" si="11"/>
        <v>5.8571999999999997</v>
      </c>
      <c r="F769" s="629" t="s">
        <v>418</v>
      </c>
      <c r="G769" s="878" t="s">
        <v>425</v>
      </c>
    </row>
    <row r="770" spans="1:10" s="14" customFormat="1" ht="34.5" customHeight="1" outlineLevel="2" x14ac:dyDescent="0.25">
      <c r="A770" s="57"/>
      <c r="B770" s="61" t="s">
        <v>87</v>
      </c>
      <c r="C770" s="62" t="s">
        <v>77</v>
      </c>
      <c r="D770" s="49">
        <v>14.9076</v>
      </c>
      <c r="E770" s="609">
        <f t="shared" si="11"/>
        <v>14.9076</v>
      </c>
      <c r="F770" s="629" t="s">
        <v>418</v>
      </c>
      <c r="G770" s="878" t="s">
        <v>425</v>
      </c>
    </row>
    <row r="771" spans="1:10" s="14" customFormat="1" ht="34.5" customHeight="1" outlineLevel="2" x14ac:dyDescent="0.25">
      <c r="A771" s="57"/>
      <c r="B771" s="61" t="s">
        <v>143</v>
      </c>
      <c r="C771" s="62" t="s">
        <v>77</v>
      </c>
      <c r="D771" s="49">
        <v>9.4937999999999985</v>
      </c>
      <c r="E771" s="609">
        <f t="shared" si="11"/>
        <v>9.4937999999999985</v>
      </c>
      <c r="F771" s="629" t="s">
        <v>418</v>
      </c>
      <c r="G771" s="878" t="s">
        <v>425</v>
      </c>
    </row>
    <row r="772" spans="1:10" s="14" customFormat="1" ht="34.5" customHeight="1" outlineLevel="2" x14ac:dyDescent="0.25">
      <c r="A772" s="57"/>
      <c r="B772" s="61" t="s">
        <v>109</v>
      </c>
      <c r="C772" s="62" t="s">
        <v>77</v>
      </c>
      <c r="D772" s="49">
        <v>11.724600000000001</v>
      </c>
      <c r="E772" s="609">
        <f t="shared" si="11"/>
        <v>11.724600000000001</v>
      </c>
      <c r="F772" s="629" t="s">
        <v>418</v>
      </c>
      <c r="G772" s="878" t="s">
        <v>425</v>
      </c>
    </row>
    <row r="773" spans="1:10" s="14" customFormat="1" ht="34.5" customHeight="1" outlineLevel="2" x14ac:dyDescent="0.25">
      <c r="A773" s="57"/>
      <c r="B773" s="61" t="s">
        <v>88</v>
      </c>
      <c r="C773" s="63" t="s">
        <v>10</v>
      </c>
      <c r="D773" s="49">
        <v>685.44</v>
      </c>
      <c r="E773" s="609">
        <f t="shared" si="11"/>
        <v>685.44</v>
      </c>
      <c r="F773" s="607" t="s">
        <v>420</v>
      </c>
      <c r="G773" s="607"/>
      <c r="J773" s="14" t="e">
        <f>diengiai</f>
        <v>#VALUE!</v>
      </c>
    </row>
    <row r="774" spans="1:10" s="14" customFormat="1" ht="34.5" customHeight="1" outlineLevel="2" x14ac:dyDescent="0.25">
      <c r="A774" s="57"/>
      <c r="B774" s="61" t="s">
        <v>89</v>
      </c>
      <c r="C774" s="62" t="s">
        <v>10</v>
      </c>
      <c r="D774" s="49">
        <v>7.14</v>
      </c>
      <c r="E774" s="609">
        <f t="shared" si="11"/>
        <v>7.14</v>
      </c>
      <c r="F774" s="607" t="s">
        <v>421</v>
      </c>
      <c r="G774" s="607"/>
      <c r="J774" s="14" t="e">
        <f>diengiai</f>
        <v>#VALUE!</v>
      </c>
    </row>
    <row r="775" spans="1:10" s="14" customFormat="1" ht="34.5" customHeight="1" outlineLevel="2" x14ac:dyDescent="0.25">
      <c r="A775" s="57"/>
      <c r="B775" s="61" t="s">
        <v>144</v>
      </c>
      <c r="C775" s="62" t="s">
        <v>10</v>
      </c>
      <c r="D775" s="49">
        <v>13.56</v>
      </c>
      <c r="E775" s="609">
        <f t="shared" si="11"/>
        <v>13.56</v>
      </c>
      <c r="F775" s="607" t="s">
        <v>422</v>
      </c>
      <c r="G775" s="607"/>
      <c r="J775" s="14" t="e">
        <f>diengiai</f>
        <v>#VALUE!</v>
      </c>
    </row>
    <row r="776" spans="1:10" s="14" customFormat="1" ht="34.5" customHeight="1" outlineLevel="2" x14ac:dyDescent="0.25">
      <c r="A776" s="57"/>
      <c r="B776" s="61" t="s">
        <v>90</v>
      </c>
      <c r="C776" s="63" t="s">
        <v>77</v>
      </c>
      <c r="D776" s="49">
        <v>1.5569999999999999</v>
      </c>
      <c r="E776" s="609">
        <f t="shared" si="11"/>
        <v>1.5569999999999999</v>
      </c>
      <c r="F776" s="629" t="s">
        <v>418</v>
      </c>
      <c r="G776" s="877" t="s">
        <v>426</v>
      </c>
    </row>
    <row r="777" spans="1:10" s="14" customFormat="1" ht="34.5" customHeight="1" outlineLevel="2" x14ac:dyDescent="0.25">
      <c r="A777" s="57"/>
      <c r="B777" s="61" t="s">
        <v>145</v>
      </c>
      <c r="C777" s="62" t="s">
        <v>78</v>
      </c>
      <c r="D777" s="49">
        <v>504</v>
      </c>
      <c r="E777" s="609">
        <f t="shared" si="11"/>
        <v>504</v>
      </c>
      <c r="F777" s="629" t="s">
        <v>418</v>
      </c>
      <c r="G777" s="877" t="s">
        <v>426</v>
      </c>
    </row>
    <row r="778" spans="1:10" s="14" customFormat="1" ht="34.5" customHeight="1" outlineLevel="2" x14ac:dyDescent="0.25">
      <c r="A778" s="57"/>
      <c r="B778" s="61" t="s">
        <v>146</v>
      </c>
      <c r="C778" s="62" t="s">
        <v>78</v>
      </c>
      <c r="D778" s="49">
        <v>504</v>
      </c>
      <c r="E778" s="609">
        <f t="shared" si="11"/>
        <v>504</v>
      </c>
      <c r="F778" s="629" t="s">
        <v>418</v>
      </c>
      <c r="G778" s="877" t="s">
        <v>426</v>
      </c>
    </row>
    <row r="779" spans="1:10" s="14" customFormat="1" ht="34.5" customHeight="1" outlineLevel="2" x14ac:dyDescent="0.25">
      <c r="A779" s="57"/>
      <c r="B779" s="61" t="s">
        <v>147</v>
      </c>
      <c r="C779" s="62" t="s">
        <v>78</v>
      </c>
      <c r="D779" s="49">
        <v>504</v>
      </c>
      <c r="E779" s="609">
        <f t="shared" si="11"/>
        <v>504</v>
      </c>
      <c r="F779" s="629" t="s">
        <v>418</v>
      </c>
      <c r="G779" s="877" t="s">
        <v>426</v>
      </c>
    </row>
    <row r="780" spans="1:10" s="14" customFormat="1" ht="34.5" customHeight="1" outlineLevel="2" x14ac:dyDescent="0.25">
      <c r="A780" s="57"/>
      <c r="B780" s="61" t="s">
        <v>148</v>
      </c>
      <c r="C780" s="62" t="s">
        <v>78</v>
      </c>
      <c r="D780" s="49">
        <v>336</v>
      </c>
      <c r="E780" s="609">
        <f t="shared" si="11"/>
        <v>336</v>
      </c>
      <c r="F780" s="629" t="s">
        <v>418</v>
      </c>
      <c r="G780" s="877" t="s">
        <v>426</v>
      </c>
    </row>
    <row r="781" spans="1:10" s="14" customFormat="1" ht="34.5" customHeight="1" outlineLevel="2" x14ac:dyDescent="0.25">
      <c r="A781" s="57"/>
      <c r="B781" s="61" t="s">
        <v>149</v>
      </c>
      <c r="C781" s="62" t="s">
        <v>78</v>
      </c>
      <c r="D781" s="49">
        <v>672</v>
      </c>
      <c r="E781" s="609">
        <f t="shared" si="11"/>
        <v>672</v>
      </c>
      <c r="F781" s="629" t="s">
        <v>418</v>
      </c>
      <c r="G781" s="877" t="s">
        <v>426</v>
      </c>
    </row>
    <row r="782" spans="1:10" s="14" customFormat="1" ht="34.5" customHeight="1" outlineLevel="2" x14ac:dyDescent="0.25">
      <c r="A782" s="57"/>
      <c r="B782" s="61" t="s">
        <v>150</v>
      </c>
      <c r="C782" s="62" t="s">
        <v>57</v>
      </c>
      <c r="D782" s="49">
        <v>11.741</v>
      </c>
      <c r="E782" s="609">
        <f t="shared" si="11"/>
        <v>11.741</v>
      </c>
      <c r="F782" s="607" t="s">
        <v>424</v>
      </c>
      <c r="G782" s="607"/>
      <c r="J782" s="14" t="e">
        <f>diengiai</f>
        <v>#VALUE!</v>
      </c>
    </row>
    <row r="783" spans="1:10" s="14" customFormat="1" ht="34.5" customHeight="1" outlineLevel="2" x14ac:dyDescent="0.25">
      <c r="A783" s="57"/>
      <c r="B783" s="61" t="s">
        <v>151</v>
      </c>
      <c r="C783" s="62" t="s">
        <v>57</v>
      </c>
      <c r="D783" s="49">
        <v>3.8660000000000001</v>
      </c>
      <c r="E783" s="609">
        <f t="shared" si="11"/>
        <v>3.8660000000000001</v>
      </c>
      <c r="F783" s="607" t="s">
        <v>423</v>
      </c>
      <c r="G783" s="607"/>
      <c r="J783" s="14" t="e">
        <f>diengiai</f>
        <v>#VALUE!</v>
      </c>
    </row>
    <row r="784" spans="1:10" s="14" customFormat="1" ht="34.5" customHeight="1" outlineLevel="2" x14ac:dyDescent="0.25">
      <c r="A784" s="57"/>
      <c r="B784" s="61" t="s">
        <v>97</v>
      </c>
      <c r="C784" s="62" t="s">
        <v>79</v>
      </c>
      <c r="D784" s="49">
        <v>36</v>
      </c>
      <c r="E784" s="609">
        <f t="shared" ref="E784:E847" si="12">D784</f>
        <v>36</v>
      </c>
      <c r="F784" s="629" t="s">
        <v>418</v>
      </c>
      <c r="G784" s="877" t="s">
        <v>426</v>
      </c>
    </row>
    <row r="785" spans="1:10" s="14" customFormat="1" ht="34.5" customHeight="1" outlineLevel="2" x14ac:dyDescent="0.25">
      <c r="A785" s="57"/>
      <c r="B785" s="61" t="s">
        <v>98</v>
      </c>
      <c r="C785" s="62" t="s">
        <v>79</v>
      </c>
      <c r="D785" s="49">
        <v>12</v>
      </c>
      <c r="E785" s="609">
        <f t="shared" si="12"/>
        <v>12</v>
      </c>
      <c r="F785" s="629" t="s">
        <v>418</v>
      </c>
      <c r="G785" s="877" t="s">
        <v>426</v>
      </c>
    </row>
    <row r="786" spans="1:10" s="947" customFormat="1" ht="34.5" customHeight="1" outlineLevel="2" x14ac:dyDescent="0.25">
      <c r="A786" s="907"/>
      <c r="B786" s="963" t="s">
        <v>99</v>
      </c>
      <c r="C786" s="907" t="s">
        <v>135</v>
      </c>
      <c r="D786" s="965">
        <v>1</v>
      </c>
      <c r="E786" s="911">
        <f t="shared" si="12"/>
        <v>1</v>
      </c>
      <c r="F786" s="912"/>
      <c r="G786" s="912"/>
    </row>
    <row r="787" spans="1:10" s="14" customFormat="1" ht="34.5" customHeight="1" outlineLevel="2" x14ac:dyDescent="0.25">
      <c r="A787" s="57"/>
      <c r="B787" s="61" t="s">
        <v>83</v>
      </c>
      <c r="C787" s="62" t="s">
        <v>77</v>
      </c>
      <c r="D787" s="49">
        <v>1.7738800000000001</v>
      </c>
      <c r="E787" s="609">
        <f t="shared" si="12"/>
        <v>1.7738800000000001</v>
      </c>
      <c r="F787" s="629" t="s">
        <v>418</v>
      </c>
      <c r="G787" s="878" t="s">
        <v>464</v>
      </c>
    </row>
    <row r="788" spans="1:10" s="14" customFormat="1" ht="34.5" customHeight="1" outlineLevel="2" x14ac:dyDescent="0.25">
      <c r="A788" s="57"/>
      <c r="B788" s="61" t="s">
        <v>84</v>
      </c>
      <c r="C788" s="62" t="s">
        <v>77</v>
      </c>
      <c r="D788" s="49">
        <v>0.89637999999999995</v>
      </c>
      <c r="E788" s="609">
        <f t="shared" si="12"/>
        <v>0.89637999999999995</v>
      </c>
      <c r="F788" s="629" t="s">
        <v>418</v>
      </c>
      <c r="G788" s="878" t="s">
        <v>464</v>
      </c>
    </row>
    <row r="789" spans="1:10" s="14" customFormat="1" ht="34.5" customHeight="1" outlineLevel="2" x14ac:dyDescent="0.25">
      <c r="A789" s="57"/>
      <c r="B789" s="61" t="s">
        <v>143</v>
      </c>
      <c r="C789" s="62" t="s">
        <v>77</v>
      </c>
      <c r="D789" s="49">
        <v>16.487290000000002</v>
      </c>
      <c r="E789" s="609">
        <f t="shared" si="12"/>
        <v>16.487290000000002</v>
      </c>
      <c r="F789" s="629" t="s">
        <v>418</v>
      </c>
      <c r="G789" s="878" t="s">
        <v>464</v>
      </c>
    </row>
    <row r="790" spans="1:10" s="14" customFormat="1" ht="34.5" customHeight="1" outlineLevel="2" x14ac:dyDescent="0.25">
      <c r="A790" s="57"/>
      <c r="B790" s="61" t="s">
        <v>106</v>
      </c>
      <c r="C790" s="63" t="s">
        <v>10</v>
      </c>
      <c r="D790" s="49">
        <v>204.13</v>
      </c>
      <c r="E790" s="609">
        <f t="shared" si="12"/>
        <v>204.13</v>
      </c>
      <c r="F790" s="607" t="s">
        <v>465</v>
      </c>
      <c r="G790" s="607"/>
      <c r="J790" s="14" t="e">
        <f>diengiai</f>
        <v>#VALUE!</v>
      </c>
    </row>
    <row r="791" spans="1:10" s="14" customFormat="1" ht="34.5" customHeight="1" outlineLevel="2" x14ac:dyDescent="0.25">
      <c r="A791" s="57"/>
      <c r="B791" s="61" t="s">
        <v>101</v>
      </c>
      <c r="C791" s="62" t="s">
        <v>10</v>
      </c>
      <c r="D791" s="49">
        <v>7.56</v>
      </c>
      <c r="E791" s="609">
        <f t="shared" si="12"/>
        <v>7.56</v>
      </c>
      <c r="F791" s="607" t="s">
        <v>466</v>
      </c>
      <c r="G791" s="607"/>
      <c r="J791" s="14" t="e">
        <f>diengiai</f>
        <v>#VALUE!</v>
      </c>
    </row>
    <row r="792" spans="1:10" s="14" customFormat="1" ht="34.5" customHeight="1" outlineLevel="2" x14ac:dyDescent="0.25">
      <c r="A792" s="57"/>
      <c r="B792" s="61" t="s">
        <v>102</v>
      </c>
      <c r="C792" s="62" t="s">
        <v>66</v>
      </c>
      <c r="D792" s="49">
        <v>0.92500000000000004</v>
      </c>
      <c r="E792" s="609">
        <f t="shared" si="12"/>
        <v>0.92500000000000004</v>
      </c>
      <c r="F792" s="607" t="s">
        <v>467</v>
      </c>
      <c r="G792" s="607"/>
      <c r="J792" s="14" t="e">
        <f>diengiai</f>
        <v>#VALUE!</v>
      </c>
    </row>
    <row r="793" spans="1:10" s="14" customFormat="1" ht="34.5" customHeight="1" outlineLevel="2" x14ac:dyDescent="0.25">
      <c r="A793" s="907"/>
      <c r="B793" s="963" t="s">
        <v>104</v>
      </c>
      <c r="C793" s="907" t="s">
        <v>136</v>
      </c>
      <c r="D793" s="910">
        <v>1</v>
      </c>
      <c r="E793" s="911">
        <f t="shared" si="12"/>
        <v>1</v>
      </c>
      <c r="F793" s="912"/>
      <c r="G793" s="912"/>
    </row>
    <row r="794" spans="1:10" s="14" customFormat="1" ht="34.5" customHeight="1" outlineLevel="2" x14ac:dyDescent="0.25">
      <c r="A794" s="57"/>
      <c r="B794" s="61" t="s">
        <v>83</v>
      </c>
      <c r="C794" s="62" t="s">
        <v>77</v>
      </c>
      <c r="D794" s="49">
        <v>2.9616500000000001</v>
      </c>
      <c r="E794" s="609">
        <f t="shared" si="12"/>
        <v>2.9616500000000001</v>
      </c>
      <c r="F794" s="629" t="s">
        <v>418</v>
      </c>
      <c r="G794" s="878" t="s">
        <v>464</v>
      </c>
    </row>
    <row r="795" spans="1:10" s="14" customFormat="1" ht="34.5" customHeight="1" outlineLevel="2" x14ac:dyDescent="0.25">
      <c r="A795" s="57"/>
      <c r="B795" s="61" t="s">
        <v>109</v>
      </c>
      <c r="C795" s="62" t="s">
        <v>77</v>
      </c>
      <c r="D795" s="49">
        <v>12.69938</v>
      </c>
      <c r="E795" s="609">
        <f t="shared" si="12"/>
        <v>12.69938</v>
      </c>
      <c r="F795" s="629" t="s">
        <v>418</v>
      </c>
      <c r="G795" s="878" t="s">
        <v>464</v>
      </c>
    </row>
    <row r="796" spans="1:10" s="14" customFormat="1" ht="34.5" customHeight="1" outlineLevel="2" x14ac:dyDescent="0.25">
      <c r="A796" s="57"/>
      <c r="B796" s="61" t="s">
        <v>106</v>
      </c>
      <c r="C796" s="63" t="s">
        <v>10</v>
      </c>
      <c r="D796" s="49">
        <v>83.56</v>
      </c>
      <c r="E796" s="609">
        <f t="shared" si="12"/>
        <v>83.56</v>
      </c>
      <c r="F796" s="607" t="s">
        <v>469</v>
      </c>
      <c r="G796" s="607"/>
      <c r="J796" s="14" t="e">
        <f>diengiai</f>
        <v>#VALUE!</v>
      </c>
    </row>
    <row r="797" spans="1:10" s="14" customFormat="1" ht="34.5" customHeight="1" outlineLevel="2" x14ac:dyDescent="0.25">
      <c r="A797" s="57"/>
      <c r="B797" s="61" t="s">
        <v>102</v>
      </c>
      <c r="C797" s="62" t="s">
        <v>66</v>
      </c>
      <c r="D797" s="49">
        <v>1.0712000000000002</v>
      </c>
      <c r="E797" s="609">
        <f t="shared" si="12"/>
        <v>1.0712000000000002</v>
      </c>
      <c r="F797" s="607" t="s">
        <v>470</v>
      </c>
      <c r="G797" s="607"/>
      <c r="J797" s="14" t="e">
        <f>diengiai</f>
        <v>#VALUE!</v>
      </c>
    </row>
    <row r="798" spans="1:10" s="14" customFormat="1" ht="34.5" customHeight="1" outlineLevel="2" x14ac:dyDescent="0.25">
      <c r="A798" s="907"/>
      <c r="B798" s="963" t="s">
        <v>107</v>
      </c>
      <c r="C798" s="959" t="s">
        <v>134</v>
      </c>
      <c r="D798" s="910">
        <v>1</v>
      </c>
      <c r="E798" s="911">
        <f t="shared" si="12"/>
        <v>1</v>
      </c>
      <c r="F798" s="912"/>
      <c r="G798" s="912"/>
    </row>
    <row r="799" spans="1:10" s="14" customFormat="1" ht="34.5" customHeight="1" outlineLevel="2" x14ac:dyDescent="0.25">
      <c r="A799" s="57"/>
      <c r="B799" s="61" t="s">
        <v>108</v>
      </c>
      <c r="C799" s="62" t="s">
        <v>77</v>
      </c>
      <c r="D799" s="49">
        <v>3.13E-3</v>
      </c>
      <c r="E799" s="609">
        <f t="shared" si="12"/>
        <v>3.13E-3</v>
      </c>
      <c r="F799" s="629" t="s">
        <v>418</v>
      </c>
      <c r="G799" s="878" t="s">
        <v>464</v>
      </c>
    </row>
    <row r="800" spans="1:10" s="14" customFormat="1" ht="34.5" customHeight="1" outlineLevel="2" x14ac:dyDescent="0.25">
      <c r="A800" s="57"/>
      <c r="B800" s="61" t="s">
        <v>81</v>
      </c>
      <c r="C800" s="62" t="s">
        <v>77</v>
      </c>
      <c r="D800" s="49">
        <v>0.35264999999999996</v>
      </c>
      <c r="E800" s="609">
        <f t="shared" si="12"/>
        <v>0.35264999999999996</v>
      </c>
      <c r="F800" s="629" t="s">
        <v>418</v>
      </c>
      <c r="G800" s="878" t="s">
        <v>464</v>
      </c>
    </row>
    <row r="801" spans="1:23" s="14" customFormat="1" ht="34.5" customHeight="1" outlineLevel="2" x14ac:dyDescent="0.25">
      <c r="A801" s="57"/>
      <c r="B801" s="61" t="s">
        <v>83</v>
      </c>
      <c r="C801" s="62" t="s">
        <v>77</v>
      </c>
      <c r="D801" s="49">
        <v>2.0021499999999999</v>
      </c>
      <c r="E801" s="609">
        <f t="shared" si="12"/>
        <v>2.0021499999999999</v>
      </c>
      <c r="F801" s="629" t="s">
        <v>418</v>
      </c>
      <c r="G801" s="878" t="s">
        <v>464</v>
      </c>
    </row>
    <row r="802" spans="1:23" s="14" customFormat="1" ht="34.5" customHeight="1" outlineLevel="2" x14ac:dyDescent="0.25">
      <c r="A802" s="57"/>
      <c r="B802" s="61" t="s">
        <v>87</v>
      </c>
      <c r="C802" s="62" t="s">
        <v>77</v>
      </c>
      <c r="D802" s="49">
        <v>3.7775700000000003</v>
      </c>
      <c r="E802" s="609">
        <f t="shared" si="12"/>
        <v>3.7775700000000003</v>
      </c>
      <c r="F802" s="629" t="s">
        <v>418</v>
      </c>
      <c r="G802" s="878" t="s">
        <v>464</v>
      </c>
    </row>
    <row r="803" spans="1:23" s="14" customFormat="1" ht="34.5" customHeight="1" outlineLevel="2" x14ac:dyDescent="0.25">
      <c r="A803" s="57"/>
      <c r="B803" s="61" t="s">
        <v>143</v>
      </c>
      <c r="C803" s="62" t="s">
        <v>77</v>
      </c>
      <c r="D803" s="49">
        <v>1.30111</v>
      </c>
      <c r="E803" s="609">
        <f t="shared" si="12"/>
        <v>1.30111</v>
      </c>
      <c r="F803" s="629" t="s">
        <v>418</v>
      </c>
      <c r="G803" s="878" t="s">
        <v>464</v>
      </c>
    </row>
    <row r="804" spans="1:23" s="14" customFormat="1" ht="34.5" customHeight="1" outlineLevel="2" x14ac:dyDescent="0.25">
      <c r="A804" s="57"/>
      <c r="B804" s="61" t="s">
        <v>109</v>
      </c>
      <c r="C804" s="62" t="s">
        <v>77</v>
      </c>
      <c r="D804" s="49">
        <v>2.7766500000000001</v>
      </c>
      <c r="E804" s="609">
        <f t="shared" si="12"/>
        <v>2.7766500000000001</v>
      </c>
      <c r="F804" s="629" t="s">
        <v>418</v>
      </c>
      <c r="G804" s="878" t="s">
        <v>464</v>
      </c>
      <c r="J804" s="14" t="s">
        <v>473</v>
      </c>
    </row>
    <row r="805" spans="1:23" s="14" customFormat="1" ht="45" customHeight="1" outlineLevel="2" x14ac:dyDescent="0.25">
      <c r="A805" s="57"/>
      <c r="B805" s="61" t="s">
        <v>152</v>
      </c>
      <c r="C805" s="63" t="s">
        <v>10</v>
      </c>
      <c r="D805" s="49">
        <v>46.97</v>
      </c>
      <c r="E805" s="609">
        <f t="shared" si="12"/>
        <v>46.97</v>
      </c>
      <c r="F805" s="607" t="s">
        <v>475</v>
      </c>
      <c r="G805" s="607"/>
      <c r="J805" s="14" t="e">
        <f>diengiai</f>
        <v>#VALUE!</v>
      </c>
      <c r="L805" s="14" t="s">
        <v>471</v>
      </c>
      <c r="M805" s="14">
        <v>8910000</v>
      </c>
      <c r="N805" s="14">
        <v>7700000</v>
      </c>
      <c r="S805" s="14" t="s">
        <v>102</v>
      </c>
    </row>
    <row r="806" spans="1:23" s="14" customFormat="1" ht="34.5" customHeight="1" outlineLevel="2" x14ac:dyDescent="0.25">
      <c r="A806" s="57"/>
      <c r="B806" s="61" t="s">
        <v>110</v>
      </c>
      <c r="C806" s="62" t="s">
        <v>10</v>
      </c>
      <c r="D806" s="49">
        <v>0.18</v>
      </c>
      <c r="E806" s="609">
        <f t="shared" si="12"/>
        <v>0.18</v>
      </c>
      <c r="F806" s="607" t="s">
        <v>476</v>
      </c>
      <c r="G806" s="607"/>
      <c r="J806" s="14" t="e">
        <f>diengiai</f>
        <v>#VALUE!</v>
      </c>
      <c r="L806" s="14" t="s">
        <v>472</v>
      </c>
      <c r="M806" s="124">
        <v>23898</v>
      </c>
      <c r="N806" s="14">
        <v>23400</v>
      </c>
      <c r="S806" s="14">
        <v>23898</v>
      </c>
      <c r="T806" s="14">
        <v>23676</v>
      </c>
      <c r="U806" s="14">
        <v>7840</v>
      </c>
      <c r="V806" s="14">
        <v>7399</v>
      </c>
      <c r="W806" s="14">
        <f>(2388+3000)*2*2</f>
        <v>21552</v>
      </c>
    </row>
    <row r="807" spans="1:23" s="14" customFormat="1" ht="34.5" customHeight="1" outlineLevel="2" x14ac:dyDescent="0.25">
      <c r="A807" s="57"/>
      <c r="B807" s="61" t="s">
        <v>102</v>
      </c>
      <c r="C807" s="62" t="s">
        <v>66</v>
      </c>
      <c r="D807" s="49">
        <v>0.78670000000000007</v>
      </c>
      <c r="E807" s="609">
        <f t="shared" si="12"/>
        <v>0.78670000000000007</v>
      </c>
      <c r="F807" s="607"/>
      <c r="G807" s="607"/>
      <c r="L807" s="14" t="s">
        <v>414</v>
      </c>
      <c r="M807" s="14">
        <v>1.25</v>
      </c>
      <c r="N807" s="14">
        <v>1.75</v>
      </c>
      <c r="S807" s="14">
        <f>(S806+T806+U806+V806+W806)/100000</f>
        <v>0.84365000000000001</v>
      </c>
    </row>
    <row r="808" spans="1:23" s="14" customFormat="1" ht="30" customHeight="1" outlineLevel="2" x14ac:dyDescent="0.25">
      <c r="A808" s="966"/>
      <c r="B808" s="989" t="s">
        <v>153</v>
      </c>
      <c r="C808" s="946"/>
      <c r="D808" s="966"/>
      <c r="E808" s="911">
        <f t="shared" si="12"/>
        <v>0</v>
      </c>
      <c r="F808" s="912"/>
      <c r="G808" s="912"/>
      <c r="L808" s="14" t="s">
        <v>118</v>
      </c>
      <c r="M808" s="14">
        <f>M805*10^-6*M807</f>
        <v>11.137499999999999</v>
      </c>
      <c r="N808" s="14">
        <f>N805*10^-6*N807</f>
        <v>13.474999999999998</v>
      </c>
      <c r="P808" s="14">
        <f>M808+N808</f>
        <v>24.612499999999997</v>
      </c>
    </row>
    <row r="809" spans="1:23" s="14" customFormat="1" ht="34.5" customHeight="1" outlineLevel="2" x14ac:dyDescent="0.25">
      <c r="A809" s="50"/>
      <c r="B809" s="67" t="s">
        <v>85</v>
      </c>
      <c r="C809" s="66" t="s">
        <v>77</v>
      </c>
      <c r="D809" s="49">
        <v>0.115</v>
      </c>
      <c r="E809" s="609">
        <f t="shared" si="12"/>
        <v>0.115</v>
      </c>
      <c r="F809" s="607" t="s">
        <v>418</v>
      </c>
      <c r="G809" s="1052" t="s">
        <v>1468</v>
      </c>
      <c r="L809" s="14">
        <f>6.5*0.8*3+0.9*3*2</f>
        <v>21</v>
      </c>
    </row>
    <row r="810" spans="1:23" s="14" customFormat="1" ht="34.5" customHeight="1" outlineLevel="2" x14ac:dyDescent="0.25">
      <c r="A810" s="50"/>
      <c r="B810" s="67" t="s">
        <v>150</v>
      </c>
      <c r="C810" s="66" t="s">
        <v>57</v>
      </c>
      <c r="D810" s="49">
        <v>9.4E-2</v>
      </c>
      <c r="E810" s="609">
        <f t="shared" si="12"/>
        <v>9.4E-2</v>
      </c>
      <c r="F810" s="607" t="s">
        <v>418</v>
      </c>
      <c r="G810" s="1052" t="s">
        <v>1468</v>
      </c>
      <c r="J810" s="14" t="s">
        <v>474</v>
      </c>
      <c r="L810" s="14" t="s">
        <v>118</v>
      </c>
      <c r="M810" s="14">
        <f>1.5*0.15*3*2</f>
        <v>1.3499999999999999</v>
      </c>
    </row>
    <row r="811" spans="1:23" s="14" customFormat="1" ht="34.5" customHeight="1" outlineLevel="2" x14ac:dyDescent="0.25">
      <c r="A811" s="50"/>
      <c r="B811" s="67" t="s">
        <v>151</v>
      </c>
      <c r="C811" s="66" t="s">
        <v>57</v>
      </c>
      <c r="D811" s="49">
        <v>3.1E-2</v>
      </c>
      <c r="E811" s="609">
        <f t="shared" si="12"/>
        <v>3.1E-2</v>
      </c>
      <c r="F811" s="607" t="s">
        <v>418</v>
      </c>
      <c r="G811" s="1052" t="s">
        <v>1468</v>
      </c>
    </row>
    <row r="812" spans="1:23" s="14" customFormat="1" ht="34.5" customHeight="1" outlineLevel="2" x14ac:dyDescent="0.25">
      <c r="A812" s="50"/>
      <c r="B812" s="68" t="s">
        <v>154</v>
      </c>
      <c r="C812" s="66" t="s">
        <v>78</v>
      </c>
      <c r="D812" s="49">
        <v>18</v>
      </c>
      <c r="E812" s="609">
        <f t="shared" si="12"/>
        <v>18</v>
      </c>
      <c r="F812" s="607" t="s">
        <v>418</v>
      </c>
      <c r="G812" s="1052" t="s">
        <v>1468</v>
      </c>
      <c r="J812" s="14" t="s">
        <v>118</v>
      </c>
      <c r="K812" s="14">
        <f>L809+M808+N808+M810</f>
        <v>46.962499999999999</v>
      </c>
    </row>
    <row r="813" spans="1:23" s="14" customFormat="1" ht="34.5" customHeight="1" outlineLevel="1" x14ac:dyDescent="0.25">
      <c r="A813" s="907">
        <v>5</v>
      </c>
      <c r="B813" s="908" t="s">
        <v>155</v>
      </c>
      <c r="C813" s="959" t="s">
        <v>134</v>
      </c>
      <c r="D813" s="967"/>
      <c r="E813" s="911">
        <f t="shared" si="12"/>
        <v>0</v>
      </c>
      <c r="F813" s="912"/>
      <c r="G813" s="912"/>
    </row>
    <row r="814" spans="1:23" s="14" customFormat="1" ht="34.5" customHeight="1" outlineLevel="2" x14ac:dyDescent="0.25">
      <c r="A814" s="968"/>
      <c r="B814" s="969" t="s">
        <v>80</v>
      </c>
      <c r="C814" s="948" t="s">
        <v>76</v>
      </c>
      <c r="D814" s="967" t="s">
        <v>111</v>
      </c>
      <c r="E814" s="911" t="str">
        <f t="shared" si="12"/>
        <v>4/248</v>
      </c>
      <c r="F814" s="912"/>
      <c r="G814" s="912"/>
    </row>
    <row r="815" spans="1:23" s="14" customFormat="1" ht="34.5" customHeight="1" outlineLevel="2" x14ac:dyDescent="0.25">
      <c r="A815" s="879"/>
      <c r="B815" s="100" t="s">
        <v>81</v>
      </c>
      <c r="C815" s="102" t="s">
        <v>77</v>
      </c>
      <c r="D815" s="610">
        <v>2.996</v>
      </c>
      <c r="E815" s="609">
        <f t="shared" si="12"/>
        <v>2.996</v>
      </c>
      <c r="F815" s="629" t="s">
        <v>418</v>
      </c>
      <c r="G815" s="877" t="s">
        <v>596</v>
      </c>
    </row>
    <row r="816" spans="1:23" s="14" customFormat="1" ht="34.5" customHeight="1" outlineLevel="2" x14ac:dyDescent="0.25">
      <c r="A816" s="879"/>
      <c r="B816" s="100" t="s">
        <v>82</v>
      </c>
      <c r="C816" s="102" t="s">
        <v>77</v>
      </c>
      <c r="D816" s="610">
        <v>0.20004</v>
      </c>
      <c r="E816" s="609">
        <f t="shared" si="12"/>
        <v>0.20004</v>
      </c>
      <c r="F816" s="629" t="s">
        <v>418</v>
      </c>
      <c r="G816" s="877" t="s">
        <v>596</v>
      </c>
    </row>
    <row r="817" spans="1:10" s="14" customFormat="1" ht="34.5" customHeight="1" outlineLevel="2" x14ac:dyDescent="0.25">
      <c r="A817" s="879"/>
      <c r="B817" s="100" t="s">
        <v>83</v>
      </c>
      <c r="C817" s="102" t="s">
        <v>77</v>
      </c>
      <c r="D817" s="610">
        <v>1.384E-2</v>
      </c>
      <c r="E817" s="609">
        <f t="shared" si="12"/>
        <v>1.384E-2</v>
      </c>
      <c r="F817" s="629" t="s">
        <v>418</v>
      </c>
      <c r="G817" s="877" t="s">
        <v>596</v>
      </c>
    </row>
    <row r="818" spans="1:10" s="14" customFormat="1" ht="34.5" customHeight="1" outlineLevel="2" x14ac:dyDescent="0.25">
      <c r="A818" s="879"/>
      <c r="B818" s="100" t="s">
        <v>84</v>
      </c>
      <c r="C818" s="102" t="s">
        <v>77</v>
      </c>
      <c r="D818" s="610">
        <v>4.6560000000000004E-2</v>
      </c>
      <c r="E818" s="609">
        <f t="shared" si="12"/>
        <v>4.6560000000000004E-2</v>
      </c>
      <c r="F818" s="629" t="s">
        <v>418</v>
      </c>
      <c r="G818" s="877" t="s">
        <v>596</v>
      </c>
    </row>
    <row r="819" spans="1:10" s="14" customFormat="1" ht="34.5" customHeight="1" outlineLevel="2" x14ac:dyDescent="0.25">
      <c r="A819" s="879"/>
      <c r="B819" s="100" t="s">
        <v>85</v>
      </c>
      <c r="C819" s="102" t="s">
        <v>77</v>
      </c>
      <c r="D819" s="610">
        <v>10.555999999999999</v>
      </c>
      <c r="E819" s="609">
        <f t="shared" si="12"/>
        <v>10.555999999999999</v>
      </c>
      <c r="F819" s="629" t="s">
        <v>418</v>
      </c>
      <c r="G819" s="877" t="s">
        <v>596</v>
      </c>
    </row>
    <row r="820" spans="1:10" s="14" customFormat="1" ht="34.5" customHeight="1" outlineLevel="2" x14ac:dyDescent="0.25">
      <c r="A820" s="879"/>
      <c r="B820" s="100" t="s">
        <v>86</v>
      </c>
      <c r="C820" s="102" t="s">
        <v>77</v>
      </c>
      <c r="D820" s="610">
        <v>3.347</v>
      </c>
      <c r="E820" s="609">
        <f t="shared" si="12"/>
        <v>3.347</v>
      </c>
      <c r="F820" s="629" t="s">
        <v>418</v>
      </c>
      <c r="G820" s="877" t="s">
        <v>596</v>
      </c>
    </row>
    <row r="821" spans="1:10" s="14" customFormat="1" ht="34.5" customHeight="1" outlineLevel="2" x14ac:dyDescent="0.25">
      <c r="A821" s="879"/>
      <c r="B821" s="100" t="s">
        <v>87</v>
      </c>
      <c r="C821" s="102" t="s">
        <v>77</v>
      </c>
      <c r="D821" s="610">
        <v>5.6920000000000002</v>
      </c>
      <c r="E821" s="609">
        <f t="shared" si="12"/>
        <v>5.6920000000000002</v>
      </c>
      <c r="F821" s="629" t="s">
        <v>418</v>
      </c>
      <c r="G821" s="877" t="s">
        <v>596</v>
      </c>
    </row>
    <row r="822" spans="1:10" s="14" customFormat="1" ht="39" customHeight="1" outlineLevel="2" x14ac:dyDescent="0.25">
      <c r="A822" s="879"/>
      <c r="B822" s="100" t="s">
        <v>88</v>
      </c>
      <c r="C822" s="97" t="s">
        <v>10</v>
      </c>
      <c r="D822" s="610">
        <v>281.2</v>
      </c>
      <c r="E822" s="609">
        <f t="shared" si="12"/>
        <v>281.2</v>
      </c>
      <c r="F822" s="607" t="s">
        <v>597</v>
      </c>
      <c r="G822" s="607"/>
      <c r="J822" s="14" t="e">
        <f>diengiai</f>
        <v>#VALUE!</v>
      </c>
    </row>
    <row r="823" spans="1:10" s="14" customFormat="1" ht="39" customHeight="1" outlineLevel="2" x14ac:dyDescent="0.25">
      <c r="A823" s="879"/>
      <c r="B823" s="100" t="s">
        <v>89</v>
      </c>
      <c r="C823" s="102" t="s">
        <v>10</v>
      </c>
      <c r="D823" s="610">
        <v>3.72</v>
      </c>
      <c r="E823" s="609">
        <f t="shared" si="12"/>
        <v>3.72</v>
      </c>
      <c r="F823" s="607" t="s">
        <v>598</v>
      </c>
      <c r="G823" s="607"/>
      <c r="J823" s="14" t="e">
        <f>diengiai</f>
        <v>#VALUE!</v>
      </c>
    </row>
    <row r="824" spans="1:10" s="14" customFormat="1" ht="34.5" customHeight="1" outlineLevel="2" x14ac:dyDescent="0.25">
      <c r="A824" s="879"/>
      <c r="B824" s="100" t="s">
        <v>90</v>
      </c>
      <c r="C824" s="97" t="s">
        <v>77</v>
      </c>
      <c r="D824" s="610">
        <v>1.67</v>
      </c>
      <c r="E824" s="609">
        <f t="shared" si="12"/>
        <v>1.67</v>
      </c>
      <c r="F824" s="629" t="s">
        <v>418</v>
      </c>
      <c r="G824" s="877" t="s">
        <v>596</v>
      </c>
    </row>
    <row r="825" spans="1:10" s="14" customFormat="1" ht="34.5" customHeight="1" outlineLevel="2" x14ac:dyDescent="0.25">
      <c r="A825" s="879"/>
      <c r="B825" s="100" t="s">
        <v>91</v>
      </c>
      <c r="C825" s="102" t="s">
        <v>78</v>
      </c>
      <c r="D825" s="610">
        <v>0</v>
      </c>
      <c r="E825" s="609">
        <f t="shared" si="12"/>
        <v>0</v>
      </c>
      <c r="F825" s="629" t="s">
        <v>418</v>
      </c>
      <c r="G825" s="877" t="s">
        <v>596</v>
      </c>
    </row>
    <row r="826" spans="1:10" s="14" customFormat="1" ht="34.5" customHeight="1" outlineLevel="2" x14ac:dyDescent="0.25">
      <c r="A826" s="879"/>
      <c r="B826" s="100" t="s">
        <v>92</v>
      </c>
      <c r="C826" s="102" t="s">
        <v>78</v>
      </c>
      <c r="D826" s="610">
        <v>0</v>
      </c>
      <c r="E826" s="609">
        <f t="shared" si="12"/>
        <v>0</v>
      </c>
      <c r="F826" s="629" t="s">
        <v>418</v>
      </c>
      <c r="G826" s="877" t="s">
        <v>596</v>
      </c>
    </row>
    <row r="827" spans="1:10" s="14" customFormat="1" ht="34.5" customHeight="1" outlineLevel="2" x14ac:dyDescent="0.25">
      <c r="A827" s="879"/>
      <c r="B827" s="100" t="s">
        <v>93</v>
      </c>
      <c r="C827" s="102" t="s">
        <v>78</v>
      </c>
      <c r="D827" s="610">
        <v>288</v>
      </c>
      <c r="E827" s="609">
        <f t="shared" si="12"/>
        <v>288</v>
      </c>
      <c r="F827" s="629" t="s">
        <v>418</v>
      </c>
      <c r="G827" s="877" t="s">
        <v>596</v>
      </c>
    </row>
    <row r="828" spans="1:10" s="14" customFormat="1" ht="34.5" customHeight="1" outlineLevel="2" x14ac:dyDescent="0.25">
      <c r="A828" s="879"/>
      <c r="B828" s="100" t="s">
        <v>94</v>
      </c>
      <c r="C828" s="102" t="s">
        <v>78</v>
      </c>
      <c r="D828" s="610">
        <v>1152</v>
      </c>
      <c r="E828" s="609">
        <f t="shared" si="12"/>
        <v>1152</v>
      </c>
      <c r="F828" s="629" t="s">
        <v>418</v>
      </c>
      <c r="G828" s="877" t="s">
        <v>596</v>
      </c>
    </row>
    <row r="829" spans="1:10" s="14" customFormat="1" ht="34.5" customHeight="1" outlineLevel="2" x14ac:dyDescent="0.25">
      <c r="A829" s="879"/>
      <c r="B829" s="100" t="s">
        <v>95</v>
      </c>
      <c r="C829" s="102" t="s">
        <v>57</v>
      </c>
      <c r="D829" s="610">
        <v>7.56</v>
      </c>
      <c r="E829" s="609">
        <f t="shared" si="12"/>
        <v>7.56</v>
      </c>
      <c r="F829" s="607" t="s">
        <v>599</v>
      </c>
      <c r="G829" s="607"/>
      <c r="J829" s="14" t="e">
        <f>diengiai</f>
        <v>#VALUE!</v>
      </c>
    </row>
    <row r="830" spans="1:10" s="14" customFormat="1" ht="34.5" customHeight="1" outlineLevel="2" x14ac:dyDescent="0.25">
      <c r="A830" s="879"/>
      <c r="B830" s="100" t="s">
        <v>96</v>
      </c>
      <c r="C830" s="102" t="s">
        <v>57</v>
      </c>
      <c r="D830" s="610">
        <v>2.4860000000000002</v>
      </c>
      <c r="E830" s="609">
        <f t="shared" si="12"/>
        <v>2.4860000000000002</v>
      </c>
      <c r="F830" s="607" t="s">
        <v>600</v>
      </c>
      <c r="G830" s="607"/>
      <c r="J830" s="14" t="e">
        <f>diengiai</f>
        <v>#VALUE!</v>
      </c>
    </row>
    <row r="831" spans="1:10" s="14" customFormat="1" ht="34.5" customHeight="1" outlineLevel="2" x14ac:dyDescent="0.25">
      <c r="A831" s="879"/>
      <c r="B831" s="100" t="s">
        <v>97</v>
      </c>
      <c r="C831" s="102" t="s">
        <v>79</v>
      </c>
      <c r="D831" s="610">
        <v>8</v>
      </c>
      <c r="E831" s="609">
        <f t="shared" si="12"/>
        <v>8</v>
      </c>
      <c r="F831" s="629" t="s">
        <v>418</v>
      </c>
      <c r="G831" s="877" t="s">
        <v>596</v>
      </c>
    </row>
    <row r="832" spans="1:10" s="14" customFormat="1" ht="34.5" customHeight="1" outlineLevel="2" x14ac:dyDescent="0.25">
      <c r="A832" s="879"/>
      <c r="B832" s="100" t="s">
        <v>98</v>
      </c>
      <c r="C832" s="102" t="s">
        <v>79</v>
      </c>
      <c r="D832" s="610">
        <v>24</v>
      </c>
      <c r="E832" s="609">
        <f t="shared" si="12"/>
        <v>24</v>
      </c>
      <c r="F832" s="629" t="s">
        <v>418</v>
      </c>
      <c r="G832" s="877" t="s">
        <v>596</v>
      </c>
    </row>
    <row r="833" spans="1:10" s="14" customFormat="1" ht="34.5" customHeight="1" outlineLevel="2" x14ac:dyDescent="0.25">
      <c r="A833" s="968"/>
      <c r="B833" s="969" t="s">
        <v>99</v>
      </c>
      <c r="C833" s="970"/>
      <c r="D833" s="967"/>
      <c r="E833" s="911">
        <f t="shared" si="12"/>
        <v>0</v>
      </c>
      <c r="F833" s="912"/>
      <c r="G833" s="912"/>
    </row>
    <row r="834" spans="1:10" s="14" customFormat="1" ht="34.5" customHeight="1" outlineLevel="2" x14ac:dyDescent="0.25">
      <c r="A834" s="879"/>
      <c r="B834" s="100" t="s">
        <v>83</v>
      </c>
      <c r="C834" s="102" t="s">
        <v>77</v>
      </c>
      <c r="D834" s="610">
        <v>1.13822</v>
      </c>
      <c r="E834" s="609">
        <f t="shared" si="12"/>
        <v>1.13822</v>
      </c>
      <c r="F834" s="629" t="s">
        <v>418</v>
      </c>
      <c r="G834" s="877" t="s">
        <v>610</v>
      </c>
    </row>
    <row r="835" spans="1:10" s="14" customFormat="1" ht="34.5" customHeight="1" outlineLevel="2" x14ac:dyDescent="0.25">
      <c r="A835" s="879"/>
      <c r="B835" s="100" t="s">
        <v>84</v>
      </c>
      <c r="C835" s="102" t="s">
        <v>77</v>
      </c>
      <c r="D835" s="610">
        <v>0</v>
      </c>
      <c r="E835" s="609">
        <f t="shared" si="12"/>
        <v>0</v>
      </c>
      <c r="F835" s="629" t="s">
        <v>418</v>
      </c>
      <c r="G835" s="877" t="s">
        <v>610</v>
      </c>
    </row>
    <row r="836" spans="1:10" s="14" customFormat="1" ht="34.5" customHeight="1" outlineLevel="2" x14ac:dyDescent="0.25">
      <c r="A836" s="879"/>
      <c r="B836" s="100" t="s">
        <v>85</v>
      </c>
      <c r="C836" s="102" t="s">
        <v>77</v>
      </c>
      <c r="D836" s="610">
        <v>1.423</v>
      </c>
      <c r="E836" s="609">
        <f t="shared" si="12"/>
        <v>1.423</v>
      </c>
      <c r="F836" s="629" t="s">
        <v>418</v>
      </c>
      <c r="G836" s="877" t="s">
        <v>610</v>
      </c>
    </row>
    <row r="837" spans="1:10" s="14" customFormat="1" ht="34.5" customHeight="1" outlineLevel="2" x14ac:dyDescent="0.25">
      <c r="A837" s="879"/>
      <c r="B837" s="100" t="s">
        <v>86</v>
      </c>
      <c r="C837" s="102" t="s">
        <v>77</v>
      </c>
      <c r="D837" s="610">
        <v>0</v>
      </c>
      <c r="E837" s="609">
        <f t="shared" si="12"/>
        <v>0</v>
      </c>
      <c r="F837" s="629" t="s">
        <v>418</v>
      </c>
      <c r="G837" s="877" t="s">
        <v>610</v>
      </c>
    </row>
    <row r="838" spans="1:10" s="14" customFormat="1" ht="34.5" customHeight="1" outlineLevel="2" x14ac:dyDescent="0.25">
      <c r="A838" s="879"/>
      <c r="B838" s="100" t="s">
        <v>87</v>
      </c>
      <c r="C838" s="102" t="s">
        <v>77</v>
      </c>
      <c r="D838" s="610">
        <v>2.218</v>
      </c>
      <c r="E838" s="609">
        <f t="shared" si="12"/>
        <v>2.218</v>
      </c>
      <c r="F838" s="629" t="s">
        <v>418</v>
      </c>
      <c r="G838" s="877" t="s">
        <v>610</v>
      </c>
    </row>
    <row r="839" spans="1:10" s="14" customFormat="1" ht="34.5" customHeight="1" outlineLevel="2" x14ac:dyDescent="0.25">
      <c r="A839" s="879"/>
      <c r="B839" s="100" t="s">
        <v>100</v>
      </c>
      <c r="C839" s="97" t="s">
        <v>10</v>
      </c>
      <c r="D839" s="610">
        <v>83.32</v>
      </c>
      <c r="E839" s="609">
        <f t="shared" si="12"/>
        <v>83.32</v>
      </c>
      <c r="F839" s="607" t="s">
        <v>601</v>
      </c>
      <c r="G839" s="607"/>
      <c r="J839" s="14" t="e">
        <f>diengiai</f>
        <v>#VALUE!</v>
      </c>
    </row>
    <row r="840" spans="1:10" s="14" customFormat="1" ht="34.5" customHeight="1" outlineLevel="2" x14ac:dyDescent="0.25">
      <c r="A840" s="879"/>
      <c r="B840" s="100" t="s">
        <v>101</v>
      </c>
      <c r="C840" s="102" t="s">
        <v>10</v>
      </c>
      <c r="D840" s="610">
        <v>4.01</v>
      </c>
      <c r="E840" s="609">
        <f t="shared" si="12"/>
        <v>4.01</v>
      </c>
      <c r="F840" s="607" t="s">
        <v>602</v>
      </c>
      <c r="G840" s="607"/>
      <c r="J840" s="14" t="e">
        <f>diengiai</f>
        <v>#VALUE!</v>
      </c>
    </row>
    <row r="841" spans="1:10" s="14" customFormat="1" ht="34.5" customHeight="1" outlineLevel="2" x14ac:dyDescent="0.25">
      <c r="A841" s="879"/>
      <c r="B841" s="100" t="s">
        <v>102</v>
      </c>
      <c r="C841" s="102" t="s">
        <v>66</v>
      </c>
      <c r="D841" s="610">
        <v>0.52</v>
      </c>
      <c r="E841" s="609">
        <f t="shared" si="12"/>
        <v>0.52</v>
      </c>
      <c r="F841" s="607" t="s">
        <v>603</v>
      </c>
      <c r="G841" s="607"/>
      <c r="J841" s="14" t="e">
        <f>diengiai</f>
        <v>#VALUE!</v>
      </c>
    </row>
    <row r="842" spans="1:10" s="14" customFormat="1" ht="34.5" customHeight="1" outlineLevel="2" x14ac:dyDescent="0.25">
      <c r="A842" s="879"/>
      <c r="B842" s="100" t="s">
        <v>103</v>
      </c>
      <c r="C842" s="102" t="s">
        <v>68</v>
      </c>
      <c r="D842" s="610">
        <v>84.95</v>
      </c>
      <c r="E842" s="609">
        <f t="shared" si="12"/>
        <v>84.95</v>
      </c>
      <c r="F842" s="607" t="s">
        <v>604</v>
      </c>
      <c r="G842" s="607"/>
      <c r="J842" s="14" t="e">
        <f>diengiai</f>
        <v>#VALUE!</v>
      </c>
    </row>
    <row r="843" spans="1:10" s="14" customFormat="1" ht="34.5" customHeight="1" outlineLevel="2" x14ac:dyDescent="0.25">
      <c r="A843" s="968"/>
      <c r="B843" s="969" t="s">
        <v>104</v>
      </c>
      <c r="C843" s="970"/>
      <c r="D843" s="967"/>
      <c r="E843" s="911">
        <f t="shared" si="12"/>
        <v>0</v>
      </c>
      <c r="F843" s="912"/>
      <c r="G843" s="912"/>
    </row>
    <row r="844" spans="1:10" s="14" customFormat="1" ht="34.5" customHeight="1" outlineLevel="2" x14ac:dyDescent="0.25">
      <c r="A844" s="879"/>
      <c r="B844" s="100" t="s">
        <v>105</v>
      </c>
      <c r="C844" s="102" t="s">
        <v>77</v>
      </c>
      <c r="D844" s="610">
        <v>0.189</v>
      </c>
      <c r="E844" s="609">
        <f t="shared" si="12"/>
        <v>0.189</v>
      </c>
      <c r="F844" s="629" t="s">
        <v>418</v>
      </c>
      <c r="G844" s="877" t="s">
        <v>610</v>
      </c>
    </row>
    <row r="845" spans="1:10" s="14" customFormat="1" ht="34.5" customHeight="1" outlineLevel="2" x14ac:dyDescent="0.25">
      <c r="A845" s="879"/>
      <c r="B845" s="100" t="s">
        <v>83</v>
      </c>
      <c r="C845" s="102" t="s">
        <v>77</v>
      </c>
      <c r="D845" s="610">
        <v>1.7130000000000001</v>
      </c>
      <c r="E845" s="609">
        <f t="shared" si="12"/>
        <v>1.7130000000000001</v>
      </c>
      <c r="F845" s="629" t="s">
        <v>418</v>
      </c>
      <c r="G845" s="877" t="s">
        <v>610</v>
      </c>
    </row>
    <row r="846" spans="1:10" s="14" customFormat="1" ht="34.5" customHeight="1" outlineLevel="2" x14ac:dyDescent="0.25">
      <c r="A846" s="879"/>
      <c r="B846" s="100" t="s">
        <v>86</v>
      </c>
      <c r="C846" s="102" t="s">
        <v>77</v>
      </c>
      <c r="D846" s="610">
        <v>2.0070000000000001</v>
      </c>
      <c r="E846" s="609">
        <f t="shared" si="12"/>
        <v>2.0070000000000001</v>
      </c>
      <c r="F846" s="629" t="s">
        <v>418</v>
      </c>
      <c r="G846" s="877" t="s">
        <v>610</v>
      </c>
    </row>
    <row r="847" spans="1:10" s="14" customFormat="1" ht="34.5" customHeight="1" outlineLevel="2" x14ac:dyDescent="0.25">
      <c r="A847" s="879"/>
      <c r="B847" s="100" t="s">
        <v>106</v>
      </c>
      <c r="C847" s="97" t="s">
        <v>10</v>
      </c>
      <c r="D847" s="610">
        <v>40.729999999999997</v>
      </c>
      <c r="E847" s="609">
        <f t="shared" si="12"/>
        <v>40.729999999999997</v>
      </c>
      <c r="F847" s="629" t="s">
        <v>418</v>
      </c>
      <c r="G847" s="877" t="s">
        <v>610</v>
      </c>
    </row>
    <row r="848" spans="1:10" s="14" customFormat="1" ht="34.5" customHeight="1" outlineLevel="2" x14ac:dyDescent="0.25">
      <c r="A848" s="879"/>
      <c r="B848" s="100" t="s">
        <v>102</v>
      </c>
      <c r="C848" s="102" t="s">
        <v>66</v>
      </c>
      <c r="D848" s="610">
        <v>0.622</v>
      </c>
      <c r="E848" s="609">
        <f t="shared" ref="E848:E911" si="13">D848</f>
        <v>0.622</v>
      </c>
      <c r="F848" s="629" t="s">
        <v>418</v>
      </c>
      <c r="G848" s="877" t="s">
        <v>610</v>
      </c>
    </row>
    <row r="849" spans="1:7" s="14" customFormat="1" ht="34.5" customHeight="1" outlineLevel="2" x14ac:dyDescent="0.25">
      <c r="A849" s="968"/>
      <c r="B849" s="969" t="s">
        <v>107</v>
      </c>
      <c r="C849" s="971"/>
      <c r="D849" s="967"/>
      <c r="E849" s="911">
        <f t="shared" si="13"/>
        <v>0</v>
      </c>
      <c r="F849" s="912"/>
      <c r="G849" s="912"/>
    </row>
    <row r="850" spans="1:7" s="14" customFormat="1" ht="34.5" customHeight="1" outlineLevel="2" x14ac:dyDescent="0.25">
      <c r="A850" s="879"/>
      <c r="B850" s="100" t="s">
        <v>108</v>
      </c>
      <c r="C850" s="102" t="s">
        <v>77</v>
      </c>
      <c r="D850" s="610">
        <v>1.91E-3</v>
      </c>
      <c r="E850" s="609">
        <f t="shared" si="13"/>
        <v>1.91E-3</v>
      </c>
      <c r="F850" s="629" t="s">
        <v>418</v>
      </c>
      <c r="G850" s="877" t="s">
        <v>610</v>
      </c>
    </row>
    <row r="851" spans="1:7" s="14" customFormat="1" ht="34.5" customHeight="1" outlineLevel="2" x14ac:dyDescent="0.25">
      <c r="A851" s="879"/>
      <c r="B851" s="100" t="s">
        <v>81</v>
      </c>
      <c r="C851" s="102" t="s">
        <v>77</v>
      </c>
      <c r="D851" s="610">
        <v>0.24099999999999999</v>
      </c>
      <c r="E851" s="609">
        <f t="shared" si="13"/>
        <v>0.24099999999999999</v>
      </c>
      <c r="F851" s="629" t="s">
        <v>418</v>
      </c>
      <c r="G851" s="877" t="s">
        <v>610</v>
      </c>
    </row>
    <row r="852" spans="1:7" s="14" customFormat="1" ht="34.5" customHeight="1" outlineLevel="2" x14ac:dyDescent="0.25">
      <c r="A852" s="879"/>
      <c r="B852" s="100" t="s">
        <v>83</v>
      </c>
      <c r="C852" s="102" t="s">
        <v>77</v>
      </c>
      <c r="D852" s="610">
        <v>1.325</v>
      </c>
      <c r="E852" s="609">
        <f t="shared" si="13"/>
        <v>1.325</v>
      </c>
      <c r="F852" s="629" t="s">
        <v>418</v>
      </c>
      <c r="G852" s="877" t="s">
        <v>610</v>
      </c>
    </row>
    <row r="853" spans="1:7" s="14" customFormat="1" ht="34.5" customHeight="1" outlineLevel="2" x14ac:dyDescent="0.25">
      <c r="A853" s="879"/>
      <c r="B853" s="100" t="s">
        <v>87</v>
      </c>
      <c r="C853" s="102" t="s">
        <v>77</v>
      </c>
      <c r="D853" s="610">
        <v>0.94299999999999995</v>
      </c>
      <c r="E853" s="609">
        <f t="shared" si="13"/>
        <v>0.94299999999999995</v>
      </c>
      <c r="F853" s="629" t="s">
        <v>418</v>
      </c>
      <c r="G853" s="877" t="s">
        <v>610</v>
      </c>
    </row>
    <row r="854" spans="1:7" s="14" customFormat="1" ht="34.5" customHeight="1" outlineLevel="2" x14ac:dyDescent="0.25">
      <c r="A854" s="879"/>
      <c r="B854" s="100" t="s">
        <v>109</v>
      </c>
      <c r="C854" s="102" t="s">
        <v>77</v>
      </c>
      <c r="D854" s="610">
        <v>1.829</v>
      </c>
      <c r="E854" s="609">
        <f t="shared" si="13"/>
        <v>1.829</v>
      </c>
      <c r="F854" s="629" t="s">
        <v>418</v>
      </c>
      <c r="G854" s="877" t="s">
        <v>610</v>
      </c>
    </row>
    <row r="855" spans="1:7" s="14" customFormat="1" ht="34.5" customHeight="1" outlineLevel="2" x14ac:dyDescent="0.25">
      <c r="A855" s="879"/>
      <c r="B855" s="100" t="s">
        <v>106</v>
      </c>
      <c r="C855" s="97" t="s">
        <v>10</v>
      </c>
      <c r="D855" s="610">
        <v>31.07</v>
      </c>
      <c r="E855" s="609">
        <f t="shared" si="13"/>
        <v>31.07</v>
      </c>
      <c r="F855" s="629" t="s">
        <v>418</v>
      </c>
      <c r="G855" s="877" t="s">
        <v>610</v>
      </c>
    </row>
    <row r="856" spans="1:7" s="14" customFormat="1" ht="34.5" customHeight="1" outlineLevel="2" x14ac:dyDescent="0.25">
      <c r="A856" s="879"/>
      <c r="B856" s="100" t="s">
        <v>110</v>
      </c>
      <c r="C856" s="102" t="s">
        <v>10</v>
      </c>
      <c r="D856" s="610">
        <v>0.25</v>
      </c>
      <c r="E856" s="609">
        <f t="shared" si="13"/>
        <v>0.25</v>
      </c>
      <c r="F856" s="629" t="s">
        <v>418</v>
      </c>
      <c r="G856" s="877" t="s">
        <v>610</v>
      </c>
    </row>
    <row r="857" spans="1:7" s="14" customFormat="1" ht="34.5" customHeight="1" outlineLevel="2" x14ac:dyDescent="0.25">
      <c r="A857" s="879"/>
      <c r="B857" s="100" t="s">
        <v>102</v>
      </c>
      <c r="C857" s="102" t="s">
        <v>66</v>
      </c>
      <c r="D857" s="610">
        <v>0.57410000000000005</v>
      </c>
      <c r="E857" s="609">
        <f t="shared" si="13"/>
        <v>0.57410000000000005</v>
      </c>
      <c r="F857" s="629" t="s">
        <v>418</v>
      </c>
      <c r="G857" s="877" t="s">
        <v>610</v>
      </c>
    </row>
    <row r="858" spans="1:7" s="14" customFormat="1" ht="34.5" customHeight="1" outlineLevel="1" x14ac:dyDescent="0.25">
      <c r="A858" s="907">
        <v>6</v>
      </c>
      <c r="B858" s="908" t="s">
        <v>156</v>
      </c>
      <c r="C858" s="959" t="s">
        <v>134</v>
      </c>
      <c r="D858" s="967"/>
      <c r="E858" s="911">
        <f t="shared" si="13"/>
        <v>0</v>
      </c>
      <c r="F858" s="912"/>
      <c r="G858" s="912"/>
    </row>
    <row r="859" spans="1:7" s="14" customFormat="1" ht="34.5" customHeight="1" outlineLevel="2" x14ac:dyDescent="0.25">
      <c r="A859" s="968"/>
      <c r="B859" s="972" t="s">
        <v>80</v>
      </c>
      <c r="C859" s="973" t="s">
        <v>630</v>
      </c>
      <c r="D859" s="967" t="s">
        <v>112</v>
      </c>
      <c r="E859" s="911" t="str">
        <f t="shared" si="13"/>
        <v>4/232</v>
      </c>
      <c r="F859" s="912"/>
      <c r="G859" s="912"/>
    </row>
    <row r="860" spans="1:7" s="14" customFormat="1" ht="34.5" customHeight="1" outlineLevel="2" x14ac:dyDescent="0.25">
      <c r="A860" s="879"/>
      <c r="B860" s="881" t="s">
        <v>81</v>
      </c>
      <c r="C860" s="880" t="s">
        <v>139</v>
      </c>
      <c r="D860" s="610">
        <v>2.831</v>
      </c>
      <c r="E860" s="609">
        <f t="shared" si="13"/>
        <v>2.831</v>
      </c>
      <c r="F860" s="629" t="s">
        <v>418</v>
      </c>
      <c r="G860" s="882" t="s">
        <v>596</v>
      </c>
    </row>
    <row r="861" spans="1:7" s="14" customFormat="1" ht="34.5" customHeight="1" outlineLevel="2" x14ac:dyDescent="0.25">
      <c r="A861" s="879"/>
      <c r="B861" s="881" t="s">
        <v>82</v>
      </c>
      <c r="C861" s="880" t="s">
        <v>139</v>
      </c>
      <c r="D861" s="610">
        <v>0.187</v>
      </c>
      <c r="E861" s="609">
        <f t="shared" si="13"/>
        <v>0.187</v>
      </c>
      <c r="F861" s="629" t="s">
        <v>418</v>
      </c>
      <c r="G861" s="882" t="s">
        <v>596</v>
      </c>
    </row>
    <row r="862" spans="1:7" s="14" customFormat="1" ht="34.5" customHeight="1" outlineLevel="2" x14ac:dyDescent="0.25">
      <c r="A862" s="879"/>
      <c r="B862" s="881" t="s">
        <v>83</v>
      </c>
      <c r="C862" s="880" t="s">
        <v>139</v>
      </c>
      <c r="D862" s="610">
        <v>1.384E-2</v>
      </c>
      <c r="E862" s="609">
        <f t="shared" si="13"/>
        <v>1.384E-2</v>
      </c>
      <c r="F862" s="629" t="s">
        <v>418</v>
      </c>
      <c r="G862" s="882" t="s">
        <v>596</v>
      </c>
    </row>
    <row r="863" spans="1:7" s="14" customFormat="1" ht="34.5" customHeight="1" outlineLevel="2" x14ac:dyDescent="0.25">
      <c r="A863" s="879"/>
      <c r="B863" s="881" t="s">
        <v>84</v>
      </c>
      <c r="C863" s="880" t="s">
        <v>139</v>
      </c>
      <c r="D863" s="610">
        <v>4.6560000000000004E-2</v>
      </c>
      <c r="E863" s="609">
        <f t="shared" si="13"/>
        <v>4.6560000000000004E-2</v>
      </c>
      <c r="F863" s="629" t="s">
        <v>418</v>
      </c>
      <c r="G863" s="882" t="s">
        <v>596</v>
      </c>
    </row>
    <row r="864" spans="1:7" s="14" customFormat="1" ht="34.5" customHeight="1" outlineLevel="2" x14ac:dyDescent="0.25">
      <c r="A864" s="879"/>
      <c r="B864" s="881" t="s">
        <v>85</v>
      </c>
      <c r="C864" s="880" t="s">
        <v>139</v>
      </c>
      <c r="D864" s="610">
        <v>9.6080000000000005</v>
      </c>
      <c r="E864" s="609">
        <f t="shared" si="13"/>
        <v>9.6080000000000005</v>
      </c>
      <c r="F864" s="629" t="s">
        <v>418</v>
      </c>
      <c r="G864" s="882" t="s">
        <v>596</v>
      </c>
    </row>
    <row r="865" spans="1:14" s="14" customFormat="1" ht="34.5" customHeight="1" outlineLevel="2" x14ac:dyDescent="0.25">
      <c r="A865" s="879"/>
      <c r="B865" s="881" t="s">
        <v>86</v>
      </c>
      <c r="C865" s="880" t="s">
        <v>139</v>
      </c>
      <c r="D865" s="610">
        <v>3.347</v>
      </c>
      <c r="E865" s="609">
        <f t="shared" si="13"/>
        <v>3.347</v>
      </c>
      <c r="F865" s="629" t="s">
        <v>418</v>
      </c>
      <c r="G865" s="882" t="s">
        <v>596</v>
      </c>
    </row>
    <row r="866" spans="1:14" s="14" customFormat="1" ht="34.5" customHeight="1" outlineLevel="2" x14ac:dyDescent="0.25">
      <c r="A866" s="879"/>
      <c r="B866" s="881" t="s">
        <v>87</v>
      </c>
      <c r="C866" s="880" t="s">
        <v>139</v>
      </c>
      <c r="D866" s="610">
        <v>5.5949999999999998</v>
      </c>
      <c r="E866" s="609">
        <f t="shared" si="13"/>
        <v>5.5949999999999998</v>
      </c>
      <c r="F866" s="629" t="s">
        <v>418</v>
      </c>
      <c r="G866" s="882" t="s">
        <v>596</v>
      </c>
    </row>
    <row r="867" spans="1:14" s="14" customFormat="1" ht="34.5" customHeight="1" outlineLevel="2" x14ac:dyDescent="0.25">
      <c r="A867" s="879"/>
      <c r="B867" s="881" t="s">
        <v>88</v>
      </c>
      <c r="C867" s="880" t="s">
        <v>10</v>
      </c>
      <c r="D867" s="610">
        <v>263.39999999999998</v>
      </c>
      <c r="E867" s="609">
        <f t="shared" si="13"/>
        <v>263.39999999999998</v>
      </c>
      <c r="F867" s="607" t="s">
        <v>637</v>
      </c>
      <c r="G867" s="607"/>
      <c r="J867" s="14" t="e">
        <f>diengiai</f>
        <v>#VALUE!</v>
      </c>
      <c r="M867" s="14" t="s">
        <v>414</v>
      </c>
      <c r="N867" s="14">
        <v>58</v>
      </c>
    </row>
    <row r="868" spans="1:14" s="14" customFormat="1" ht="34.5" customHeight="1" outlineLevel="2" x14ac:dyDescent="0.25">
      <c r="A868" s="879"/>
      <c r="B868" s="881" t="s">
        <v>89</v>
      </c>
      <c r="C868" s="880" t="s">
        <v>10</v>
      </c>
      <c r="D868" s="610">
        <v>3.48</v>
      </c>
      <c r="E868" s="609">
        <f t="shared" si="13"/>
        <v>3.48</v>
      </c>
      <c r="F868" s="607" t="s">
        <v>638</v>
      </c>
      <c r="G868" s="607"/>
      <c r="J868" s="14" t="e">
        <f>diengiai</f>
        <v>#VALUE!</v>
      </c>
    </row>
    <row r="869" spans="1:14" s="14" customFormat="1" ht="34.5" customHeight="1" outlineLevel="2" x14ac:dyDescent="0.25">
      <c r="A869" s="879"/>
      <c r="B869" s="881" t="s">
        <v>90</v>
      </c>
      <c r="C869" s="880" t="s">
        <v>139</v>
      </c>
      <c r="D869" s="610">
        <v>1.625</v>
      </c>
      <c r="E869" s="609">
        <f t="shared" si="13"/>
        <v>1.625</v>
      </c>
      <c r="F869" s="629" t="s">
        <v>418</v>
      </c>
      <c r="G869" s="882" t="s">
        <v>596</v>
      </c>
    </row>
    <row r="870" spans="1:14" s="14" customFormat="1" ht="34.5" customHeight="1" outlineLevel="2" x14ac:dyDescent="0.25">
      <c r="A870" s="879"/>
      <c r="B870" s="881" t="s">
        <v>91</v>
      </c>
      <c r="C870" s="880" t="s">
        <v>631</v>
      </c>
      <c r="D870" s="610">
        <v>0</v>
      </c>
      <c r="E870" s="609">
        <f t="shared" si="13"/>
        <v>0</v>
      </c>
      <c r="F870" s="629" t="s">
        <v>418</v>
      </c>
      <c r="G870" s="882" t="s">
        <v>596</v>
      </c>
    </row>
    <row r="871" spans="1:14" s="14" customFormat="1" ht="34.5" customHeight="1" outlineLevel="2" x14ac:dyDescent="0.25">
      <c r="A871" s="879"/>
      <c r="B871" s="881" t="s">
        <v>92</v>
      </c>
      <c r="C871" s="880" t="s">
        <v>631</v>
      </c>
      <c r="D871" s="610">
        <v>0</v>
      </c>
      <c r="E871" s="609">
        <f t="shared" si="13"/>
        <v>0</v>
      </c>
      <c r="F871" s="629" t="s">
        <v>418</v>
      </c>
      <c r="G871" s="882" t="s">
        <v>596</v>
      </c>
    </row>
    <row r="872" spans="1:14" s="14" customFormat="1" ht="34.5" customHeight="1" outlineLevel="2" x14ac:dyDescent="0.25">
      <c r="A872" s="879"/>
      <c r="B872" s="881" t="s">
        <v>93</v>
      </c>
      <c r="C872" s="880" t="s">
        <v>631</v>
      </c>
      <c r="D872" s="610">
        <v>288</v>
      </c>
      <c r="E872" s="609">
        <f t="shared" si="13"/>
        <v>288</v>
      </c>
      <c r="F872" s="629" t="s">
        <v>418</v>
      </c>
      <c r="G872" s="882" t="s">
        <v>596</v>
      </c>
    </row>
    <row r="873" spans="1:14" s="14" customFormat="1" ht="34.5" customHeight="1" outlineLevel="2" x14ac:dyDescent="0.25">
      <c r="A873" s="879"/>
      <c r="B873" s="881" t="s">
        <v>94</v>
      </c>
      <c r="C873" s="880" t="s">
        <v>631</v>
      </c>
      <c r="D873" s="610">
        <v>1152</v>
      </c>
      <c r="E873" s="609">
        <f t="shared" si="13"/>
        <v>1152</v>
      </c>
      <c r="F873" s="629" t="s">
        <v>418</v>
      </c>
      <c r="G873" s="882" t="s">
        <v>596</v>
      </c>
    </row>
    <row r="874" spans="1:14" s="14" customFormat="1" ht="34.5" customHeight="1" outlineLevel="2" x14ac:dyDescent="0.25">
      <c r="A874" s="879"/>
      <c r="B874" s="881" t="s">
        <v>546</v>
      </c>
      <c r="C874" s="880" t="s">
        <v>57</v>
      </c>
      <c r="D874" s="610">
        <v>7.0860000000000003</v>
      </c>
      <c r="E874" s="609">
        <f t="shared" si="13"/>
        <v>7.0860000000000003</v>
      </c>
      <c r="F874" s="607" t="s">
        <v>639</v>
      </c>
      <c r="G874" s="607"/>
      <c r="J874" s="14" t="e">
        <f>diengiai</f>
        <v>#VALUE!</v>
      </c>
    </row>
    <row r="875" spans="1:14" s="14" customFormat="1" ht="34.5" customHeight="1" outlineLevel="2" x14ac:dyDescent="0.25">
      <c r="A875" s="879"/>
      <c r="B875" s="881" t="s">
        <v>628</v>
      </c>
      <c r="C875" s="880" t="s">
        <v>57</v>
      </c>
      <c r="D875" s="610">
        <v>2.3199999999999998</v>
      </c>
      <c r="E875" s="609">
        <f t="shared" si="13"/>
        <v>2.3199999999999998</v>
      </c>
      <c r="F875" s="607" t="s">
        <v>640</v>
      </c>
      <c r="G875" s="607"/>
      <c r="J875" s="14" t="e">
        <f>diengiai</f>
        <v>#VALUE!</v>
      </c>
    </row>
    <row r="876" spans="1:14" s="14" customFormat="1" ht="34.5" customHeight="1" outlineLevel="2" x14ac:dyDescent="0.25">
      <c r="A876" s="879"/>
      <c r="B876" s="881" t="s">
        <v>632</v>
      </c>
      <c r="C876" s="880" t="s">
        <v>79</v>
      </c>
      <c r="D876" s="610">
        <v>8</v>
      </c>
      <c r="E876" s="609">
        <f t="shared" si="13"/>
        <v>8</v>
      </c>
      <c r="F876" s="629" t="s">
        <v>418</v>
      </c>
      <c r="G876" s="882" t="s">
        <v>596</v>
      </c>
    </row>
    <row r="877" spans="1:14" s="14" customFormat="1" ht="34.5" customHeight="1" outlineLevel="2" x14ac:dyDescent="0.25">
      <c r="A877" s="879"/>
      <c r="B877" s="881" t="s">
        <v>633</v>
      </c>
      <c r="C877" s="880" t="s">
        <v>79</v>
      </c>
      <c r="D877" s="610">
        <v>24</v>
      </c>
      <c r="E877" s="609">
        <f t="shared" si="13"/>
        <v>24</v>
      </c>
      <c r="F877" s="629" t="s">
        <v>418</v>
      </c>
      <c r="G877" s="882" t="s">
        <v>596</v>
      </c>
    </row>
    <row r="878" spans="1:14" s="133" customFormat="1" ht="34.5" customHeight="1" outlineLevel="2" x14ac:dyDescent="0.25">
      <c r="A878" s="968"/>
      <c r="B878" s="974" t="s">
        <v>545</v>
      </c>
      <c r="C878" s="968"/>
      <c r="D878" s="975"/>
      <c r="E878" s="911">
        <f t="shared" si="13"/>
        <v>0</v>
      </c>
      <c r="F878" s="912"/>
      <c r="G878" s="912"/>
    </row>
    <row r="879" spans="1:14" s="14" customFormat="1" ht="34.5" customHeight="1" outlineLevel="2" x14ac:dyDescent="0.25">
      <c r="A879" s="879"/>
      <c r="B879" s="881" t="s">
        <v>83</v>
      </c>
      <c r="C879" s="880" t="s">
        <v>139</v>
      </c>
      <c r="D879" s="610">
        <v>1.1379999999999999</v>
      </c>
      <c r="E879" s="609">
        <f t="shared" si="13"/>
        <v>1.1379999999999999</v>
      </c>
      <c r="F879" s="629" t="s">
        <v>418</v>
      </c>
      <c r="G879" s="877" t="s">
        <v>610</v>
      </c>
    </row>
    <row r="880" spans="1:14" s="14" customFormat="1" ht="34.5" customHeight="1" outlineLevel="2" x14ac:dyDescent="0.25">
      <c r="A880" s="879"/>
      <c r="B880" s="881" t="s">
        <v>84</v>
      </c>
      <c r="C880" s="880" t="s">
        <v>139</v>
      </c>
      <c r="D880" s="610">
        <v>0</v>
      </c>
      <c r="E880" s="609">
        <f t="shared" si="13"/>
        <v>0</v>
      </c>
      <c r="F880" s="629" t="s">
        <v>418</v>
      </c>
      <c r="G880" s="877" t="s">
        <v>610</v>
      </c>
    </row>
    <row r="881" spans="1:7" s="14" customFormat="1" ht="34.5" customHeight="1" outlineLevel="2" x14ac:dyDescent="0.25">
      <c r="A881" s="879"/>
      <c r="B881" s="881" t="s">
        <v>85</v>
      </c>
      <c r="C881" s="880" t="s">
        <v>139</v>
      </c>
      <c r="D881" s="610">
        <v>1.423</v>
      </c>
      <c r="E881" s="609">
        <f t="shared" si="13"/>
        <v>1.423</v>
      </c>
      <c r="F881" s="629" t="s">
        <v>418</v>
      </c>
      <c r="G881" s="877" t="s">
        <v>610</v>
      </c>
    </row>
    <row r="882" spans="1:7" s="14" customFormat="1" ht="34.5" customHeight="1" outlineLevel="2" x14ac:dyDescent="0.25">
      <c r="A882" s="879"/>
      <c r="B882" s="881" t="s">
        <v>86</v>
      </c>
      <c r="C882" s="880" t="s">
        <v>139</v>
      </c>
      <c r="D882" s="610">
        <v>0</v>
      </c>
      <c r="E882" s="609">
        <f t="shared" si="13"/>
        <v>0</v>
      </c>
      <c r="F882" s="629" t="s">
        <v>418</v>
      </c>
      <c r="G882" s="877" t="s">
        <v>610</v>
      </c>
    </row>
    <row r="883" spans="1:7" s="14" customFormat="1" ht="34.5" customHeight="1" outlineLevel="2" x14ac:dyDescent="0.25">
      <c r="A883" s="879"/>
      <c r="B883" s="881" t="s">
        <v>87</v>
      </c>
      <c r="C883" s="880" t="s">
        <v>139</v>
      </c>
      <c r="D883" s="610">
        <v>2.2183999999999999</v>
      </c>
      <c r="E883" s="609">
        <f t="shared" si="13"/>
        <v>2.2183999999999999</v>
      </c>
      <c r="F883" s="629" t="s">
        <v>418</v>
      </c>
      <c r="G883" s="877" t="s">
        <v>610</v>
      </c>
    </row>
    <row r="884" spans="1:7" s="14" customFormat="1" ht="34.5" customHeight="1" outlineLevel="2" x14ac:dyDescent="0.25">
      <c r="A884" s="879"/>
      <c r="B884" s="881" t="s">
        <v>100</v>
      </c>
      <c r="C884" s="880" t="s">
        <v>10</v>
      </c>
      <c r="D884" s="610">
        <v>83.32</v>
      </c>
      <c r="E884" s="609">
        <f t="shared" si="13"/>
        <v>83.32</v>
      </c>
      <c r="F884" s="629" t="s">
        <v>418</v>
      </c>
      <c r="G884" s="877" t="s">
        <v>610</v>
      </c>
    </row>
    <row r="885" spans="1:7" s="14" customFormat="1" ht="34.5" customHeight="1" outlineLevel="2" x14ac:dyDescent="0.25">
      <c r="A885" s="879"/>
      <c r="B885" s="881" t="s">
        <v>101</v>
      </c>
      <c r="C885" s="880" t="s">
        <v>10</v>
      </c>
      <c r="D885" s="610">
        <v>4.01</v>
      </c>
      <c r="E885" s="609">
        <f t="shared" si="13"/>
        <v>4.01</v>
      </c>
      <c r="F885" s="629" t="s">
        <v>418</v>
      </c>
      <c r="G885" s="877" t="s">
        <v>610</v>
      </c>
    </row>
    <row r="886" spans="1:7" s="14" customFormat="1" ht="34.5" customHeight="1" outlineLevel="2" x14ac:dyDescent="0.25">
      <c r="A886" s="879"/>
      <c r="B886" s="881" t="s">
        <v>102</v>
      </c>
      <c r="C886" s="880" t="s">
        <v>66</v>
      </c>
      <c r="D886" s="610">
        <v>0.52</v>
      </c>
      <c r="E886" s="609">
        <f t="shared" si="13"/>
        <v>0.52</v>
      </c>
      <c r="F886" s="629" t="s">
        <v>418</v>
      </c>
      <c r="G886" s="877" t="s">
        <v>610</v>
      </c>
    </row>
    <row r="887" spans="1:7" s="14" customFormat="1" ht="34.5" customHeight="1" outlineLevel="2" x14ac:dyDescent="0.25">
      <c r="A887" s="879"/>
      <c r="B887" s="881" t="s">
        <v>103</v>
      </c>
      <c r="C887" s="880" t="s">
        <v>68</v>
      </c>
      <c r="D887" s="610">
        <v>84.95</v>
      </c>
      <c r="E887" s="609">
        <f t="shared" si="13"/>
        <v>84.95</v>
      </c>
      <c r="F887" s="629" t="s">
        <v>418</v>
      </c>
      <c r="G887" s="877" t="s">
        <v>610</v>
      </c>
    </row>
    <row r="888" spans="1:7" s="133" customFormat="1" ht="34.5" customHeight="1" outlineLevel="2" x14ac:dyDescent="0.25">
      <c r="A888" s="968"/>
      <c r="B888" s="974" t="s">
        <v>104</v>
      </c>
      <c r="C888" s="968"/>
      <c r="D888" s="975"/>
      <c r="E888" s="911"/>
      <c r="F888" s="912"/>
      <c r="G888" s="912"/>
    </row>
    <row r="889" spans="1:7" s="14" customFormat="1" ht="34.5" customHeight="1" outlineLevel="2" x14ac:dyDescent="0.25">
      <c r="A889" s="879"/>
      <c r="B889" s="881" t="s">
        <v>105</v>
      </c>
      <c r="C889" s="880" t="s">
        <v>139</v>
      </c>
      <c r="D889" s="610">
        <v>0.27100000000000002</v>
      </c>
      <c r="E889" s="609">
        <f t="shared" si="13"/>
        <v>0.27100000000000002</v>
      </c>
      <c r="F889" s="629" t="s">
        <v>418</v>
      </c>
      <c r="G889" s="877" t="s">
        <v>610</v>
      </c>
    </row>
    <row r="890" spans="1:7" s="14" customFormat="1" ht="34.5" customHeight="1" outlineLevel="2" x14ac:dyDescent="0.25">
      <c r="A890" s="879"/>
      <c r="B890" s="881" t="s">
        <v>83</v>
      </c>
      <c r="C890" s="880" t="s">
        <v>139</v>
      </c>
      <c r="D890" s="610">
        <v>1.994</v>
      </c>
      <c r="E890" s="609">
        <f t="shared" si="13"/>
        <v>1.994</v>
      </c>
      <c r="F890" s="629" t="s">
        <v>418</v>
      </c>
      <c r="G890" s="877" t="s">
        <v>610</v>
      </c>
    </row>
    <row r="891" spans="1:7" s="14" customFormat="1" ht="34.5" customHeight="1" outlineLevel="2" x14ac:dyDescent="0.25">
      <c r="A891" s="879"/>
      <c r="B891" s="881" t="s">
        <v>86</v>
      </c>
      <c r="C891" s="880" t="s">
        <v>139</v>
      </c>
      <c r="D891" s="610">
        <v>2.4009999999999998</v>
      </c>
      <c r="E891" s="609">
        <f t="shared" si="13"/>
        <v>2.4009999999999998</v>
      </c>
      <c r="F891" s="629" t="s">
        <v>418</v>
      </c>
      <c r="G891" s="877" t="s">
        <v>610</v>
      </c>
    </row>
    <row r="892" spans="1:7" s="14" customFormat="1" ht="34.5" customHeight="1" outlineLevel="2" x14ac:dyDescent="0.25">
      <c r="A892" s="879"/>
      <c r="B892" s="881" t="s">
        <v>629</v>
      </c>
      <c r="C892" s="880" t="s">
        <v>10</v>
      </c>
      <c r="D892" s="610">
        <v>54.3</v>
      </c>
      <c r="E892" s="609">
        <f t="shared" si="13"/>
        <v>54.3</v>
      </c>
      <c r="F892" s="629" t="s">
        <v>418</v>
      </c>
      <c r="G892" s="877" t="s">
        <v>610</v>
      </c>
    </row>
    <row r="893" spans="1:7" s="14" customFormat="1" ht="34.5" customHeight="1" outlineLevel="2" x14ac:dyDescent="0.25">
      <c r="A893" s="879"/>
      <c r="B893" s="881" t="s">
        <v>102</v>
      </c>
      <c r="C893" s="880" t="s">
        <v>66</v>
      </c>
      <c r="D893" s="610">
        <v>0.8296</v>
      </c>
      <c r="E893" s="609">
        <f t="shared" si="13"/>
        <v>0.8296</v>
      </c>
      <c r="F893" s="629" t="s">
        <v>418</v>
      </c>
      <c r="G893" s="877" t="s">
        <v>610</v>
      </c>
    </row>
    <row r="894" spans="1:7" s="133" customFormat="1" ht="34.5" customHeight="1" outlineLevel="2" x14ac:dyDescent="0.25">
      <c r="A894" s="968"/>
      <c r="B894" s="974" t="s">
        <v>107</v>
      </c>
      <c r="C894" s="968"/>
      <c r="D894" s="975"/>
      <c r="E894" s="911">
        <f t="shared" si="13"/>
        <v>0</v>
      </c>
      <c r="F894" s="912"/>
      <c r="G894" s="912"/>
    </row>
    <row r="895" spans="1:7" s="14" customFormat="1" ht="34.5" customHeight="1" outlineLevel="2" x14ac:dyDescent="0.25">
      <c r="A895" s="879"/>
      <c r="B895" s="881" t="s">
        <v>108</v>
      </c>
      <c r="C895" s="880" t="s">
        <v>139</v>
      </c>
      <c r="D895" s="610">
        <v>1.9099999999999999E-2</v>
      </c>
      <c r="E895" s="609">
        <f t="shared" si="13"/>
        <v>1.9099999999999999E-2</v>
      </c>
      <c r="F895" s="629" t="s">
        <v>418</v>
      </c>
      <c r="G895" s="877" t="s">
        <v>610</v>
      </c>
    </row>
    <row r="896" spans="1:7" s="14" customFormat="1" ht="34.5" customHeight="1" outlineLevel="2" x14ac:dyDescent="0.25">
      <c r="A896" s="879"/>
      <c r="B896" s="881" t="s">
        <v>81</v>
      </c>
      <c r="C896" s="880" t="s">
        <v>139</v>
      </c>
      <c r="D896" s="610">
        <v>0.2409</v>
      </c>
      <c r="E896" s="609">
        <f t="shared" si="13"/>
        <v>0.2409</v>
      </c>
      <c r="F896" s="629" t="s">
        <v>418</v>
      </c>
      <c r="G896" s="877" t="s">
        <v>610</v>
      </c>
    </row>
    <row r="897" spans="1:7" s="14" customFormat="1" ht="34.5" customHeight="1" outlineLevel="2" x14ac:dyDescent="0.25">
      <c r="A897" s="879"/>
      <c r="B897" s="881" t="s">
        <v>83</v>
      </c>
      <c r="C897" s="880" t="s">
        <v>139</v>
      </c>
      <c r="D897" s="610">
        <v>1.3248</v>
      </c>
      <c r="E897" s="609">
        <f t="shared" si="13"/>
        <v>1.3248</v>
      </c>
      <c r="F897" s="629" t="s">
        <v>418</v>
      </c>
      <c r="G897" s="877" t="s">
        <v>610</v>
      </c>
    </row>
    <row r="898" spans="1:7" s="14" customFormat="1" ht="34.5" customHeight="1" outlineLevel="2" x14ac:dyDescent="0.25">
      <c r="A898" s="879"/>
      <c r="B898" s="881" t="s">
        <v>87</v>
      </c>
      <c r="C898" s="880" t="s">
        <v>139</v>
      </c>
      <c r="D898" s="610">
        <v>0.94299999999999995</v>
      </c>
      <c r="E898" s="609">
        <f t="shared" si="13"/>
        <v>0.94299999999999995</v>
      </c>
      <c r="F898" s="629" t="s">
        <v>418</v>
      </c>
      <c r="G898" s="877" t="s">
        <v>610</v>
      </c>
    </row>
    <row r="899" spans="1:7" s="14" customFormat="1" ht="34.5" customHeight="1" outlineLevel="2" x14ac:dyDescent="0.25">
      <c r="A899" s="879"/>
      <c r="B899" s="881" t="s">
        <v>109</v>
      </c>
      <c r="C899" s="880" t="s">
        <v>139</v>
      </c>
      <c r="D899" s="610">
        <v>1.829</v>
      </c>
      <c r="E899" s="609">
        <f t="shared" si="13"/>
        <v>1.829</v>
      </c>
      <c r="F899" s="629" t="s">
        <v>418</v>
      </c>
      <c r="G899" s="877" t="s">
        <v>610</v>
      </c>
    </row>
    <row r="900" spans="1:7" s="14" customFormat="1" ht="34.5" customHeight="1" outlineLevel="2" x14ac:dyDescent="0.25">
      <c r="A900" s="879"/>
      <c r="B900" s="881" t="s">
        <v>106</v>
      </c>
      <c r="C900" s="880" t="s">
        <v>10</v>
      </c>
      <c r="D900" s="610">
        <v>31.07</v>
      </c>
      <c r="E900" s="609">
        <f t="shared" si="13"/>
        <v>31.07</v>
      </c>
      <c r="F900" s="629" t="s">
        <v>418</v>
      </c>
      <c r="G900" s="877" t="s">
        <v>610</v>
      </c>
    </row>
    <row r="901" spans="1:7" s="14" customFormat="1" ht="34.5" customHeight="1" outlineLevel="2" x14ac:dyDescent="0.25">
      <c r="A901" s="879"/>
      <c r="B901" s="881" t="s">
        <v>110</v>
      </c>
      <c r="C901" s="880" t="s">
        <v>10</v>
      </c>
      <c r="D901" s="610">
        <v>0.25</v>
      </c>
      <c r="E901" s="609">
        <f t="shared" si="13"/>
        <v>0.25</v>
      </c>
      <c r="F901" s="629" t="s">
        <v>418</v>
      </c>
      <c r="G901" s="877" t="s">
        <v>610</v>
      </c>
    </row>
    <row r="902" spans="1:7" s="14" customFormat="1" ht="34.5" customHeight="1" outlineLevel="2" x14ac:dyDescent="0.25">
      <c r="A902" s="879"/>
      <c r="B902" s="881" t="s">
        <v>102</v>
      </c>
      <c r="C902" s="880" t="s">
        <v>66</v>
      </c>
      <c r="D902" s="610">
        <v>0.57410000000000005</v>
      </c>
      <c r="E902" s="609">
        <f t="shared" si="13"/>
        <v>0.57410000000000005</v>
      </c>
      <c r="F902" s="629" t="s">
        <v>418</v>
      </c>
      <c r="G902" s="877" t="s">
        <v>610</v>
      </c>
    </row>
    <row r="903" spans="1:7" s="14" customFormat="1" ht="39.75" customHeight="1" outlineLevel="1" x14ac:dyDescent="0.25">
      <c r="A903" s="907">
        <v>7</v>
      </c>
      <c r="B903" s="908" t="s">
        <v>157</v>
      </c>
      <c r="C903" s="959" t="s">
        <v>134</v>
      </c>
      <c r="D903" s="910"/>
      <c r="E903" s="911">
        <f t="shared" si="13"/>
        <v>0</v>
      </c>
      <c r="F903" s="912"/>
      <c r="G903" s="912"/>
    </row>
    <row r="904" spans="1:7" s="14" customFormat="1" ht="34.5" customHeight="1" outlineLevel="2" x14ac:dyDescent="0.25">
      <c r="A904" s="879"/>
      <c r="B904" s="881" t="s">
        <v>80</v>
      </c>
      <c r="C904" s="880" t="s">
        <v>40</v>
      </c>
      <c r="D904" s="610" t="s">
        <v>112</v>
      </c>
      <c r="E904" s="609" t="str">
        <f t="shared" si="13"/>
        <v>4/232</v>
      </c>
      <c r="F904" s="607"/>
      <c r="G904" s="607"/>
    </row>
    <row r="905" spans="1:7" s="14" customFormat="1" ht="34.5" customHeight="1" outlineLevel="2" x14ac:dyDescent="0.25">
      <c r="A905" s="879"/>
      <c r="B905" s="881" t="s">
        <v>81</v>
      </c>
      <c r="C905" s="880" t="s">
        <v>139</v>
      </c>
      <c r="D905" s="610">
        <v>2.831</v>
      </c>
      <c r="E905" s="609">
        <f t="shared" si="13"/>
        <v>2.831</v>
      </c>
      <c r="F905" s="629" t="s">
        <v>418</v>
      </c>
      <c r="G905" s="882" t="s">
        <v>596</v>
      </c>
    </row>
    <row r="906" spans="1:7" s="14" customFormat="1" ht="34.5" customHeight="1" outlineLevel="2" x14ac:dyDescent="0.25">
      <c r="A906" s="879"/>
      <c r="B906" s="881" t="s">
        <v>82</v>
      </c>
      <c r="C906" s="880" t="s">
        <v>139</v>
      </c>
      <c r="D906" s="610">
        <v>0.187</v>
      </c>
      <c r="E906" s="609">
        <f t="shared" si="13"/>
        <v>0.187</v>
      </c>
      <c r="F906" s="629" t="s">
        <v>418</v>
      </c>
      <c r="G906" s="882" t="s">
        <v>596</v>
      </c>
    </row>
    <row r="907" spans="1:7" s="14" customFormat="1" ht="34.5" customHeight="1" outlineLevel="2" x14ac:dyDescent="0.25">
      <c r="A907" s="879"/>
      <c r="B907" s="881" t="s">
        <v>83</v>
      </c>
      <c r="C907" s="880" t="s">
        <v>139</v>
      </c>
      <c r="D907" s="610">
        <v>1.384E-2</v>
      </c>
      <c r="E907" s="609">
        <f t="shared" si="13"/>
        <v>1.384E-2</v>
      </c>
      <c r="F907" s="629" t="s">
        <v>418</v>
      </c>
      <c r="G907" s="882" t="s">
        <v>596</v>
      </c>
    </row>
    <row r="908" spans="1:7" s="14" customFormat="1" ht="34.5" customHeight="1" outlineLevel="2" x14ac:dyDescent="0.25">
      <c r="A908" s="879"/>
      <c r="B908" s="881" t="s">
        <v>84</v>
      </c>
      <c r="C908" s="880" t="s">
        <v>139</v>
      </c>
      <c r="D908" s="610">
        <v>4.6560000000000004E-2</v>
      </c>
      <c r="E908" s="609">
        <f t="shared" si="13"/>
        <v>4.6560000000000004E-2</v>
      </c>
      <c r="F908" s="629" t="s">
        <v>418</v>
      </c>
      <c r="G908" s="882" t="s">
        <v>596</v>
      </c>
    </row>
    <row r="909" spans="1:7" s="14" customFormat="1" ht="34.5" customHeight="1" outlineLevel="2" x14ac:dyDescent="0.25">
      <c r="A909" s="879"/>
      <c r="B909" s="881" t="s">
        <v>85</v>
      </c>
      <c r="C909" s="880" t="s">
        <v>139</v>
      </c>
      <c r="D909" s="610">
        <v>9.6080000000000005</v>
      </c>
      <c r="E909" s="609">
        <f t="shared" si="13"/>
        <v>9.6080000000000005</v>
      </c>
      <c r="F909" s="629" t="s">
        <v>418</v>
      </c>
      <c r="G909" s="882" t="s">
        <v>596</v>
      </c>
    </row>
    <row r="910" spans="1:7" s="14" customFormat="1" ht="34.5" customHeight="1" outlineLevel="2" x14ac:dyDescent="0.25">
      <c r="A910" s="879"/>
      <c r="B910" s="881" t="s">
        <v>86</v>
      </c>
      <c r="C910" s="880" t="s">
        <v>139</v>
      </c>
      <c r="D910" s="610">
        <v>3.347</v>
      </c>
      <c r="E910" s="609">
        <f t="shared" si="13"/>
        <v>3.347</v>
      </c>
      <c r="F910" s="629" t="s">
        <v>418</v>
      </c>
      <c r="G910" s="882" t="s">
        <v>596</v>
      </c>
    </row>
    <row r="911" spans="1:7" s="14" customFormat="1" ht="34.5" customHeight="1" outlineLevel="2" x14ac:dyDescent="0.25">
      <c r="A911" s="879"/>
      <c r="B911" s="881" t="s">
        <v>87</v>
      </c>
      <c r="C911" s="880" t="s">
        <v>139</v>
      </c>
      <c r="D911" s="610">
        <v>5.5949999999999998</v>
      </c>
      <c r="E911" s="609">
        <f t="shared" si="13"/>
        <v>5.5949999999999998</v>
      </c>
      <c r="F911" s="629" t="s">
        <v>418</v>
      </c>
      <c r="G911" s="882" t="s">
        <v>596</v>
      </c>
    </row>
    <row r="912" spans="1:7" s="14" customFormat="1" ht="34.5" customHeight="1" outlineLevel="2" x14ac:dyDescent="0.25">
      <c r="A912" s="879"/>
      <c r="B912" s="881" t="s">
        <v>88</v>
      </c>
      <c r="C912" s="880" t="s">
        <v>10</v>
      </c>
      <c r="D912" s="610">
        <v>263.39999999999998</v>
      </c>
      <c r="E912" s="609">
        <f t="shared" ref="E912:E975" si="14">D912</f>
        <v>263.39999999999998</v>
      </c>
      <c r="F912" s="607" t="s">
        <v>637</v>
      </c>
      <c r="G912" s="607"/>
    </row>
    <row r="913" spans="1:7" s="14" customFormat="1" ht="34.5" customHeight="1" outlineLevel="2" x14ac:dyDescent="0.25">
      <c r="A913" s="879"/>
      <c r="B913" s="881" t="s">
        <v>89</v>
      </c>
      <c r="C913" s="880" t="s">
        <v>10</v>
      </c>
      <c r="D913" s="610">
        <v>3.48</v>
      </c>
      <c r="E913" s="609">
        <f t="shared" si="14"/>
        <v>3.48</v>
      </c>
      <c r="F913" s="607" t="s">
        <v>638</v>
      </c>
      <c r="G913" s="607"/>
    </row>
    <row r="914" spans="1:7" s="14" customFormat="1" ht="34.5" customHeight="1" outlineLevel="2" x14ac:dyDescent="0.25">
      <c r="A914" s="879"/>
      <c r="B914" s="881" t="s">
        <v>90</v>
      </c>
      <c r="C914" s="880" t="s">
        <v>139</v>
      </c>
      <c r="D914" s="610">
        <v>1.625</v>
      </c>
      <c r="E914" s="609">
        <f t="shared" si="14"/>
        <v>1.625</v>
      </c>
      <c r="F914" s="629" t="s">
        <v>418</v>
      </c>
      <c r="G914" s="882" t="s">
        <v>596</v>
      </c>
    </row>
    <row r="915" spans="1:7" s="14" customFormat="1" ht="34.5" customHeight="1" outlineLevel="2" x14ac:dyDescent="0.25">
      <c r="A915" s="879"/>
      <c r="B915" s="881" t="s">
        <v>91</v>
      </c>
      <c r="C915" s="880" t="s">
        <v>52</v>
      </c>
      <c r="D915" s="610">
        <v>0</v>
      </c>
      <c r="E915" s="609">
        <f t="shared" si="14"/>
        <v>0</v>
      </c>
      <c r="F915" s="629" t="s">
        <v>418</v>
      </c>
      <c r="G915" s="882" t="s">
        <v>596</v>
      </c>
    </row>
    <row r="916" spans="1:7" s="14" customFormat="1" ht="34.5" customHeight="1" outlineLevel="2" x14ac:dyDescent="0.25">
      <c r="A916" s="879"/>
      <c r="B916" s="881" t="s">
        <v>92</v>
      </c>
      <c r="C916" s="880" t="s">
        <v>52</v>
      </c>
      <c r="D916" s="610">
        <v>0</v>
      </c>
      <c r="E916" s="609">
        <f t="shared" si="14"/>
        <v>0</v>
      </c>
      <c r="F916" s="629" t="s">
        <v>418</v>
      </c>
      <c r="G916" s="882" t="s">
        <v>596</v>
      </c>
    </row>
    <row r="917" spans="1:7" s="14" customFormat="1" ht="34.5" customHeight="1" outlineLevel="2" x14ac:dyDescent="0.25">
      <c r="A917" s="879"/>
      <c r="B917" s="881" t="s">
        <v>93</v>
      </c>
      <c r="C917" s="880" t="s">
        <v>52</v>
      </c>
      <c r="D917" s="610">
        <v>288</v>
      </c>
      <c r="E917" s="609">
        <f t="shared" si="14"/>
        <v>288</v>
      </c>
      <c r="F917" s="629" t="s">
        <v>418</v>
      </c>
      <c r="G917" s="882" t="s">
        <v>596</v>
      </c>
    </row>
    <row r="918" spans="1:7" s="14" customFormat="1" ht="34.5" customHeight="1" outlineLevel="2" x14ac:dyDescent="0.25">
      <c r="A918" s="879"/>
      <c r="B918" s="881" t="s">
        <v>94</v>
      </c>
      <c r="C918" s="880" t="s">
        <v>52</v>
      </c>
      <c r="D918" s="610">
        <v>1152</v>
      </c>
      <c r="E918" s="609">
        <f t="shared" si="14"/>
        <v>1152</v>
      </c>
      <c r="F918" s="629" t="s">
        <v>418</v>
      </c>
      <c r="G918" s="882" t="s">
        <v>596</v>
      </c>
    </row>
    <row r="919" spans="1:7" s="14" customFormat="1" ht="34.5" customHeight="1" outlineLevel="2" x14ac:dyDescent="0.25">
      <c r="A919" s="879"/>
      <c r="B919" s="881" t="s">
        <v>95</v>
      </c>
      <c r="C919" s="880" t="s">
        <v>57</v>
      </c>
      <c r="D919" s="610">
        <v>7.0860000000000003</v>
      </c>
      <c r="E919" s="609">
        <f t="shared" si="14"/>
        <v>7.0860000000000003</v>
      </c>
      <c r="F919" s="607" t="s">
        <v>639</v>
      </c>
      <c r="G919" s="607"/>
    </row>
    <row r="920" spans="1:7" s="14" customFormat="1" ht="34.5" customHeight="1" outlineLevel="2" x14ac:dyDescent="0.25">
      <c r="A920" s="879"/>
      <c r="B920" s="881" t="s">
        <v>96</v>
      </c>
      <c r="C920" s="880" t="s">
        <v>57</v>
      </c>
      <c r="D920" s="610">
        <v>2.3199999999999998</v>
      </c>
      <c r="E920" s="609">
        <f t="shared" si="14"/>
        <v>2.3199999999999998</v>
      </c>
      <c r="F920" s="607" t="s">
        <v>640</v>
      </c>
      <c r="G920" s="607"/>
    </row>
    <row r="921" spans="1:7" s="14" customFormat="1" ht="34.5" customHeight="1" outlineLevel="2" x14ac:dyDescent="0.25">
      <c r="A921" s="879"/>
      <c r="B921" s="881" t="s">
        <v>97</v>
      </c>
      <c r="C921" s="880" t="s">
        <v>60</v>
      </c>
      <c r="D921" s="610">
        <v>8</v>
      </c>
      <c r="E921" s="609">
        <f t="shared" si="14"/>
        <v>8</v>
      </c>
      <c r="F921" s="629" t="s">
        <v>418</v>
      </c>
      <c r="G921" s="882" t="s">
        <v>596</v>
      </c>
    </row>
    <row r="922" spans="1:7" s="14" customFormat="1" ht="34.5" customHeight="1" outlineLevel="2" x14ac:dyDescent="0.25">
      <c r="A922" s="879"/>
      <c r="B922" s="881" t="s">
        <v>98</v>
      </c>
      <c r="C922" s="880" t="s">
        <v>60</v>
      </c>
      <c r="D922" s="610">
        <v>24</v>
      </c>
      <c r="E922" s="609">
        <f t="shared" si="14"/>
        <v>24</v>
      </c>
      <c r="F922" s="629" t="s">
        <v>418</v>
      </c>
      <c r="G922" s="882" t="s">
        <v>596</v>
      </c>
    </row>
    <row r="923" spans="1:7" s="133" customFormat="1" ht="34.5" customHeight="1" outlineLevel="2" x14ac:dyDescent="0.25">
      <c r="A923" s="968"/>
      <c r="B923" s="974" t="s">
        <v>99</v>
      </c>
      <c r="C923" s="968"/>
      <c r="D923" s="975"/>
      <c r="E923" s="911">
        <f t="shared" si="14"/>
        <v>0</v>
      </c>
      <c r="F923" s="912"/>
      <c r="G923" s="912"/>
    </row>
    <row r="924" spans="1:7" s="14" customFormat="1" ht="34.5" customHeight="1" outlineLevel="2" x14ac:dyDescent="0.25">
      <c r="A924" s="879"/>
      <c r="B924" s="881" t="s">
        <v>83</v>
      </c>
      <c r="C924" s="880" t="s">
        <v>139</v>
      </c>
      <c r="D924" s="610">
        <v>1.1379999999999999</v>
      </c>
      <c r="E924" s="609">
        <f t="shared" si="14"/>
        <v>1.1379999999999999</v>
      </c>
      <c r="F924" s="629" t="s">
        <v>418</v>
      </c>
      <c r="G924" s="877" t="s">
        <v>610</v>
      </c>
    </row>
    <row r="925" spans="1:7" s="14" customFormat="1" ht="34.5" customHeight="1" outlineLevel="2" x14ac:dyDescent="0.25">
      <c r="A925" s="879"/>
      <c r="B925" s="881" t="s">
        <v>84</v>
      </c>
      <c r="C925" s="880" t="s">
        <v>139</v>
      </c>
      <c r="D925" s="610"/>
      <c r="E925" s="609">
        <f t="shared" si="14"/>
        <v>0</v>
      </c>
      <c r="F925" s="629" t="s">
        <v>418</v>
      </c>
      <c r="G925" s="877" t="s">
        <v>610</v>
      </c>
    </row>
    <row r="926" spans="1:7" s="14" customFormat="1" ht="34.5" customHeight="1" outlineLevel="2" x14ac:dyDescent="0.25">
      <c r="A926" s="879"/>
      <c r="B926" s="881" t="s">
        <v>85</v>
      </c>
      <c r="C926" s="880" t="s">
        <v>139</v>
      </c>
      <c r="D926" s="610">
        <v>1.423</v>
      </c>
      <c r="E926" s="609">
        <f t="shared" si="14"/>
        <v>1.423</v>
      </c>
      <c r="F926" s="629" t="s">
        <v>418</v>
      </c>
      <c r="G926" s="877" t="s">
        <v>610</v>
      </c>
    </row>
    <row r="927" spans="1:7" s="14" customFormat="1" ht="34.5" customHeight="1" outlineLevel="2" x14ac:dyDescent="0.25">
      <c r="A927" s="879"/>
      <c r="B927" s="881" t="s">
        <v>86</v>
      </c>
      <c r="C927" s="880" t="s">
        <v>139</v>
      </c>
      <c r="D927" s="610">
        <v>0</v>
      </c>
      <c r="E927" s="609">
        <f t="shared" si="14"/>
        <v>0</v>
      </c>
      <c r="F927" s="629" t="s">
        <v>418</v>
      </c>
      <c r="G927" s="877" t="s">
        <v>610</v>
      </c>
    </row>
    <row r="928" spans="1:7" s="14" customFormat="1" ht="34.5" customHeight="1" outlineLevel="2" x14ac:dyDescent="0.25">
      <c r="A928" s="879"/>
      <c r="B928" s="881" t="s">
        <v>87</v>
      </c>
      <c r="C928" s="880" t="s">
        <v>139</v>
      </c>
      <c r="D928" s="610">
        <v>2.218</v>
      </c>
      <c r="E928" s="609">
        <f t="shared" si="14"/>
        <v>2.218</v>
      </c>
      <c r="F928" s="629" t="s">
        <v>418</v>
      </c>
      <c r="G928" s="877" t="s">
        <v>610</v>
      </c>
    </row>
    <row r="929" spans="1:7" s="14" customFormat="1" ht="34.5" customHeight="1" outlineLevel="2" x14ac:dyDescent="0.25">
      <c r="A929" s="879"/>
      <c r="B929" s="881" t="s">
        <v>100</v>
      </c>
      <c r="C929" s="880" t="s">
        <v>10</v>
      </c>
      <c r="D929" s="610">
        <v>83.32</v>
      </c>
      <c r="E929" s="609">
        <f t="shared" si="14"/>
        <v>83.32</v>
      </c>
      <c r="F929" s="629" t="s">
        <v>418</v>
      </c>
      <c r="G929" s="877" t="s">
        <v>610</v>
      </c>
    </row>
    <row r="930" spans="1:7" s="14" customFormat="1" ht="34.5" customHeight="1" outlineLevel="2" x14ac:dyDescent="0.25">
      <c r="A930" s="879"/>
      <c r="B930" s="881" t="s">
        <v>101</v>
      </c>
      <c r="C930" s="880" t="s">
        <v>10</v>
      </c>
      <c r="D930" s="610">
        <v>4.01</v>
      </c>
      <c r="E930" s="609">
        <f t="shared" si="14"/>
        <v>4.01</v>
      </c>
      <c r="F930" s="629" t="s">
        <v>418</v>
      </c>
      <c r="G930" s="877" t="s">
        <v>610</v>
      </c>
    </row>
    <row r="931" spans="1:7" s="14" customFormat="1" ht="34.5" customHeight="1" outlineLevel="2" x14ac:dyDescent="0.25">
      <c r="A931" s="879"/>
      <c r="B931" s="881" t="s">
        <v>102</v>
      </c>
      <c r="C931" s="880" t="s">
        <v>66</v>
      </c>
      <c r="D931" s="610">
        <v>0.52</v>
      </c>
      <c r="E931" s="609">
        <f t="shared" si="14"/>
        <v>0.52</v>
      </c>
      <c r="F931" s="629" t="s">
        <v>418</v>
      </c>
      <c r="G931" s="877" t="s">
        <v>610</v>
      </c>
    </row>
    <row r="932" spans="1:7" s="14" customFormat="1" ht="34.5" customHeight="1" outlineLevel="2" x14ac:dyDescent="0.25">
      <c r="A932" s="879"/>
      <c r="B932" s="881" t="s">
        <v>103</v>
      </c>
      <c r="C932" s="880" t="s">
        <v>68</v>
      </c>
      <c r="D932" s="610">
        <v>84.95</v>
      </c>
      <c r="E932" s="609">
        <f t="shared" si="14"/>
        <v>84.95</v>
      </c>
      <c r="F932" s="629" t="s">
        <v>418</v>
      </c>
      <c r="G932" s="877" t="s">
        <v>610</v>
      </c>
    </row>
    <row r="933" spans="1:7" s="133" customFormat="1" ht="34.5" customHeight="1" outlineLevel="2" x14ac:dyDescent="0.25">
      <c r="A933" s="968"/>
      <c r="B933" s="974" t="s">
        <v>104</v>
      </c>
      <c r="C933" s="968"/>
      <c r="D933" s="975"/>
      <c r="E933" s="911">
        <f t="shared" si="14"/>
        <v>0</v>
      </c>
      <c r="F933" s="912"/>
      <c r="G933" s="912"/>
    </row>
    <row r="934" spans="1:7" s="14" customFormat="1" ht="34.5" customHeight="1" outlineLevel="2" x14ac:dyDescent="0.25">
      <c r="A934" s="879"/>
      <c r="B934" s="881" t="s">
        <v>105</v>
      </c>
      <c r="C934" s="880" t="s">
        <v>139</v>
      </c>
      <c r="D934" s="610">
        <v>0.32500000000000001</v>
      </c>
      <c r="E934" s="609">
        <f t="shared" si="14"/>
        <v>0.32500000000000001</v>
      </c>
      <c r="F934" s="629" t="s">
        <v>418</v>
      </c>
      <c r="G934" s="877" t="s">
        <v>610</v>
      </c>
    </row>
    <row r="935" spans="1:7" s="14" customFormat="1" ht="34.5" customHeight="1" outlineLevel="2" x14ac:dyDescent="0.25">
      <c r="A935" s="879"/>
      <c r="B935" s="881" t="s">
        <v>83</v>
      </c>
      <c r="C935" s="880" t="s">
        <v>139</v>
      </c>
      <c r="D935" s="610">
        <v>2.274</v>
      </c>
      <c r="E935" s="609">
        <f t="shared" si="14"/>
        <v>2.274</v>
      </c>
      <c r="F935" s="629" t="s">
        <v>418</v>
      </c>
      <c r="G935" s="877" t="s">
        <v>610</v>
      </c>
    </row>
    <row r="936" spans="1:7" s="14" customFormat="1" ht="34.5" customHeight="1" outlineLevel="2" x14ac:dyDescent="0.25">
      <c r="A936" s="879"/>
      <c r="B936" s="881" t="s">
        <v>86</v>
      </c>
      <c r="C936" s="880" t="s">
        <v>139</v>
      </c>
      <c r="D936" s="610"/>
      <c r="E936" s="609">
        <f t="shared" si="14"/>
        <v>0</v>
      </c>
      <c r="F936" s="629" t="s">
        <v>418</v>
      </c>
      <c r="G936" s="877" t="s">
        <v>610</v>
      </c>
    </row>
    <row r="937" spans="1:7" s="14" customFormat="1" ht="34.5" customHeight="1" outlineLevel="2" x14ac:dyDescent="0.25">
      <c r="A937" s="879"/>
      <c r="B937" s="881" t="s">
        <v>87</v>
      </c>
      <c r="C937" s="880" t="s">
        <v>139</v>
      </c>
      <c r="D937" s="610">
        <v>3.625</v>
      </c>
      <c r="E937" s="609">
        <f t="shared" si="14"/>
        <v>3.625</v>
      </c>
      <c r="F937" s="629" t="s">
        <v>418</v>
      </c>
      <c r="G937" s="877" t="s">
        <v>610</v>
      </c>
    </row>
    <row r="938" spans="1:7" s="14" customFormat="1" ht="34.5" customHeight="1" outlineLevel="2" x14ac:dyDescent="0.25">
      <c r="A938" s="879"/>
      <c r="B938" s="881" t="s">
        <v>629</v>
      </c>
      <c r="C938" s="880" t="s">
        <v>10</v>
      </c>
      <c r="D938" s="610">
        <v>67.88</v>
      </c>
      <c r="E938" s="609">
        <f t="shared" si="14"/>
        <v>67.88</v>
      </c>
      <c r="F938" s="629" t="s">
        <v>418</v>
      </c>
      <c r="G938" s="877" t="s">
        <v>610</v>
      </c>
    </row>
    <row r="939" spans="1:7" s="14" customFormat="1" ht="34.5" customHeight="1" outlineLevel="2" x14ac:dyDescent="0.25">
      <c r="A939" s="879"/>
      <c r="B939" s="881" t="s">
        <v>102</v>
      </c>
      <c r="C939" s="880" t="s">
        <v>66</v>
      </c>
      <c r="D939" s="610">
        <v>1.0369999999999999</v>
      </c>
      <c r="E939" s="609">
        <f t="shared" si="14"/>
        <v>1.0369999999999999</v>
      </c>
      <c r="F939" s="629" t="s">
        <v>418</v>
      </c>
      <c r="G939" s="877" t="s">
        <v>610</v>
      </c>
    </row>
    <row r="940" spans="1:7" s="133" customFormat="1" ht="34.5" customHeight="1" outlineLevel="2" x14ac:dyDescent="0.25">
      <c r="A940" s="968"/>
      <c r="B940" s="974" t="s">
        <v>107</v>
      </c>
      <c r="C940" s="968"/>
      <c r="D940" s="975"/>
      <c r="E940" s="911">
        <f t="shared" si="14"/>
        <v>0</v>
      </c>
      <c r="F940" s="912"/>
      <c r="G940" s="912"/>
    </row>
    <row r="941" spans="1:7" s="14" customFormat="1" ht="34.5" customHeight="1" outlineLevel="2" x14ac:dyDescent="0.25">
      <c r="A941" s="879"/>
      <c r="B941" s="881" t="s">
        <v>108</v>
      </c>
      <c r="C941" s="880" t="s">
        <v>139</v>
      </c>
      <c r="D941" s="610">
        <v>1.91E-3</v>
      </c>
      <c r="E941" s="609">
        <f t="shared" si="14"/>
        <v>1.91E-3</v>
      </c>
      <c r="F941" s="629" t="s">
        <v>418</v>
      </c>
      <c r="G941" s="877" t="s">
        <v>610</v>
      </c>
    </row>
    <row r="942" spans="1:7" s="14" customFormat="1" ht="34.5" customHeight="1" outlineLevel="2" x14ac:dyDescent="0.25">
      <c r="A942" s="879"/>
      <c r="B942" s="881" t="s">
        <v>81</v>
      </c>
      <c r="C942" s="880" t="s">
        <v>139</v>
      </c>
      <c r="D942" s="610">
        <v>0.2409</v>
      </c>
      <c r="E942" s="609">
        <f t="shared" si="14"/>
        <v>0.2409</v>
      </c>
      <c r="F942" s="629" t="s">
        <v>418</v>
      </c>
      <c r="G942" s="877" t="s">
        <v>610</v>
      </c>
    </row>
    <row r="943" spans="1:7" s="14" customFormat="1" ht="34.5" customHeight="1" outlineLevel="2" x14ac:dyDescent="0.25">
      <c r="A943" s="879"/>
      <c r="B943" s="881" t="s">
        <v>83</v>
      </c>
      <c r="C943" s="880" t="s">
        <v>139</v>
      </c>
      <c r="D943" s="610">
        <v>1.3248</v>
      </c>
      <c r="E943" s="609">
        <f t="shared" si="14"/>
        <v>1.3248</v>
      </c>
      <c r="F943" s="629" t="s">
        <v>418</v>
      </c>
      <c r="G943" s="877" t="s">
        <v>610</v>
      </c>
    </row>
    <row r="944" spans="1:7" s="14" customFormat="1" ht="34.5" customHeight="1" outlineLevel="2" x14ac:dyDescent="0.25">
      <c r="A944" s="879"/>
      <c r="B944" s="881" t="s">
        <v>87</v>
      </c>
      <c r="C944" s="880" t="s">
        <v>139</v>
      </c>
      <c r="D944" s="610">
        <v>0.94350000000000001</v>
      </c>
      <c r="E944" s="609">
        <f t="shared" si="14"/>
        <v>0.94350000000000001</v>
      </c>
      <c r="F944" s="629" t="s">
        <v>418</v>
      </c>
      <c r="G944" s="877" t="s">
        <v>610</v>
      </c>
    </row>
    <row r="945" spans="1:10" s="14" customFormat="1" ht="34.5" customHeight="1" outlineLevel="2" x14ac:dyDescent="0.25">
      <c r="A945" s="879"/>
      <c r="B945" s="881" t="s">
        <v>109</v>
      </c>
      <c r="C945" s="880" t="s">
        <v>139</v>
      </c>
      <c r="D945" s="610">
        <v>1.829</v>
      </c>
      <c r="E945" s="609">
        <f t="shared" si="14"/>
        <v>1.829</v>
      </c>
      <c r="F945" s="629" t="s">
        <v>418</v>
      </c>
      <c r="G945" s="877" t="s">
        <v>610</v>
      </c>
    </row>
    <row r="946" spans="1:10" s="14" customFormat="1" ht="34.5" customHeight="1" outlineLevel="2" x14ac:dyDescent="0.25">
      <c r="A946" s="879"/>
      <c r="B946" s="881" t="s">
        <v>106</v>
      </c>
      <c r="C946" s="880" t="s">
        <v>10</v>
      </c>
      <c r="D946" s="610">
        <v>31.07</v>
      </c>
      <c r="E946" s="609">
        <f t="shared" si="14"/>
        <v>31.07</v>
      </c>
      <c r="F946" s="629" t="s">
        <v>418</v>
      </c>
      <c r="G946" s="877" t="s">
        <v>610</v>
      </c>
    </row>
    <row r="947" spans="1:10" s="14" customFormat="1" ht="34.5" customHeight="1" outlineLevel="2" x14ac:dyDescent="0.25">
      <c r="A947" s="879"/>
      <c r="B947" s="881" t="s">
        <v>110</v>
      </c>
      <c r="C947" s="880" t="s">
        <v>10</v>
      </c>
      <c r="D947" s="610">
        <v>0.25</v>
      </c>
      <c r="E947" s="609">
        <f t="shared" si="14"/>
        <v>0.25</v>
      </c>
      <c r="F947" s="629" t="s">
        <v>418</v>
      </c>
      <c r="G947" s="877" t="s">
        <v>610</v>
      </c>
    </row>
    <row r="948" spans="1:10" s="14" customFormat="1" ht="34.5" customHeight="1" outlineLevel="2" x14ac:dyDescent="0.25">
      <c r="A948" s="879"/>
      <c r="B948" s="881" t="s">
        <v>102</v>
      </c>
      <c r="C948" s="880" t="s">
        <v>66</v>
      </c>
      <c r="D948" s="610">
        <v>0.57410000000000005</v>
      </c>
      <c r="E948" s="609">
        <f t="shared" si="14"/>
        <v>0.57410000000000005</v>
      </c>
      <c r="F948" s="629" t="s">
        <v>418</v>
      </c>
      <c r="G948" s="877" t="s">
        <v>610</v>
      </c>
    </row>
    <row r="949" spans="1:10" s="14" customFormat="1" ht="34.5" customHeight="1" outlineLevel="1" x14ac:dyDescent="0.25">
      <c r="A949" s="907">
        <v>12</v>
      </c>
      <c r="B949" s="908" t="s">
        <v>158</v>
      </c>
      <c r="C949" s="959" t="s">
        <v>134</v>
      </c>
      <c r="D949" s="910"/>
      <c r="E949" s="911">
        <f t="shared" si="14"/>
        <v>0</v>
      </c>
      <c r="F949" s="912"/>
      <c r="G949" s="912"/>
    </row>
    <row r="950" spans="1:10" s="14" customFormat="1" ht="34.5" customHeight="1" outlineLevel="2" x14ac:dyDescent="0.25">
      <c r="A950" s="907"/>
      <c r="B950" s="908" t="s">
        <v>80</v>
      </c>
      <c r="C950" s="907" t="s">
        <v>76</v>
      </c>
      <c r="D950" s="910" t="s">
        <v>115</v>
      </c>
      <c r="E950" s="911" t="str">
        <f t="shared" si="14"/>
        <v>5/315,75</v>
      </c>
      <c r="F950" s="912"/>
      <c r="G950" s="962"/>
    </row>
    <row r="951" spans="1:10" s="14" customFormat="1" ht="34.5" customHeight="1" outlineLevel="2" x14ac:dyDescent="0.25">
      <c r="A951" s="57"/>
      <c r="B951" s="61" t="s">
        <v>81</v>
      </c>
      <c r="C951" s="63" t="s">
        <v>77</v>
      </c>
      <c r="D951" s="49">
        <v>3.7243499999999998</v>
      </c>
      <c r="E951" s="609">
        <f t="shared" si="14"/>
        <v>3.7243499999999998</v>
      </c>
      <c r="F951" s="607" t="s">
        <v>418</v>
      </c>
      <c r="G951" s="877" t="s">
        <v>508</v>
      </c>
    </row>
    <row r="952" spans="1:10" s="14" customFormat="1" ht="34.5" customHeight="1" outlineLevel="2" x14ac:dyDescent="0.25">
      <c r="A952" s="57"/>
      <c r="B952" s="61" t="s">
        <v>82</v>
      </c>
      <c r="C952" s="63" t="s">
        <v>77</v>
      </c>
      <c r="D952" s="49">
        <v>0.22664999999999999</v>
      </c>
      <c r="E952" s="609">
        <f t="shared" si="14"/>
        <v>0.22664999999999999</v>
      </c>
      <c r="F952" s="607" t="s">
        <v>418</v>
      </c>
      <c r="G952" s="877" t="s">
        <v>508</v>
      </c>
    </row>
    <row r="953" spans="1:10" s="14" customFormat="1" ht="34.5" customHeight="1" outlineLevel="2" x14ac:dyDescent="0.25">
      <c r="A953" s="57"/>
      <c r="B953" s="61" t="s">
        <v>83</v>
      </c>
      <c r="C953" s="63" t="s">
        <v>77</v>
      </c>
      <c r="D953" s="49">
        <v>1.7299999999999999E-2</v>
      </c>
      <c r="E953" s="609">
        <f t="shared" si="14"/>
        <v>1.7299999999999999E-2</v>
      </c>
      <c r="F953" s="607" t="s">
        <v>418</v>
      </c>
      <c r="G953" s="877" t="s">
        <v>508</v>
      </c>
    </row>
    <row r="954" spans="1:10" s="14" customFormat="1" ht="34.5" customHeight="1" outlineLevel="2" x14ac:dyDescent="0.25">
      <c r="A954" s="57"/>
      <c r="B954" s="61" t="s">
        <v>84</v>
      </c>
      <c r="C954" s="63" t="s">
        <v>77</v>
      </c>
      <c r="D954" s="49">
        <v>5.8200000000000002E-2</v>
      </c>
      <c r="E954" s="609">
        <f t="shared" si="14"/>
        <v>5.8200000000000002E-2</v>
      </c>
      <c r="F954" s="607" t="s">
        <v>418</v>
      </c>
      <c r="G954" s="877" t="s">
        <v>508</v>
      </c>
    </row>
    <row r="955" spans="1:10" s="14" customFormat="1" ht="34.5" customHeight="1" outlineLevel="2" x14ac:dyDescent="0.25">
      <c r="A955" s="57"/>
      <c r="B955" s="61" t="s">
        <v>85</v>
      </c>
      <c r="C955" s="63" t="s">
        <v>77</v>
      </c>
      <c r="D955" s="49">
        <v>9.8404500000000006</v>
      </c>
      <c r="E955" s="609">
        <f t="shared" si="14"/>
        <v>9.8404500000000006</v>
      </c>
      <c r="F955" s="607" t="s">
        <v>418</v>
      </c>
      <c r="G955" s="877" t="s">
        <v>508</v>
      </c>
    </row>
    <row r="956" spans="1:10" s="14" customFormat="1" ht="34.5" customHeight="1" outlineLevel="2" x14ac:dyDescent="0.25">
      <c r="A956" s="57"/>
      <c r="B956" s="61" t="s">
        <v>86</v>
      </c>
      <c r="C956" s="63" t="s">
        <v>77</v>
      </c>
      <c r="D956" s="49">
        <v>4.1840000000000002</v>
      </c>
      <c r="E956" s="609">
        <f t="shared" si="14"/>
        <v>4.1840000000000002</v>
      </c>
      <c r="F956" s="607" t="s">
        <v>418</v>
      </c>
      <c r="G956" s="877" t="s">
        <v>508</v>
      </c>
    </row>
    <row r="957" spans="1:10" s="14" customFormat="1" ht="34.5" customHeight="1" outlineLevel="2" x14ac:dyDescent="0.25">
      <c r="A957" s="57"/>
      <c r="B957" s="61" t="s">
        <v>87</v>
      </c>
      <c r="C957" s="63" t="s">
        <v>77</v>
      </c>
      <c r="D957" s="49">
        <v>7.1609999999999996</v>
      </c>
      <c r="E957" s="609">
        <f t="shared" si="14"/>
        <v>7.1609999999999996</v>
      </c>
      <c r="F957" s="607" t="s">
        <v>418</v>
      </c>
      <c r="G957" s="877" t="s">
        <v>508</v>
      </c>
    </row>
    <row r="958" spans="1:10" s="14" customFormat="1" ht="34.5" customHeight="1" outlineLevel="2" x14ac:dyDescent="0.25">
      <c r="A958" s="57"/>
      <c r="B958" s="61" t="s">
        <v>143</v>
      </c>
      <c r="C958" s="63" t="s">
        <v>77</v>
      </c>
      <c r="D958" s="49">
        <v>6.4569999999999999</v>
      </c>
      <c r="E958" s="609">
        <f t="shared" si="14"/>
        <v>6.4569999999999999</v>
      </c>
      <c r="F958" s="607" t="s">
        <v>418</v>
      </c>
      <c r="G958" s="877" t="s">
        <v>508</v>
      </c>
    </row>
    <row r="959" spans="1:10" s="14" customFormat="1" ht="34.5" customHeight="1" outlineLevel="2" x14ac:dyDescent="0.25">
      <c r="A959" s="57"/>
      <c r="B959" s="61" t="s">
        <v>88</v>
      </c>
      <c r="C959" s="63" t="s">
        <v>10</v>
      </c>
      <c r="D959" s="49">
        <v>351.5</v>
      </c>
      <c r="E959" s="609">
        <f t="shared" si="14"/>
        <v>351.5</v>
      </c>
      <c r="F959" s="607" t="s">
        <v>509</v>
      </c>
      <c r="G959" s="607"/>
      <c r="J959" s="14" t="e">
        <f>diengiai</f>
        <v>#VALUE!</v>
      </c>
    </row>
    <row r="960" spans="1:10" s="14" customFormat="1" ht="34.5" customHeight="1" outlineLevel="2" x14ac:dyDescent="0.25">
      <c r="A960" s="57"/>
      <c r="B960" s="61" t="s">
        <v>89</v>
      </c>
      <c r="C960" s="63" t="s">
        <v>10</v>
      </c>
      <c r="D960" s="49">
        <v>4.6500000000000004</v>
      </c>
      <c r="E960" s="609">
        <f t="shared" si="14"/>
        <v>4.6500000000000004</v>
      </c>
      <c r="F960" s="607" t="s">
        <v>510</v>
      </c>
      <c r="G960" s="607"/>
      <c r="J960" s="14" t="e">
        <f>diengiai</f>
        <v>#VALUE!</v>
      </c>
    </row>
    <row r="961" spans="1:10" s="14" customFormat="1" ht="34.5" customHeight="1" outlineLevel="2" x14ac:dyDescent="0.25">
      <c r="A961" s="57"/>
      <c r="B961" s="61" t="s">
        <v>90</v>
      </c>
      <c r="C961" s="63" t="s">
        <v>77</v>
      </c>
      <c r="D961" s="49">
        <v>2.0186000000000002</v>
      </c>
      <c r="E961" s="609">
        <f t="shared" si="14"/>
        <v>2.0186000000000002</v>
      </c>
      <c r="F961" s="607" t="s">
        <v>418</v>
      </c>
      <c r="G961" s="877" t="s">
        <v>508</v>
      </c>
    </row>
    <row r="962" spans="1:10" s="14" customFormat="1" ht="34.5" customHeight="1" outlineLevel="2" x14ac:dyDescent="0.25">
      <c r="A962" s="57"/>
      <c r="B962" s="61" t="s">
        <v>91</v>
      </c>
      <c r="C962" s="63" t="s">
        <v>78</v>
      </c>
      <c r="D962" s="49">
        <v>0</v>
      </c>
      <c r="E962" s="609">
        <f t="shared" si="14"/>
        <v>0</v>
      </c>
      <c r="F962" s="607" t="s">
        <v>418</v>
      </c>
      <c r="G962" s="877" t="s">
        <v>508</v>
      </c>
    </row>
    <row r="963" spans="1:10" s="14" customFormat="1" ht="34.5" customHeight="1" outlineLevel="2" x14ac:dyDescent="0.25">
      <c r="A963" s="57"/>
      <c r="B963" s="61" t="s">
        <v>92</v>
      </c>
      <c r="C963" s="63" t="s">
        <v>78</v>
      </c>
      <c r="D963" s="49">
        <v>360</v>
      </c>
      <c r="E963" s="609">
        <f t="shared" si="14"/>
        <v>360</v>
      </c>
      <c r="F963" s="607" t="s">
        <v>418</v>
      </c>
      <c r="G963" s="877" t="s">
        <v>508</v>
      </c>
    </row>
    <row r="964" spans="1:10" s="14" customFormat="1" ht="34.5" customHeight="1" outlineLevel="2" x14ac:dyDescent="0.25">
      <c r="A964" s="57"/>
      <c r="B964" s="61" t="s">
        <v>93</v>
      </c>
      <c r="C964" s="63" t="s">
        <v>78</v>
      </c>
      <c r="D964" s="49">
        <v>360</v>
      </c>
      <c r="E964" s="609">
        <f t="shared" si="14"/>
        <v>360</v>
      </c>
      <c r="F964" s="607" t="s">
        <v>418</v>
      </c>
      <c r="G964" s="877" t="s">
        <v>508</v>
      </c>
    </row>
    <row r="965" spans="1:10" s="14" customFormat="1" ht="34.5" customHeight="1" outlineLevel="2" x14ac:dyDescent="0.25">
      <c r="A965" s="57"/>
      <c r="B965" s="61" t="s">
        <v>94</v>
      </c>
      <c r="C965" s="63" t="s">
        <v>78</v>
      </c>
      <c r="D965" s="49">
        <v>1080</v>
      </c>
      <c r="E965" s="609">
        <f t="shared" si="14"/>
        <v>1080</v>
      </c>
      <c r="F965" s="607" t="s">
        <v>418</v>
      </c>
      <c r="G965" s="877" t="s">
        <v>508</v>
      </c>
    </row>
    <row r="966" spans="1:10" s="14" customFormat="1" ht="34.5" customHeight="1" outlineLevel="2" x14ac:dyDescent="0.25">
      <c r="A966" s="57"/>
      <c r="B966" s="61" t="s">
        <v>95</v>
      </c>
      <c r="C966" s="63" t="s">
        <v>57</v>
      </c>
      <c r="D966" s="49">
        <v>9.4580000000000002</v>
      </c>
      <c r="E966" s="609">
        <f t="shared" si="14"/>
        <v>9.4580000000000002</v>
      </c>
      <c r="F966" s="607" t="s">
        <v>512</v>
      </c>
      <c r="G966" s="607"/>
      <c r="J966" s="14" t="e">
        <f>diengiai</f>
        <v>#VALUE!</v>
      </c>
    </row>
    <row r="967" spans="1:10" s="14" customFormat="1" ht="34.5" customHeight="1" outlineLevel="2" x14ac:dyDescent="0.25">
      <c r="A967" s="57"/>
      <c r="B967" s="61" t="s">
        <v>96</v>
      </c>
      <c r="C967" s="63" t="s">
        <v>57</v>
      </c>
      <c r="D967" s="49">
        <v>3.11</v>
      </c>
      <c r="E967" s="609">
        <f t="shared" si="14"/>
        <v>3.11</v>
      </c>
      <c r="F967" s="607" t="s">
        <v>513</v>
      </c>
      <c r="G967" s="607"/>
      <c r="J967" s="14" t="e">
        <f>diengiai</f>
        <v>#VALUE!</v>
      </c>
    </row>
    <row r="968" spans="1:10" s="14" customFormat="1" ht="34.5" customHeight="1" outlineLevel="2" x14ac:dyDescent="0.25">
      <c r="A968" s="57"/>
      <c r="B968" s="61" t="s">
        <v>97</v>
      </c>
      <c r="C968" s="63" t="s">
        <v>79</v>
      </c>
      <c r="D968" s="49">
        <v>10</v>
      </c>
      <c r="E968" s="609">
        <f t="shared" si="14"/>
        <v>10</v>
      </c>
      <c r="F968" s="607" t="s">
        <v>418</v>
      </c>
      <c r="G968" s="877" t="s">
        <v>508</v>
      </c>
    </row>
    <row r="969" spans="1:10" s="14" customFormat="1" ht="34.5" customHeight="1" outlineLevel="2" x14ac:dyDescent="0.25">
      <c r="A969" s="57"/>
      <c r="B969" s="61" t="s">
        <v>98</v>
      </c>
      <c r="C969" s="63" t="s">
        <v>79</v>
      </c>
      <c r="D969" s="49">
        <v>30</v>
      </c>
      <c r="E969" s="609">
        <f t="shared" si="14"/>
        <v>30</v>
      </c>
      <c r="F969" s="607" t="s">
        <v>418</v>
      </c>
      <c r="G969" s="877" t="s">
        <v>508</v>
      </c>
    </row>
    <row r="970" spans="1:10" s="14" customFormat="1" ht="34.5" customHeight="1" outlineLevel="2" x14ac:dyDescent="0.25">
      <c r="A970" s="907"/>
      <c r="B970" s="908" t="s">
        <v>159</v>
      </c>
      <c r="C970" s="964"/>
      <c r="D970" s="910"/>
      <c r="E970" s="911">
        <f t="shared" si="14"/>
        <v>0</v>
      </c>
      <c r="F970" s="912"/>
      <c r="G970" s="912"/>
    </row>
    <row r="971" spans="1:10" s="14" customFormat="1" ht="34.5" customHeight="1" outlineLevel="2" x14ac:dyDescent="0.25">
      <c r="A971" s="57"/>
      <c r="B971" s="61" t="s">
        <v>105</v>
      </c>
      <c r="C971" s="63" t="s">
        <v>77</v>
      </c>
      <c r="D971" s="49">
        <v>1.244</v>
      </c>
      <c r="E971" s="609">
        <f t="shared" si="14"/>
        <v>1.244</v>
      </c>
      <c r="F971" s="607" t="s">
        <v>418</v>
      </c>
      <c r="G971" s="877" t="s">
        <v>539</v>
      </c>
    </row>
    <row r="972" spans="1:10" s="14" customFormat="1" ht="34.5" customHeight="1" outlineLevel="2" x14ac:dyDescent="0.25">
      <c r="A972" s="57"/>
      <c r="B972" s="61" t="s">
        <v>84</v>
      </c>
      <c r="C972" s="63" t="s">
        <v>77</v>
      </c>
      <c r="D972" s="49">
        <v>0.98599999999999999</v>
      </c>
      <c r="E972" s="609">
        <f t="shared" si="14"/>
        <v>0.98599999999999999</v>
      </c>
      <c r="F972" s="607" t="s">
        <v>418</v>
      </c>
      <c r="G972" s="877" t="s">
        <v>539</v>
      </c>
    </row>
    <row r="973" spans="1:10" s="14" customFormat="1" ht="34.5" customHeight="1" outlineLevel="2" x14ac:dyDescent="0.25">
      <c r="A973" s="57"/>
      <c r="B973" s="61" t="s">
        <v>85</v>
      </c>
      <c r="C973" s="63" t="s">
        <v>77</v>
      </c>
      <c r="D973" s="49">
        <v>2.4260000000000002</v>
      </c>
      <c r="E973" s="609">
        <f t="shared" si="14"/>
        <v>2.4260000000000002</v>
      </c>
      <c r="F973" s="607" t="s">
        <v>418</v>
      </c>
      <c r="G973" s="877" t="s">
        <v>539</v>
      </c>
    </row>
    <row r="974" spans="1:10" s="14" customFormat="1" ht="34.5" customHeight="1" outlineLevel="2" x14ac:dyDescent="0.25">
      <c r="A974" s="57"/>
      <c r="B974" s="61" t="s">
        <v>86</v>
      </c>
      <c r="C974" s="63" t="s">
        <v>77</v>
      </c>
      <c r="D974" s="49">
        <v>1.5001</v>
      </c>
      <c r="E974" s="609">
        <f t="shared" si="14"/>
        <v>1.5001</v>
      </c>
      <c r="F974" s="607" t="s">
        <v>418</v>
      </c>
      <c r="G974" s="877" t="s">
        <v>539</v>
      </c>
    </row>
    <row r="975" spans="1:10" s="14" customFormat="1" ht="34.5" customHeight="1" outlineLevel="2" x14ac:dyDescent="0.25">
      <c r="A975" s="57"/>
      <c r="B975" s="61" t="s">
        <v>106</v>
      </c>
      <c r="C975" s="63" t="s">
        <v>10</v>
      </c>
      <c r="D975" s="49">
        <v>139.55000000000001</v>
      </c>
      <c r="E975" s="609">
        <f t="shared" si="14"/>
        <v>139.55000000000001</v>
      </c>
      <c r="F975" s="607" t="s">
        <v>535</v>
      </c>
      <c r="G975" s="877" t="s">
        <v>539</v>
      </c>
      <c r="J975" s="14" t="e">
        <f>diengiai</f>
        <v>#VALUE!</v>
      </c>
    </row>
    <row r="976" spans="1:10" s="14" customFormat="1" ht="34.5" customHeight="1" outlineLevel="2" x14ac:dyDescent="0.25">
      <c r="A976" s="57"/>
      <c r="B976" s="61" t="s">
        <v>101</v>
      </c>
      <c r="C976" s="63" t="s">
        <v>10</v>
      </c>
      <c r="D976" s="49">
        <v>6.81</v>
      </c>
      <c r="E976" s="609">
        <f t="shared" ref="E976:E1039" si="15">D976</f>
        <v>6.81</v>
      </c>
      <c r="F976" s="607" t="s">
        <v>536</v>
      </c>
      <c r="G976" s="877" t="s">
        <v>539</v>
      </c>
      <c r="J976" s="14" t="e">
        <f>diengiai</f>
        <v>#VALUE!</v>
      </c>
    </row>
    <row r="977" spans="1:16" s="14" customFormat="1" ht="34.5" customHeight="1" outlineLevel="2" x14ac:dyDescent="0.25">
      <c r="A977" s="57"/>
      <c r="B977" s="61" t="s">
        <v>102</v>
      </c>
      <c r="C977" s="63" t="s">
        <v>66</v>
      </c>
      <c r="D977" s="49">
        <v>0.70899999999999996</v>
      </c>
      <c r="E977" s="609">
        <f t="shared" si="15"/>
        <v>0.70899999999999996</v>
      </c>
      <c r="F977" s="607" t="s">
        <v>537</v>
      </c>
      <c r="G977" s="877" t="s">
        <v>539</v>
      </c>
      <c r="J977" s="14" t="e">
        <f>diengiai</f>
        <v>#VALUE!</v>
      </c>
    </row>
    <row r="978" spans="1:16" s="14" customFormat="1" ht="34.5" customHeight="1" outlineLevel="2" x14ac:dyDescent="0.25">
      <c r="A978" s="57"/>
      <c r="B978" s="61" t="s">
        <v>103</v>
      </c>
      <c r="C978" s="63" t="s">
        <v>68</v>
      </c>
      <c r="D978" s="49">
        <v>122.02</v>
      </c>
      <c r="E978" s="609">
        <f t="shared" si="15"/>
        <v>122.02</v>
      </c>
      <c r="F978" s="607" t="s">
        <v>538</v>
      </c>
      <c r="G978" s="877" t="s">
        <v>539</v>
      </c>
      <c r="J978" s="14" t="e">
        <f>diengiai</f>
        <v>#VALUE!</v>
      </c>
    </row>
    <row r="979" spans="1:16" s="14" customFormat="1" ht="34.5" customHeight="1" outlineLevel="2" x14ac:dyDescent="0.25">
      <c r="A979" s="907"/>
      <c r="B979" s="908" t="s">
        <v>160</v>
      </c>
      <c r="C979" s="964"/>
      <c r="D979" s="910"/>
      <c r="E979" s="911"/>
      <c r="F979" s="912"/>
      <c r="G979" s="912"/>
    </row>
    <row r="980" spans="1:16" s="14" customFormat="1" ht="34.5" customHeight="1" outlineLevel="2" x14ac:dyDescent="0.25">
      <c r="A980" s="57"/>
      <c r="B980" s="61" t="s">
        <v>81</v>
      </c>
      <c r="C980" s="63" t="s">
        <v>77</v>
      </c>
      <c r="D980" s="49">
        <v>0</v>
      </c>
      <c r="E980" s="609">
        <f t="shared" si="15"/>
        <v>0</v>
      </c>
      <c r="F980" s="607" t="s">
        <v>418</v>
      </c>
      <c r="G980" s="877" t="s">
        <v>539</v>
      </c>
    </row>
    <row r="981" spans="1:16" s="14" customFormat="1" ht="34.5" customHeight="1" outlineLevel="2" x14ac:dyDescent="0.25">
      <c r="A981" s="57"/>
      <c r="B981" s="61" t="s">
        <v>82</v>
      </c>
      <c r="C981" s="63" t="s">
        <v>77</v>
      </c>
      <c r="D981" s="49">
        <v>1.01</v>
      </c>
      <c r="E981" s="609">
        <f t="shared" si="15"/>
        <v>1.01</v>
      </c>
      <c r="F981" s="607" t="s">
        <v>418</v>
      </c>
      <c r="G981" s="877" t="s">
        <v>539</v>
      </c>
    </row>
    <row r="982" spans="1:16" s="14" customFormat="1" ht="34.5" customHeight="1" outlineLevel="2" x14ac:dyDescent="0.25">
      <c r="A982" s="57"/>
      <c r="B982" s="61" t="s">
        <v>105</v>
      </c>
      <c r="C982" s="63" t="s">
        <v>77</v>
      </c>
      <c r="D982" s="49">
        <v>0.26700000000000002</v>
      </c>
      <c r="E982" s="609">
        <f t="shared" si="15"/>
        <v>0.26700000000000002</v>
      </c>
      <c r="F982" s="607" t="s">
        <v>418</v>
      </c>
      <c r="G982" s="877" t="s">
        <v>539</v>
      </c>
    </row>
    <row r="983" spans="1:16" s="14" customFormat="1" ht="34.5" customHeight="1" outlineLevel="2" x14ac:dyDescent="0.25">
      <c r="A983" s="57"/>
      <c r="B983" s="61" t="s">
        <v>83</v>
      </c>
      <c r="C983" s="63" t="s">
        <v>77</v>
      </c>
      <c r="D983" s="49">
        <v>1.421</v>
      </c>
      <c r="E983" s="609">
        <f t="shared" si="15"/>
        <v>1.421</v>
      </c>
      <c r="F983" s="607" t="s">
        <v>418</v>
      </c>
      <c r="G983" s="877" t="s">
        <v>539</v>
      </c>
    </row>
    <row r="984" spans="1:16" s="14" customFormat="1" ht="34.5" customHeight="1" outlineLevel="2" x14ac:dyDescent="0.25">
      <c r="A984" s="57"/>
      <c r="B984" s="61" t="s">
        <v>86</v>
      </c>
      <c r="C984" s="63" t="s">
        <v>77</v>
      </c>
      <c r="D984" s="49">
        <v>1.2</v>
      </c>
      <c r="E984" s="609">
        <f t="shared" si="15"/>
        <v>1.2</v>
      </c>
      <c r="F984" s="607" t="s">
        <v>418</v>
      </c>
      <c r="G984" s="877" t="s">
        <v>539</v>
      </c>
    </row>
    <row r="985" spans="1:16" s="14" customFormat="1" ht="34.5" customHeight="1" outlineLevel="2" x14ac:dyDescent="0.25">
      <c r="A985" s="57"/>
      <c r="B985" s="61" t="s">
        <v>106</v>
      </c>
      <c r="C985" s="63" t="s">
        <v>10</v>
      </c>
      <c r="D985" s="49">
        <v>62.75</v>
      </c>
      <c r="E985" s="609">
        <f t="shared" si="15"/>
        <v>62.75</v>
      </c>
      <c r="F985" s="607" t="s">
        <v>541</v>
      </c>
      <c r="G985" s="607"/>
      <c r="J985" s="14" t="e">
        <f>diengiai</f>
        <v>#VALUE!</v>
      </c>
      <c r="M985" s="126"/>
      <c r="N985" s="126">
        <v>5364830.7419999996</v>
      </c>
    </row>
    <row r="986" spans="1:16" s="14" customFormat="1" ht="60" customHeight="1" outlineLevel="2" x14ac:dyDescent="0.25">
      <c r="A986" s="57"/>
      <c r="B986" s="61" t="s">
        <v>102</v>
      </c>
      <c r="C986" s="63" t="s">
        <v>66</v>
      </c>
      <c r="D986" s="49">
        <v>1.2216</v>
      </c>
      <c r="E986" s="609">
        <f t="shared" si="15"/>
        <v>1.2216</v>
      </c>
      <c r="F986" s="607" t="s">
        <v>543</v>
      </c>
      <c r="G986" s="607"/>
      <c r="J986" s="14" t="e">
        <f>diengiai</f>
        <v>#VALUE!</v>
      </c>
      <c r="N986" s="14">
        <f>N985*11.7*10^-6</f>
        <v>62.768519681399994</v>
      </c>
    </row>
    <row r="987" spans="1:16" s="14" customFormat="1" ht="34.5" customHeight="1" outlineLevel="2" x14ac:dyDescent="0.25">
      <c r="A987" s="57"/>
      <c r="B987" s="61" t="s">
        <v>103</v>
      </c>
      <c r="C987" s="63" t="s">
        <v>68</v>
      </c>
      <c r="D987" s="49">
        <v>55.18</v>
      </c>
      <c r="E987" s="609">
        <f t="shared" si="15"/>
        <v>55.18</v>
      </c>
      <c r="F987" s="607" t="s">
        <v>544</v>
      </c>
      <c r="G987" s="607"/>
      <c r="J987" s="14" t="e">
        <f>diengiai</f>
        <v>#VALUE!</v>
      </c>
      <c r="L987" s="127">
        <v>5456.8649999999998</v>
      </c>
      <c r="M987" s="14">
        <f>L987*10700*10^-6</f>
        <v>58.388455499999999</v>
      </c>
    </row>
    <row r="988" spans="1:16" s="14" customFormat="1" ht="34.5" customHeight="1" outlineLevel="2" x14ac:dyDescent="0.25">
      <c r="A988" s="907"/>
      <c r="B988" s="908" t="s">
        <v>161</v>
      </c>
      <c r="C988" s="964"/>
      <c r="D988" s="910"/>
      <c r="E988" s="911"/>
      <c r="F988" s="912"/>
      <c r="G988" s="912"/>
      <c r="M988" s="14" t="s">
        <v>542</v>
      </c>
      <c r="N988" s="126">
        <v>59430155074</v>
      </c>
      <c r="P988" s="14">
        <f>(N988*2+2*N990)*10^-6+N989*2*10^-6+(270+424)*10700*10^-6</f>
        <v>118872.25197224999</v>
      </c>
    </row>
    <row r="989" spans="1:16" s="14" customFormat="1" ht="34.5" customHeight="1" outlineLevel="2" x14ac:dyDescent="0.25">
      <c r="A989" s="57"/>
      <c r="B989" s="61" t="s">
        <v>82</v>
      </c>
      <c r="C989" s="63" t="s">
        <v>77</v>
      </c>
      <c r="D989" s="49">
        <v>0.19400000000000001</v>
      </c>
      <c r="E989" s="609">
        <f t="shared" si="15"/>
        <v>0.19400000000000001</v>
      </c>
      <c r="F989" s="607" t="s">
        <v>418</v>
      </c>
      <c r="G989" s="877" t="s">
        <v>539</v>
      </c>
      <c r="N989" s="126">
        <f>5293*424</f>
        <v>2244232</v>
      </c>
    </row>
    <row r="990" spans="1:16" s="14" customFormat="1" ht="34.5" customHeight="1" outlineLevel="2" x14ac:dyDescent="0.25">
      <c r="A990" s="57"/>
      <c r="B990" s="61" t="s">
        <v>105</v>
      </c>
      <c r="C990" s="63" t="s">
        <v>77</v>
      </c>
      <c r="D990" s="49">
        <v>0.42499999999999999</v>
      </c>
      <c r="E990" s="609">
        <f t="shared" si="15"/>
        <v>0.42499999999999999</v>
      </c>
      <c r="F990" s="607" t="s">
        <v>418</v>
      </c>
      <c r="G990" s="877" t="s">
        <v>539</v>
      </c>
      <c r="N990" s="128">
        <v>13780.125</v>
      </c>
    </row>
    <row r="991" spans="1:16" s="14" customFormat="1" ht="34.5" customHeight="1" outlineLevel="2" x14ac:dyDescent="0.25">
      <c r="A991" s="57"/>
      <c r="B991" s="61" t="s">
        <v>83</v>
      </c>
      <c r="C991" s="63" t="s">
        <v>77</v>
      </c>
      <c r="D991" s="49">
        <v>0.89200000000000002</v>
      </c>
      <c r="E991" s="609">
        <f t="shared" si="15"/>
        <v>0.89200000000000002</v>
      </c>
      <c r="F991" s="607" t="s">
        <v>418</v>
      </c>
      <c r="G991" s="877" t="s">
        <v>539</v>
      </c>
    </row>
    <row r="992" spans="1:16" s="14" customFormat="1" ht="34.5" customHeight="1" outlineLevel="2" x14ac:dyDescent="0.25">
      <c r="A992" s="57"/>
      <c r="B992" s="61" t="s">
        <v>85</v>
      </c>
      <c r="C992" s="63" t="s">
        <v>77</v>
      </c>
      <c r="D992" s="49">
        <v>1.3340000000000001</v>
      </c>
      <c r="E992" s="609">
        <f t="shared" si="15"/>
        <v>1.3340000000000001</v>
      </c>
      <c r="F992" s="607" t="s">
        <v>418</v>
      </c>
      <c r="G992" s="877" t="s">
        <v>539</v>
      </c>
      <c r="K992" s="14">
        <f>L992*M992*10^-6*2</f>
        <v>3.3912499999999999</v>
      </c>
      <c r="L992" s="126">
        <v>339125</v>
      </c>
      <c r="M992" s="14">
        <v>5</v>
      </c>
      <c r="N992" s="126">
        <v>12377.728999999999</v>
      </c>
    </row>
    <row r="993" spans="1:14" s="14" customFormat="1" ht="34.5" customHeight="1" outlineLevel="2" x14ac:dyDescent="0.25">
      <c r="A993" s="57"/>
      <c r="B993" s="61" t="s">
        <v>106</v>
      </c>
      <c r="C993" s="63" t="s">
        <v>10</v>
      </c>
      <c r="D993" s="49">
        <v>20.81</v>
      </c>
      <c r="E993" s="609">
        <f t="shared" si="15"/>
        <v>20.81</v>
      </c>
      <c r="F993" s="607" t="s">
        <v>418</v>
      </c>
      <c r="G993" s="877" t="s">
        <v>539</v>
      </c>
      <c r="J993" s="14" t="e">
        <f>diengiai</f>
        <v>#VALUE!</v>
      </c>
      <c r="K993" s="14">
        <f>L993*M993*10^-6</f>
        <v>8.7130618179999999</v>
      </c>
      <c r="L993" s="126">
        <v>17426123.636</v>
      </c>
      <c r="M993" s="14">
        <v>0.5</v>
      </c>
      <c r="N993" s="14">
        <f>N992*11700*10^-6-(424+270)*1000*10^-6-300*10700*10^-6-1000*11700*10^-6</f>
        <v>129.21542929999998</v>
      </c>
    </row>
    <row r="994" spans="1:14" s="14" customFormat="1" ht="34.5" customHeight="1" outlineLevel="2" x14ac:dyDescent="0.25">
      <c r="A994" s="57"/>
      <c r="B994" s="61" t="s">
        <v>102</v>
      </c>
      <c r="C994" s="63" t="s">
        <v>66</v>
      </c>
      <c r="D994" s="49">
        <v>0.97209999999999996</v>
      </c>
      <c r="E994" s="609">
        <f t="shared" si="15"/>
        <v>0.97209999999999996</v>
      </c>
      <c r="F994" s="607" t="s">
        <v>418</v>
      </c>
      <c r="G994" s="877" t="s">
        <v>539</v>
      </c>
      <c r="K994" s="14">
        <f>L994*M994*10^-6</f>
        <v>9.0022687415</v>
      </c>
      <c r="L994" s="126">
        <v>18004537.482999999</v>
      </c>
      <c r="M994" s="14">
        <v>0.5</v>
      </c>
    </row>
    <row r="995" spans="1:14" s="14" customFormat="1" ht="34.5" customHeight="1" outlineLevel="2" x14ac:dyDescent="0.25">
      <c r="A995" s="57"/>
      <c r="B995" s="61" t="s">
        <v>103</v>
      </c>
      <c r="C995" s="63" t="s">
        <v>68</v>
      </c>
      <c r="D995" s="49">
        <v>58.69</v>
      </c>
      <c r="E995" s="609">
        <f t="shared" si="15"/>
        <v>58.69</v>
      </c>
      <c r="F995" s="607" t="s">
        <v>418</v>
      </c>
      <c r="G995" s="877" t="s">
        <v>539</v>
      </c>
      <c r="L995" s="14">
        <f>(L993+L994)*0.5*10^-6</f>
        <v>17.7153305595</v>
      </c>
    </row>
    <row r="996" spans="1:14" s="14" customFormat="1" ht="34.5" customHeight="1" outlineLevel="2" x14ac:dyDescent="0.25">
      <c r="A996" s="907"/>
      <c r="B996" s="908" t="s">
        <v>162</v>
      </c>
      <c r="C996" s="964"/>
      <c r="D996" s="910"/>
      <c r="E996" s="911">
        <f t="shared" si="15"/>
        <v>0</v>
      </c>
      <c r="F996" s="912"/>
      <c r="G996" s="962"/>
    </row>
    <row r="997" spans="1:14" s="14" customFormat="1" ht="34.5" customHeight="1" outlineLevel="2" x14ac:dyDescent="0.25">
      <c r="A997" s="57"/>
      <c r="B997" s="61" t="s">
        <v>110</v>
      </c>
      <c r="C997" s="63" t="s">
        <v>10</v>
      </c>
      <c r="D997" s="49">
        <v>0.09</v>
      </c>
      <c r="E997" s="609">
        <f t="shared" si="15"/>
        <v>0.09</v>
      </c>
      <c r="F997" s="607" t="s">
        <v>586</v>
      </c>
      <c r="G997" s="877"/>
    </row>
    <row r="998" spans="1:14" s="14" customFormat="1" ht="34.5" customHeight="1" outlineLevel="2" x14ac:dyDescent="0.25">
      <c r="A998" s="57"/>
      <c r="B998" s="61" t="s">
        <v>163</v>
      </c>
      <c r="C998" s="63" t="s">
        <v>77</v>
      </c>
      <c r="D998" s="49">
        <v>1.6E-2</v>
      </c>
      <c r="E998" s="609">
        <f t="shared" si="15"/>
        <v>1.6E-2</v>
      </c>
      <c r="F998" s="607" t="s">
        <v>418</v>
      </c>
      <c r="G998" s="877" t="s">
        <v>539</v>
      </c>
    </row>
    <row r="999" spans="1:14" s="14" customFormat="1" ht="34.5" customHeight="1" outlineLevel="2" x14ac:dyDescent="0.25">
      <c r="A999" s="57"/>
      <c r="B999" s="61" t="s">
        <v>81</v>
      </c>
      <c r="C999" s="63" t="s">
        <v>77</v>
      </c>
      <c r="D999" s="49">
        <v>0.158</v>
      </c>
      <c r="E999" s="609">
        <f t="shared" si="15"/>
        <v>0.158</v>
      </c>
      <c r="F999" s="607" t="s">
        <v>418</v>
      </c>
      <c r="G999" s="877" t="s">
        <v>539</v>
      </c>
    </row>
    <row r="1000" spans="1:14" s="14" customFormat="1" ht="34.5" customHeight="1" outlineLevel="2" x14ac:dyDescent="0.25">
      <c r="A1000" s="57"/>
      <c r="B1000" s="61" t="s">
        <v>164</v>
      </c>
      <c r="C1000" s="63" t="s">
        <v>10</v>
      </c>
      <c r="D1000" s="49"/>
      <c r="E1000" s="609">
        <f t="shared" si="15"/>
        <v>0</v>
      </c>
      <c r="F1000" s="607"/>
      <c r="G1000" s="607"/>
    </row>
    <row r="1001" spans="1:14" s="14" customFormat="1" ht="34.5" customHeight="1" outlineLevel="2" x14ac:dyDescent="0.25">
      <c r="A1001" s="907"/>
      <c r="B1001" s="950" t="s">
        <v>153</v>
      </c>
      <c r="C1001" s="946"/>
      <c r="D1001" s="910"/>
      <c r="E1001" s="911">
        <f t="shared" si="15"/>
        <v>0</v>
      </c>
      <c r="F1001" s="912"/>
      <c r="G1001" s="912"/>
    </row>
    <row r="1002" spans="1:14" s="14" customFormat="1" ht="34.5" customHeight="1" outlineLevel="2" x14ac:dyDescent="0.25">
      <c r="A1002" s="57"/>
      <c r="B1002" s="67" t="s">
        <v>85</v>
      </c>
      <c r="C1002" s="66" t="s">
        <v>77</v>
      </c>
      <c r="D1002" s="49">
        <v>5.7000000000000002E-2</v>
      </c>
      <c r="E1002" s="609">
        <f t="shared" si="15"/>
        <v>5.7000000000000002E-2</v>
      </c>
      <c r="F1002" s="607" t="s">
        <v>418</v>
      </c>
      <c r="G1002" s="1052" t="s">
        <v>1468</v>
      </c>
    </row>
    <row r="1003" spans="1:14" s="14" customFormat="1" ht="34.5" customHeight="1" outlineLevel="2" x14ac:dyDescent="0.25">
      <c r="A1003" s="57"/>
      <c r="B1003" s="67" t="s">
        <v>150</v>
      </c>
      <c r="C1003" s="66" t="s">
        <v>57</v>
      </c>
      <c r="D1003" s="49">
        <v>4.2000000000000003E-2</v>
      </c>
      <c r="E1003" s="609">
        <f t="shared" si="15"/>
        <v>4.2000000000000003E-2</v>
      </c>
      <c r="F1003" s="607" t="s">
        <v>418</v>
      </c>
      <c r="G1003" s="1052" t="s">
        <v>1468</v>
      </c>
    </row>
    <row r="1004" spans="1:14" s="14" customFormat="1" ht="34.5" customHeight="1" outlineLevel="2" x14ac:dyDescent="0.25">
      <c r="A1004" s="57"/>
      <c r="B1004" s="67" t="s">
        <v>151</v>
      </c>
      <c r="C1004" s="66" t="s">
        <v>57</v>
      </c>
      <c r="D1004" s="49">
        <v>1.4E-2</v>
      </c>
      <c r="E1004" s="609">
        <f t="shared" si="15"/>
        <v>1.4E-2</v>
      </c>
      <c r="F1004" s="607" t="s">
        <v>418</v>
      </c>
      <c r="G1004" s="1052" t="s">
        <v>1468</v>
      </c>
    </row>
    <row r="1005" spans="1:14" s="14" customFormat="1" ht="34.5" customHeight="1" outlineLevel="2" x14ac:dyDescent="0.25">
      <c r="A1005" s="57"/>
      <c r="B1005" s="68" t="s">
        <v>165</v>
      </c>
      <c r="C1005" s="66" t="s">
        <v>78</v>
      </c>
      <c r="D1005" s="49">
        <v>18</v>
      </c>
      <c r="E1005" s="609">
        <f t="shared" si="15"/>
        <v>18</v>
      </c>
      <c r="F1005" s="607" t="s">
        <v>418</v>
      </c>
      <c r="G1005" s="1052" t="s">
        <v>1468</v>
      </c>
    </row>
    <row r="1006" spans="1:14" s="14" customFormat="1" ht="34.5" customHeight="1" outlineLevel="1" x14ac:dyDescent="0.25">
      <c r="A1006" s="907">
        <v>14</v>
      </c>
      <c r="B1006" s="908" t="s">
        <v>166</v>
      </c>
      <c r="C1006" s="959" t="s">
        <v>134</v>
      </c>
      <c r="D1006" s="965">
        <v>1</v>
      </c>
      <c r="E1006" s="911">
        <f t="shared" si="15"/>
        <v>1</v>
      </c>
      <c r="F1006" s="912"/>
      <c r="G1006" s="912"/>
    </row>
    <row r="1007" spans="1:14" s="14" customFormat="1" ht="34.5" customHeight="1" outlineLevel="1" x14ac:dyDescent="0.25">
      <c r="A1007" s="57"/>
      <c r="B1007" s="61" t="s">
        <v>108</v>
      </c>
      <c r="C1007" s="62" t="s">
        <v>77</v>
      </c>
      <c r="D1007" s="49">
        <v>3.524E-2</v>
      </c>
      <c r="E1007" s="609">
        <f t="shared" si="15"/>
        <v>3.524E-2</v>
      </c>
      <c r="F1007" s="607" t="s">
        <v>418</v>
      </c>
      <c r="G1007" s="873" t="s">
        <v>1298</v>
      </c>
    </row>
    <row r="1008" spans="1:14" s="14" customFormat="1" ht="34.5" customHeight="1" outlineLevel="1" x14ac:dyDescent="0.25">
      <c r="A1008" s="57"/>
      <c r="B1008" s="61" t="s">
        <v>105</v>
      </c>
      <c r="C1008" s="62" t="s">
        <v>77</v>
      </c>
      <c r="D1008" s="49">
        <v>0.14742</v>
      </c>
      <c r="E1008" s="609">
        <f t="shared" si="15"/>
        <v>0.14742</v>
      </c>
      <c r="F1008" s="607" t="s">
        <v>418</v>
      </c>
      <c r="G1008" s="873" t="s">
        <v>1298</v>
      </c>
    </row>
    <row r="1009" spans="1:7" s="14" customFormat="1" ht="34.5" customHeight="1" outlineLevel="1" x14ac:dyDescent="0.25">
      <c r="A1009" s="57"/>
      <c r="B1009" s="61" t="s">
        <v>83</v>
      </c>
      <c r="C1009" s="62" t="s">
        <v>77</v>
      </c>
      <c r="D1009" s="49">
        <v>0.45121999999999995</v>
      </c>
      <c r="E1009" s="609">
        <f t="shared" si="15"/>
        <v>0.45121999999999995</v>
      </c>
      <c r="F1009" s="607" t="s">
        <v>418</v>
      </c>
      <c r="G1009" s="873" t="s">
        <v>1298</v>
      </c>
    </row>
    <row r="1010" spans="1:7" s="14" customFormat="1" ht="34.5" customHeight="1" outlineLevel="1" x14ac:dyDescent="0.25">
      <c r="A1010" s="57"/>
      <c r="B1010" s="61" t="s">
        <v>84</v>
      </c>
      <c r="C1010" s="62" t="s">
        <v>77</v>
      </c>
      <c r="D1010" s="49">
        <v>9.7379999999999994E-2</v>
      </c>
      <c r="E1010" s="609">
        <f t="shared" si="15"/>
        <v>9.7379999999999994E-2</v>
      </c>
      <c r="F1010" s="607" t="s">
        <v>418</v>
      </c>
      <c r="G1010" s="873" t="s">
        <v>1298</v>
      </c>
    </row>
    <row r="1011" spans="1:7" s="14" customFormat="1" ht="34.5" customHeight="1" outlineLevel="1" x14ac:dyDescent="0.25">
      <c r="A1011" s="57"/>
      <c r="B1011" s="61" t="s">
        <v>167</v>
      </c>
      <c r="C1011" s="63" t="s">
        <v>116</v>
      </c>
      <c r="D1011" s="49">
        <v>0.12362000000000001</v>
      </c>
      <c r="E1011" s="609">
        <f t="shared" si="15"/>
        <v>0.12362000000000001</v>
      </c>
      <c r="F1011" s="607" t="s">
        <v>418</v>
      </c>
      <c r="G1011" s="873" t="s">
        <v>1298</v>
      </c>
    </row>
    <row r="1012" spans="1:7" s="14" customFormat="1" ht="34.5" customHeight="1" outlineLevel="1" x14ac:dyDescent="0.25">
      <c r="A1012" s="57"/>
      <c r="B1012" s="61" t="s">
        <v>168</v>
      </c>
      <c r="C1012" s="63" t="s">
        <v>116</v>
      </c>
      <c r="D1012" s="49">
        <v>0.18940000000000001</v>
      </c>
      <c r="E1012" s="609">
        <f t="shared" si="15"/>
        <v>0.18940000000000001</v>
      </c>
      <c r="F1012" s="607" t="s">
        <v>418</v>
      </c>
      <c r="G1012" s="873" t="s">
        <v>1298</v>
      </c>
    </row>
    <row r="1013" spans="1:7" s="14" customFormat="1" ht="34.5" customHeight="1" outlineLevel="1" x14ac:dyDescent="0.25">
      <c r="A1013" s="57"/>
      <c r="B1013" s="61" t="s">
        <v>169</v>
      </c>
      <c r="C1013" s="63" t="s">
        <v>116</v>
      </c>
      <c r="D1013" s="49">
        <v>8.6679999999999993E-2</v>
      </c>
      <c r="E1013" s="609">
        <f t="shared" si="15"/>
        <v>8.6679999999999993E-2</v>
      </c>
      <c r="F1013" s="607" t="s">
        <v>418</v>
      </c>
      <c r="G1013" s="873" t="s">
        <v>1298</v>
      </c>
    </row>
    <row r="1014" spans="1:7" s="14" customFormat="1" ht="34.5" customHeight="1" outlineLevel="1" x14ac:dyDescent="0.25">
      <c r="A1014" s="57"/>
      <c r="B1014" s="61" t="s">
        <v>170</v>
      </c>
      <c r="C1014" s="62" t="s">
        <v>68</v>
      </c>
      <c r="D1014" s="49">
        <v>14.54</v>
      </c>
      <c r="E1014" s="609">
        <f t="shared" si="15"/>
        <v>14.54</v>
      </c>
      <c r="F1014" s="607" t="s">
        <v>418</v>
      </c>
      <c r="G1014" s="873" t="s">
        <v>1298</v>
      </c>
    </row>
    <row r="1015" spans="1:7" s="14" customFormat="1" ht="34.5" customHeight="1" outlineLevel="1" x14ac:dyDescent="0.25">
      <c r="A1015" s="57"/>
      <c r="B1015" s="61" t="s">
        <v>117</v>
      </c>
      <c r="C1015" s="62" t="s">
        <v>10</v>
      </c>
      <c r="D1015" s="49">
        <v>0.05</v>
      </c>
      <c r="E1015" s="609">
        <f t="shared" si="15"/>
        <v>0.05</v>
      </c>
      <c r="F1015" s="607" t="s">
        <v>418</v>
      </c>
      <c r="G1015" s="873" t="s">
        <v>1298</v>
      </c>
    </row>
    <row r="1016" spans="1:7" s="14" customFormat="1" ht="34.5" customHeight="1" outlineLevel="1" x14ac:dyDescent="0.25">
      <c r="A1016" s="57"/>
      <c r="B1016" s="61" t="s">
        <v>171</v>
      </c>
      <c r="C1016" s="63" t="s">
        <v>10</v>
      </c>
      <c r="D1016" s="49">
        <v>2.4799999999999995</v>
      </c>
      <c r="E1016" s="609">
        <f t="shared" si="15"/>
        <v>2.4799999999999995</v>
      </c>
      <c r="F1016" s="607" t="s">
        <v>418</v>
      </c>
      <c r="G1016" s="873" t="s">
        <v>1298</v>
      </c>
    </row>
    <row r="1017" spans="1:7" s="14" customFormat="1" ht="34.5" customHeight="1" outlineLevel="1" x14ac:dyDescent="0.25">
      <c r="A1017" s="57"/>
      <c r="B1017" s="61" t="s">
        <v>172</v>
      </c>
      <c r="C1017" s="62" t="s">
        <v>66</v>
      </c>
      <c r="D1017" s="49">
        <v>0.16600000000000001</v>
      </c>
      <c r="E1017" s="609">
        <f t="shared" si="15"/>
        <v>0.16600000000000001</v>
      </c>
      <c r="F1017" s="607" t="s">
        <v>418</v>
      </c>
      <c r="G1017" s="873" t="s">
        <v>1298</v>
      </c>
    </row>
    <row r="1018" spans="1:7" s="14" customFormat="1" ht="34.5" customHeight="1" x14ac:dyDescent="0.25">
      <c r="A1018" s="907" t="s">
        <v>118</v>
      </c>
      <c r="B1018" s="908" t="s">
        <v>173</v>
      </c>
      <c r="C1018" s="909"/>
      <c r="D1018" s="910"/>
      <c r="E1018" s="911">
        <f t="shared" si="15"/>
        <v>0</v>
      </c>
      <c r="F1018" s="912"/>
      <c r="G1018" s="912"/>
    </row>
    <row r="1019" spans="1:7" s="14" customFormat="1" ht="34.5" customHeight="1" outlineLevel="1" x14ac:dyDescent="0.25">
      <c r="A1019" s="907">
        <v>1</v>
      </c>
      <c r="B1019" s="908" t="s">
        <v>174</v>
      </c>
      <c r="C1019" s="959" t="s">
        <v>134</v>
      </c>
      <c r="D1019" s="965">
        <v>1</v>
      </c>
      <c r="E1019" s="911">
        <f t="shared" si="15"/>
        <v>1</v>
      </c>
      <c r="F1019" s="912"/>
      <c r="G1019" s="912"/>
    </row>
    <row r="1020" spans="1:7" s="14" customFormat="1" ht="34.5" customHeight="1" outlineLevel="2" x14ac:dyDescent="0.25">
      <c r="A1020" s="57"/>
      <c r="B1020" s="61" t="s">
        <v>175</v>
      </c>
      <c r="C1020" s="63" t="s">
        <v>116</v>
      </c>
      <c r="D1020" s="49">
        <v>0.84923999999999999</v>
      </c>
      <c r="E1020" s="609">
        <f t="shared" si="15"/>
        <v>0.84923999999999999</v>
      </c>
      <c r="F1020" s="607" t="s">
        <v>418</v>
      </c>
      <c r="G1020" s="873" t="s">
        <v>1382</v>
      </c>
    </row>
    <row r="1021" spans="1:7" s="14" customFormat="1" ht="34.5" customHeight="1" outlineLevel="2" x14ac:dyDescent="0.25">
      <c r="A1021" s="57"/>
      <c r="B1021" s="61" t="s">
        <v>90</v>
      </c>
      <c r="C1021" s="63" t="s">
        <v>116</v>
      </c>
      <c r="D1021" s="49">
        <v>0.37101000000000001</v>
      </c>
      <c r="E1021" s="609">
        <f t="shared" si="15"/>
        <v>0.37101000000000001</v>
      </c>
      <c r="F1021" s="607" t="s">
        <v>418</v>
      </c>
      <c r="G1021" s="873" t="s">
        <v>1382</v>
      </c>
    </row>
    <row r="1022" spans="1:7" s="14" customFormat="1" ht="34.5" customHeight="1" outlineLevel="2" x14ac:dyDescent="0.25">
      <c r="A1022" s="57"/>
      <c r="B1022" s="61" t="s">
        <v>176</v>
      </c>
      <c r="C1022" s="63" t="s">
        <v>116</v>
      </c>
      <c r="D1022" s="49">
        <v>1.9219999999999998E-2</v>
      </c>
      <c r="E1022" s="609">
        <f t="shared" si="15"/>
        <v>1.9219999999999998E-2</v>
      </c>
      <c r="F1022" s="607" t="s">
        <v>418</v>
      </c>
      <c r="G1022" s="873" t="s">
        <v>1382</v>
      </c>
    </row>
    <row r="1023" spans="1:7" s="14" customFormat="1" ht="34.5" customHeight="1" outlineLevel="2" x14ac:dyDescent="0.25">
      <c r="A1023" s="57"/>
      <c r="B1023" s="61" t="s">
        <v>177</v>
      </c>
      <c r="C1023" s="63" t="s">
        <v>116</v>
      </c>
      <c r="D1023" s="49">
        <v>7.4099999999999999E-2</v>
      </c>
      <c r="E1023" s="609">
        <f t="shared" si="15"/>
        <v>7.4099999999999999E-2</v>
      </c>
      <c r="F1023" s="607" t="s">
        <v>418</v>
      </c>
      <c r="G1023" s="873" t="s">
        <v>1382</v>
      </c>
    </row>
    <row r="1024" spans="1:7" s="14" customFormat="1" ht="34.5" customHeight="1" outlineLevel="2" x14ac:dyDescent="0.25">
      <c r="A1024" s="57"/>
      <c r="B1024" s="61" t="s">
        <v>119</v>
      </c>
      <c r="C1024" s="63" t="s">
        <v>78</v>
      </c>
      <c r="D1024" s="49">
        <v>12</v>
      </c>
      <c r="E1024" s="609">
        <f t="shared" si="15"/>
        <v>12</v>
      </c>
      <c r="F1024" s="607" t="s">
        <v>418</v>
      </c>
      <c r="G1024" s="873" t="s">
        <v>1382</v>
      </c>
    </row>
    <row r="1025" spans="1:7" s="14" customFormat="1" ht="34.5" customHeight="1" outlineLevel="1" x14ac:dyDescent="0.25">
      <c r="A1025" s="907">
        <v>2</v>
      </c>
      <c r="B1025" s="908" t="s">
        <v>178</v>
      </c>
      <c r="C1025" s="959" t="s">
        <v>134</v>
      </c>
      <c r="D1025" s="965">
        <v>1</v>
      </c>
      <c r="E1025" s="911">
        <f t="shared" si="15"/>
        <v>1</v>
      </c>
      <c r="F1025" s="912"/>
      <c r="G1025" s="912"/>
    </row>
    <row r="1026" spans="1:7" s="14" customFormat="1" ht="34.5" customHeight="1" outlineLevel="1" x14ac:dyDescent="0.25">
      <c r="A1026" s="57"/>
      <c r="B1026" s="61" t="s">
        <v>175</v>
      </c>
      <c r="C1026" s="63" t="s">
        <v>116</v>
      </c>
      <c r="D1026" s="49">
        <v>0.15540999999999999</v>
      </c>
      <c r="E1026" s="609">
        <f t="shared" si="15"/>
        <v>0.15540999999999999</v>
      </c>
      <c r="F1026" s="607" t="s">
        <v>418</v>
      </c>
      <c r="G1026" s="873" t="s">
        <v>1382</v>
      </c>
    </row>
    <row r="1027" spans="1:7" s="14" customFormat="1" ht="34.5" customHeight="1" outlineLevel="1" x14ac:dyDescent="0.25">
      <c r="A1027" s="57"/>
      <c r="B1027" s="61" t="s">
        <v>90</v>
      </c>
      <c r="C1027" s="63" t="s">
        <v>116</v>
      </c>
      <c r="D1027" s="49">
        <v>2.6460000000000001E-2</v>
      </c>
      <c r="E1027" s="609">
        <f t="shared" si="15"/>
        <v>2.6460000000000001E-2</v>
      </c>
      <c r="F1027" s="607" t="s">
        <v>418</v>
      </c>
      <c r="G1027" s="873" t="s">
        <v>1382</v>
      </c>
    </row>
    <row r="1028" spans="1:7" s="14" customFormat="1" ht="34.5" customHeight="1" outlineLevel="1" x14ac:dyDescent="0.25">
      <c r="A1028" s="57"/>
      <c r="B1028" s="61" t="s">
        <v>179</v>
      </c>
      <c r="C1028" s="63" t="s">
        <v>116</v>
      </c>
      <c r="D1028" s="49">
        <v>3.16E-3</v>
      </c>
      <c r="E1028" s="609">
        <f t="shared" si="15"/>
        <v>3.16E-3</v>
      </c>
      <c r="F1028" s="607" t="s">
        <v>418</v>
      </c>
      <c r="G1028" s="873" t="s">
        <v>1382</v>
      </c>
    </row>
    <row r="1029" spans="1:7" s="14" customFormat="1" ht="34.5" customHeight="1" outlineLevel="1" x14ac:dyDescent="0.25">
      <c r="A1029" s="57"/>
      <c r="B1029" s="76" t="s">
        <v>180</v>
      </c>
      <c r="C1029" s="63" t="s">
        <v>78</v>
      </c>
      <c r="D1029" s="49">
        <v>10</v>
      </c>
      <c r="E1029" s="609">
        <f t="shared" si="15"/>
        <v>10</v>
      </c>
      <c r="F1029" s="607" t="s">
        <v>418</v>
      </c>
      <c r="G1029" s="873" t="s">
        <v>1382</v>
      </c>
    </row>
    <row r="1030" spans="1:7" s="14" customFormat="1" ht="34.5" customHeight="1" outlineLevel="1" x14ac:dyDescent="0.25">
      <c r="A1030" s="57"/>
      <c r="B1030" s="76" t="s">
        <v>181</v>
      </c>
      <c r="C1030" s="63" t="s">
        <v>78</v>
      </c>
      <c r="D1030" s="49">
        <v>1</v>
      </c>
      <c r="E1030" s="609">
        <f t="shared" si="15"/>
        <v>1</v>
      </c>
      <c r="F1030" s="607" t="s">
        <v>418</v>
      </c>
      <c r="G1030" s="873" t="s">
        <v>1382</v>
      </c>
    </row>
    <row r="1031" spans="1:7" s="14" customFormat="1" ht="34.5" customHeight="1" outlineLevel="1" x14ac:dyDescent="0.25">
      <c r="A1031" s="57"/>
      <c r="B1031" s="76" t="s">
        <v>182</v>
      </c>
      <c r="C1031" s="63" t="s">
        <v>78</v>
      </c>
      <c r="D1031" s="49">
        <v>10</v>
      </c>
      <c r="E1031" s="609">
        <f t="shared" si="15"/>
        <v>10</v>
      </c>
      <c r="F1031" s="607" t="s">
        <v>418</v>
      </c>
      <c r="G1031" s="873" t="s">
        <v>1382</v>
      </c>
    </row>
    <row r="1032" spans="1:7" s="14" customFormat="1" ht="34.5" customHeight="1" outlineLevel="1" x14ac:dyDescent="0.25">
      <c r="A1032" s="57"/>
      <c r="B1032" s="61" t="s">
        <v>183</v>
      </c>
      <c r="C1032" s="62" t="s">
        <v>68</v>
      </c>
      <c r="D1032" s="49">
        <v>1</v>
      </c>
      <c r="E1032" s="609">
        <f t="shared" si="15"/>
        <v>1</v>
      </c>
      <c r="F1032" s="607"/>
      <c r="G1032" s="607"/>
    </row>
    <row r="1033" spans="1:7" s="14" customFormat="1" ht="34.5" customHeight="1" x14ac:dyDescent="0.25">
      <c r="A1033" s="907" t="s">
        <v>120</v>
      </c>
      <c r="B1033" s="908" t="s">
        <v>184</v>
      </c>
      <c r="C1033" s="909"/>
      <c r="D1033" s="910"/>
      <c r="E1033" s="911">
        <f t="shared" si="15"/>
        <v>0</v>
      </c>
      <c r="F1033" s="912"/>
      <c r="G1033" s="912"/>
    </row>
    <row r="1034" spans="1:7" s="14" customFormat="1" ht="34.5" customHeight="1" outlineLevel="1" x14ac:dyDescent="0.25">
      <c r="A1034" s="907">
        <v>1</v>
      </c>
      <c r="B1034" s="908" t="s">
        <v>185</v>
      </c>
      <c r="C1034" s="907" t="s">
        <v>135</v>
      </c>
      <c r="D1034" s="965">
        <v>1</v>
      </c>
      <c r="E1034" s="911">
        <f t="shared" si="15"/>
        <v>1</v>
      </c>
      <c r="F1034" s="912"/>
      <c r="G1034" s="912"/>
    </row>
    <row r="1035" spans="1:7" s="14" customFormat="1" ht="34.5" customHeight="1" outlineLevel="2" x14ac:dyDescent="0.25">
      <c r="A1035" s="57"/>
      <c r="B1035" s="61" t="s">
        <v>186</v>
      </c>
      <c r="C1035" s="63" t="s">
        <v>10</v>
      </c>
      <c r="D1035" s="49">
        <v>0</v>
      </c>
      <c r="E1035" s="609">
        <f t="shared" si="15"/>
        <v>0</v>
      </c>
      <c r="F1035" s="607" t="s">
        <v>418</v>
      </c>
      <c r="G1035" s="1052"/>
    </row>
    <row r="1036" spans="1:7" s="14" customFormat="1" ht="34.5" customHeight="1" outlineLevel="2" x14ac:dyDescent="0.25">
      <c r="A1036" s="57"/>
      <c r="B1036" s="61" t="s">
        <v>187</v>
      </c>
      <c r="C1036" s="63" t="s">
        <v>10</v>
      </c>
      <c r="D1036" s="49">
        <v>0</v>
      </c>
      <c r="E1036" s="609">
        <f t="shared" si="15"/>
        <v>0</v>
      </c>
      <c r="F1036" s="607" t="s">
        <v>418</v>
      </c>
      <c r="G1036" s="1052"/>
    </row>
    <row r="1037" spans="1:7" s="14" customFormat="1" ht="34.5" customHeight="1" outlineLevel="2" x14ac:dyDescent="0.25">
      <c r="A1037" s="57"/>
      <c r="B1037" s="61" t="s">
        <v>188</v>
      </c>
      <c r="C1037" s="62" t="s">
        <v>68</v>
      </c>
      <c r="D1037" s="49">
        <v>0</v>
      </c>
      <c r="E1037" s="609">
        <f t="shared" si="15"/>
        <v>0</v>
      </c>
      <c r="F1037" s="607" t="s">
        <v>418</v>
      </c>
      <c r="G1037" s="1052"/>
    </row>
    <row r="1038" spans="1:7" s="14" customFormat="1" ht="34.5" customHeight="1" outlineLevel="2" x14ac:dyDescent="0.25">
      <c r="A1038" s="57"/>
      <c r="B1038" s="61" t="s">
        <v>186</v>
      </c>
      <c r="C1038" s="63" t="s">
        <v>10</v>
      </c>
      <c r="D1038" s="49">
        <v>93</v>
      </c>
      <c r="E1038" s="609">
        <f t="shared" si="15"/>
        <v>93</v>
      </c>
      <c r="F1038" s="607" t="s">
        <v>418</v>
      </c>
      <c r="G1038" s="1052"/>
    </row>
    <row r="1039" spans="1:7" s="14" customFormat="1" ht="34.5" customHeight="1" outlineLevel="2" x14ac:dyDescent="0.25">
      <c r="A1039" s="57"/>
      <c r="B1039" s="61" t="s">
        <v>189</v>
      </c>
      <c r="C1039" s="63" t="s">
        <v>66</v>
      </c>
      <c r="D1039" s="49">
        <v>1.694</v>
      </c>
      <c r="E1039" s="609">
        <f t="shared" si="15"/>
        <v>1.694</v>
      </c>
      <c r="F1039" s="607" t="s">
        <v>418</v>
      </c>
      <c r="G1039" s="1052"/>
    </row>
    <row r="1040" spans="1:7" s="14" customFormat="1" ht="34.5" customHeight="1" outlineLevel="2" x14ac:dyDescent="0.25">
      <c r="A1040" s="57"/>
      <c r="B1040" s="61" t="s">
        <v>190</v>
      </c>
      <c r="C1040" s="62" t="s">
        <v>10</v>
      </c>
      <c r="D1040" s="49">
        <v>17.37</v>
      </c>
      <c r="E1040" s="609">
        <f t="shared" ref="E1040:E1103" si="16">D1040</f>
        <v>17.37</v>
      </c>
      <c r="F1040" s="607" t="s">
        <v>418</v>
      </c>
      <c r="G1040" s="1052"/>
    </row>
    <row r="1041" spans="1:7" s="14" customFormat="1" ht="34.5" customHeight="1" outlineLevel="2" x14ac:dyDescent="0.25">
      <c r="A1041" s="57"/>
      <c r="B1041" s="61" t="s">
        <v>191</v>
      </c>
      <c r="C1041" s="62" t="s">
        <v>137</v>
      </c>
      <c r="D1041" s="49">
        <v>4342</v>
      </c>
      <c r="E1041" s="609">
        <f t="shared" si="16"/>
        <v>4342</v>
      </c>
      <c r="F1041" s="607" t="s">
        <v>418</v>
      </c>
      <c r="G1041" s="1052"/>
    </row>
    <row r="1042" spans="1:7" s="14" customFormat="1" ht="34.5" customHeight="1" outlineLevel="2" x14ac:dyDescent="0.25">
      <c r="A1042" s="57"/>
      <c r="B1042" s="67" t="s">
        <v>192</v>
      </c>
      <c r="C1042" s="62" t="s">
        <v>77</v>
      </c>
      <c r="D1042" s="49">
        <v>6.6296799999999996</v>
      </c>
      <c r="E1042" s="609">
        <f t="shared" si="16"/>
        <v>6.6296799999999996</v>
      </c>
      <c r="F1042" s="607" t="s">
        <v>418</v>
      </c>
      <c r="G1042" s="1052"/>
    </row>
    <row r="1043" spans="1:7" s="14" customFormat="1" ht="34.5" customHeight="1" outlineLevel="2" x14ac:dyDescent="0.25">
      <c r="A1043" s="57"/>
      <c r="B1043" s="67" t="s">
        <v>193</v>
      </c>
      <c r="C1043" s="62" t="s">
        <v>77</v>
      </c>
      <c r="D1043" s="49">
        <v>3.1722199999999998</v>
      </c>
      <c r="E1043" s="609">
        <f t="shared" si="16"/>
        <v>3.1722199999999998</v>
      </c>
      <c r="F1043" s="607" t="s">
        <v>418</v>
      </c>
      <c r="G1043" s="1052"/>
    </row>
    <row r="1044" spans="1:7" s="14" customFormat="1" ht="34.5" customHeight="1" outlineLevel="2" x14ac:dyDescent="0.25">
      <c r="A1044" s="57"/>
      <c r="B1044" s="61" t="s">
        <v>194</v>
      </c>
      <c r="C1044" s="62" t="s">
        <v>77</v>
      </c>
      <c r="D1044" s="49">
        <v>0.98</v>
      </c>
      <c r="E1044" s="609">
        <f t="shared" si="16"/>
        <v>0.98</v>
      </c>
      <c r="F1044" s="607" t="s">
        <v>418</v>
      </c>
      <c r="G1044" s="1052"/>
    </row>
    <row r="1045" spans="1:7" s="14" customFormat="1" ht="34.5" customHeight="1" outlineLevel="2" x14ac:dyDescent="0.25">
      <c r="A1045" s="57"/>
      <c r="B1045" s="61" t="s">
        <v>195</v>
      </c>
      <c r="C1045" s="62" t="s">
        <v>77</v>
      </c>
      <c r="D1045" s="49">
        <v>-7.5473299999999997</v>
      </c>
      <c r="E1045" s="609">
        <f t="shared" si="16"/>
        <v>-7.5473299999999997</v>
      </c>
      <c r="F1045" s="607" t="s">
        <v>418</v>
      </c>
      <c r="G1045" s="1052"/>
    </row>
    <row r="1046" spans="1:7" s="14" customFormat="1" ht="34.5" customHeight="1" outlineLevel="1" x14ac:dyDescent="0.25">
      <c r="A1046" s="907">
        <v>2</v>
      </c>
      <c r="B1046" s="908" t="s">
        <v>196</v>
      </c>
      <c r="C1046" s="959" t="s">
        <v>134</v>
      </c>
      <c r="D1046" s="965"/>
      <c r="E1046" s="911"/>
      <c r="F1046" s="912"/>
      <c r="G1046" s="912"/>
    </row>
    <row r="1047" spans="1:7" s="14" customFormat="1" ht="34.5" customHeight="1" outlineLevel="2" x14ac:dyDescent="0.25">
      <c r="A1047" s="907"/>
      <c r="B1047" s="908" t="s">
        <v>197</v>
      </c>
      <c r="C1047" s="959"/>
      <c r="D1047" s="910"/>
      <c r="E1047" s="911"/>
      <c r="F1047" s="912"/>
      <c r="G1047" s="912"/>
    </row>
    <row r="1048" spans="1:7" s="14" customFormat="1" ht="34.5" customHeight="1" outlineLevel="2" x14ac:dyDescent="0.25">
      <c r="A1048" s="57"/>
      <c r="B1048" s="76" t="s">
        <v>198</v>
      </c>
      <c r="C1048" s="63" t="s">
        <v>10</v>
      </c>
      <c r="D1048" s="49">
        <v>3592.88</v>
      </c>
      <c r="E1048" s="609">
        <f t="shared" si="16"/>
        <v>3592.88</v>
      </c>
      <c r="F1048" s="607" t="s">
        <v>418</v>
      </c>
      <c r="G1048" s="1052" t="s">
        <v>1472</v>
      </c>
    </row>
    <row r="1049" spans="1:7" s="14" customFormat="1" ht="34.5" customHeight="1" outlineLevel="2" x14ac:dyDescent="0.25">
      <c r="A1049" s="57"/>
      <c r="B1049" s="61" t="s">
        <v>199</v>
      </c>
      <c r="C1049" s="62" t="s">
        <v>121</v>
      </c>
      <c r="D1049" s="49">
        <v>0</v>
      </c>
      <c r="E1049" s="609">
        <f t="shared" si="16"/>
        <v>0</v>
      </c>
      <c r="F1049" s="607" t="s">
        <v>418</v>
      </c>
      <c r="G1049" s="1052" t="s">
        <v>1472</v>
      </c>
    </row>
    <row r="1050" spans="1:7" s="14" customFormat="1" ht="34.5" customHeight="1" outlineLevel="2" x14ac:dyDescent="0.25">
      <c r="A1050" s="57"/>
      <c r="B1050" s="61" t="s">
        <v>200</v>
      </c>
      <c r="C1050" s="62" t="s">
        <v>121</v>
      </c>
      <c r="D1050" s="49">
        <v>128.239</v>
      </c>
      <c r="E1050" s="609">
        <f t="shared" si="16"/>
        <v>128.239</v>
      </c>
      <c r="F1050" s="607" t="s">
        <v>418</v>
      </c>
      <c r="G1050" s="1052" t="s">
        <v>1472</v>
      </c>
    </row>
    <row r="1051" spans="1:7" s="14" customFormat="1" ht="34.5" customHeight="1" outlineLevel="2" x14ac:dyDescent="0.25">
      <c r="A1051" s="907"/>
      <c r="B1051" s="908" t="s">
        <v>201</v>
      </c>
      <c r="C1051" s="959"/>
      <c r="D1051" s="910"/>
      <c r="E1051" s="911">
        <f t="shared" si="16"/>
        <v>0</v>
      </c>
      <c r="F1051" s="912" t="s">
        <v>418</v>
      </c>
      <c r="G1051" s="912"/>
    </row>
    <row r="1052" spans="1:7" s="14" customFormat="1" ht="34.5" customHeight="1" outlineLevel="2" x14ac:dyDescent="0.25">
      <c r="A1052" s="57"/>
      <c r="B1052" s="76" t="s">
        <v>122</v>
      </c>
      <c r="C1052" s="63" t="s">
        <v>10</v>
      </c>
      <c r="D1052" s="49">
        <v>206.69</v>
      </c>
      <c r="E1052" s="609">
        <f t="shared" si="16"/>
        <v>206.69</v>
      </c>
      <c r="F1052" s="607" t="s">
        <v>418</v>
      </c>
      <c r="G1052" s="1052" t="s">
        <v>1472</v>
      </c>
    </row>
    <row r="1053" spans="1:7" s="14" customFormat="1" ht="34.5" customHeight="1" outlineLevel="2" x14ac:dyDescent="0.25">
      <c r="A1053" s="57"/>
      <c r="B1053" s="76" t="s">
        <v>202</v>
      </c>
      <c r="C1053" s="62" t="s">
        <v>121</v>
      </c>
      <c r="D1053" s="49">
        <v>4.1340000000000003</v>
      </c>
      <c r="E1053" s="609">
        <f t="shared" si="16"/>
        <v>4.1340000000000003</v>
      </c>
      <c r="F1053" s="607" t="s">
        <v>418</v>
      </c>
      <c r="G1053" s="1052" t="s">
        <v>1472</v>
      </c>
    </row>
    <row r="1054" spans="1:7" s="14" customFormat="1" ht="34.5" customHeight="1" outlineLevel="2" x14ac:dyDescent="0.25">
      <c r="A1054" s="57"/>
      <c r="B1054" s="61" t="s">
        <v>203</v>
      </c>
      <c r="C1054" s="62" t="s">
        <v>68</v>
      </c>
      <c r="D1054" s="49">
        <v>0</v>
      </c>
      <c r="E1054" s="609">
        <f t="shared" si="16"/>
        <v>0</v>
      </c>
      <c r="F1054" s="607" t="s">
        <v>418</v>
      </c>
      <c r="G1054" s="1052" t="s">
        <v>1472</v>
      </c>
    </row>
    <row r="1055" spans="1:7" s="14" customFormat="1" ht="34.5" customHeight="1" outlineLevel="2" x14ac:dyDescent="0.25">
      <c r="A1055" s="57"/>
      <c r="B1055" s="76" t="s">
        <v>204</v>
      </c>
      <c r="C1055" s="63" t="s">
        <v>10</v>
      </c>
      <c r="D1055" s="49">
        <v>1049.3399999999999</v>
      </c>
      <c r="E1055" s="609">
        <f t="shared" si="16"/>
        <v>1049.3399999999999</v>
      </c>
      <c r="F1055" s="607" t="s">
        <v>418</v>
      </c>
      <c r="G1055" s="1052" t="s">
        <v>1472</v>
      </c>
    </row>
    <row r="1056" spans="1:7" s="14" customFormat="1" ht="34.5" customHeight="1" outlineLevel="2" x14ac:dyDescent="0.25">
      <c r="A1056" s="57"/>
      <c r="B1056" s="61" t="s">
        <v>102</v>
      </c>
      <c r="C1056" s="62" t="s">
        <v>66</v>
      </c>
      <c r="D1056" s="49">
        <v>2.2050000000000001</v>
      </c>
      <c r="E1056" s="609">
        <f t="shared" si="16"/>
        <v>2.2050000000000001</v>
      </c>
      <c r="F1056" s="607" t="s">
        <v>418</v>
      </c>
      <c r="G1056" s="1052" t="s">
        <v>1472</v>
      </c>
    </row>
    <row r="1057" spans="1:7" s="14" customFormat="1" ht="34.5" customHeight="1" outlineLevel="2" x14ac:dyDescent="0.25">
      <c r="A1057" s="907"/>
      <c r="B1057" s="908" t="s">
        <v>205</v>
      </c>
      <c r="C1057" s="959"/>
      <c r="D1057" s="910"/>
      <c r="E1057" s="911">
        <f t="shared" si="16"/>
        <v>0</v>
      </c>
      <c r="F1057" s="912"/>
      <c r="G1057" s="912"/>
    </row>
    <row r="1058" spans="1:7" s="14" customFormat="1" ht="34.5" customHeight="1" outlineLevel="2" x14ac:dyDescent="0.25">
      <c r="A1058" s="57"/>
      <c r="B1058" s="61" t="s">
        <v>206</v>
      </c>
      <c r="C1058" s="63" t="s">
        <v>10</v>
      </c>
      <c r="D1058" s="49">
        <v>206.6</v>
      </c>
      <c r="E1058" s="609">
        <f t="shared" si="16"/>
        <v>206.6</v>
      </c>
      <c r="F1058" s="607" t="s">
        <v>418</v>
      </c>
      <c r="G1058" s="1052" t="s">
        <v>1472</v>
      </c>
    </row>
    <row r="1059" spans="1:7" s="14" customFormat="1" ht="34.5" customHeight="1" outlineLevel="2" x14ac:dyDescent="0.25">
      <c r="A1059" s="57"/>
      <c r="B1059" s="61" t="s">
        <v>207</v>
      </c>
      <c r="C1059" s="63" t="s">
        <v>10</v>
      </c>
      <c r="D1059" s="49">
        <v>1462.71</v>
      </c>
      <c r="E1059" s="609">
        <f t="shared" si="16"/>
        <v>1462.71</v>
      </c>
      <c r="F1059" s="607" t="s">
        <v>418</v>
      </c>
      <c r="G1059" s="1052" t="s">
        <v>1472</v>
      </c>
    </row>
    <row r="1060" spans="1:7" s="14" customFormat="1" ht="34.5" customHeight="1" outlineLevel="2" x14ac:dyDescent="0.25">
      <c r="A1060" s="57"/>
      <c r="B1060" s="61" t="s">
        <v>208</v>
      </c>
      <c r="C1060" s="63" t="s">
        <v>10</v>
      </c>
      <c r="D1060" s="49">
        <v>9617.9249999999993</v>
      </c>
      <c r="E1060" s="609">
        <f t="shared" si="16"/>
        <v>9617.9249999999993</v>
      </c>
      <c r="F1060" s="607" t="s">
        <v>418</v>
      </c>
      <c r="G1060" s="1052" t="s">
        <v>1472</v>
      </c>
    </row>
    <row r="1061" spans="1:7" s="14" customFormat="1" ht="34.5" customHeight="1" outlineLevel="2" x14ac:dyDescent="0.25">
      <c r="A1061" s="57"/>
      <c r="B1061" s="61" t="s">
        <v>209</v>
      </c>
      <c r="C1061" s="62" t="s">
        <v>121</v>
      </c>
      <c r="D1061" s="49">
        <v>-57.707549999999991</v>
      </c>
      <c r="E1061" s="609">
        <f t="shared" si="16"/>
        <v>-57.707549999999991</v>
      </c>
      <c r="F1061" s="607" t="s">
        <v>418</v>
      </c>
      <c r="G1061" s="1052" t="s">
        <v>1472</v>
      </c>
    </row>
    <row r="1062" spans="1:7" s="14" customFormat="1" ht="34.5" customHeight="1" outlineLevel="2" x14ac:dyDescent="0.25">
      <c r="A1062" s="57"/>
      <c r="B1062" s="61" t="s">
        <v>210</v>
      </c>
      <c r="C1062" s="63"/>
      <c r="D1062" s="49"/>
      <c r="E1062" s="609">
        <f t="shared" si="16"/>
        <v>0</v>
      </c>
      <c r="F1062" s="607" t="s">
        <v>418</v>
      </c>
      <c r="G1062" s="1052" t="s">
        <v>1472</v>
      </c>
    </row>
    <row r="1063" spans="1:7" s="14" customFormat="1" ht="34.5" customHeight="1" outlineLevel="1" x14ac:dyDescent="0.25">
      <c r="A1063" s="907">
        <v>3</v>
      </c>
      <c r="B1063" s="908" t="s">
        <v>211</v>
      </c>
      <c r="C1063" s="959" t="s">
        <v>134</v>
      </c>
      <c r="D1063" s="965">
        <v>1</v>
      </c>
      <c r="E1063" s="911">
        <f t="shared" si="16"/>
        <v>1</v>
      </c>
      <c r="F1063" s="912"/>
      <c r="G1063" s="912"/>
    </row>
    <row r="1064" spans="1:7" s="14" customFormat="1" ht="34.5" customHeight="1" outlineLevel="1" x14ac:dyDescent="0.25">
      <c r="A1064" s="907"/>
      <c r="B1064" s="908" t="s">
        <v>212</v>
      </c>
      <c r="C1064" s="959"/>
      <c r="D1064" s="910"/>
      <c r="E1064" s="911">
        <f t="shared" si="16"/>
        <v>0</v>
      </c>
      <c r="F1064" s="912"/>
      <c r="G1064" s="912"/>
    </row>
    <row r="1065" spans="1:7" s="14" customFormat="1" ht="34.5" customHeight="1" outlineLevel="1" x14ac:dyDescent="0.25">
      <c r="A1065" s="57"/>
      <c r="B1065" s="76" t="s">
        <v>198</v>
      </c>
      <c r="C1065" s="62" t="s">
        <v>121</v>
      </c>
      <c r="D1065" s="49">
        <v>5.6020000000000003</v>
      </c>
      <c r="E1065" s="609">
        <f t="shared" si="16"/>
        <v>5.6020000000000003</v>
      </c>
      <c r="F1065" s="607" t="s">
        <v>418</v>
      </c>
      <c r="G1065" s="1052" t="s">
        <v>1472</v>
      </c>
    </row>
    <row r="1066" spans="1:7" s="14" customFormat="1" ht="34.5" customHeight="1" outlineLevel="1" x14ac:dyDescent="0.25">
      <c r="A1066" s="57"/>
      <c r="B1066" s="61" t="s">
        <v>199</v>
      </c>
      <c r="C1066" s="62" t="s">
        <v>121</v>
      </c>
      <c r="D1066" s="49">
        <v>0</v>
      </c>
      <c r="E1066" s="609">
        <f t="shared" si="16"/>
        <v>0</v>
      </c>
      <c r="F1066" s="607" t="s">
        <v>418</v>
      </c>
      <c r="G1066" s="1052" t="s">
        <v>1472</v>
      </c>
    </row>
    <row r="1067" spans="1:7" s="14" customFormat="1" ht="34.5" customHeight="1" outlineLevel="1" x14ac:dyDescent="0.25">
      <c r="A1067" s="57"/>
      <c r="B1067" s="61" t="s">
        <v>200</v>
      </c>
      <c r="C1067" s="62" t="s">
        <v>121</v>
      </c>
      <c r="D1067" s="49">
        <v>16.163</v>
      </c>
      <c r="E1067" s="609">
        <f t="shared" si="16"/>
        <v>16.163</v>
      </c>
      <c r="F1067" s="607" t="s">
        <v>418</v>
      </c>
      <c r="G1067" s="1052" t="s">
        <v>1472</v>
      </c>
    </row>
    <row r="1068" spans="1:7" s="14" customFormat="1" ht="34.5" customHeight="1" outlineLevel="1" x14ac:dyDescent="0.25">
      <c r="A1068" s="907"/>
      <c r="B1068" s="908" t="s">
        <v>213</v>
      </c>
      <c r="C1068" s="959"/>
      <c r="D1068" s="910"/>
      <c r="E1068" s="911">
        <f t="shared" si="16"/>
        <v>0</v>
      </c>
      <c r="F1068" s="912" t="s">
        <v>418</v>
      </c>
      <c r="G1068" s="912"/>
    </row>
    <row r="1069" spans="1:7" s="14" customFormat="1" ht="34.5" customHeight="1" outlineLevel="1" x14ac:dyDescent="0.25">
      <c r="A1069" s="57"/>
      <c r="B1069" s="76" t="s">
        <v>202</v>
      </c>
      <c r="C1069" s="62" t="s">
        <v>121</v>
      </c>
      <c r="D1069" s="49">
        <v>3.67</v>
      </c>
      <c r="E1069" s="609">
        <f t="shared" si="16"/>
        <v>3.67</v>
      </c>
      <c r="F1069" s="607" t="s">
        <v>418</v>
      </c>
      <c r="G1069" s="1052" t="s">
        <v>1472</v>
      </c>
    </row>
    <row r="1070" spans="1:7" s="14" customFormat="1" ht="34.5" customHeight="1" outlineLevel="1" x14ac:dyDescent="0.25">
      <c r="A1070" s="57"/>
      <c r="B1070" s="76" t="s">
        <v>204</v>
      </c>
      <c r="C1070" s="63" t="s">
        <v>10</v>
      </c>
      <c r="D1070" s="49">
        <v>167.49</v>
      </c>
      <c r="E1070" s="609">
        <f t="shared" si="16"/>
        <v>167.49</v>
      </c>
      <c r="F1070" s="607" t="s">
        <v>418</v>
      </c>
      <c r="G1070" s="1052" t="s">
        <v>1472</v>
      </c>
    </row>
    <row r="1071" spans="1:7" s="14" customFormat="1" ht="34.5" customHeight="1" outlineLevel="1" x14ac:dyDescent="0.25">
      <c r="A1071" s="907"/>
      <c r="B1071" s="908" t="s">
        <v>214</v>
      </c>
      <c r="C1071" s="959"/>
      <c r="D1071" s="910"/>
      <c r="E1071" s="911">
        <f t="shared" si="16"/>
        <v>0</v>
      </c>
      <c r="F1071" s="912" t="s">
        <v>418</v>
      </c>
      <c r="G1071" s="912"/>
    </row>
    <row r="1072" spans="1:7" s="14" customFormat="1" ht="34.5" customHeight="1" outlineLevel="1" x14ac:dyDescent="0.25">
      <c r="A1072" s="57"/>
      <c r="B1072" s="61" t="s">
        <v>207</v>
      </c>
      <c r="C1072" s="63" t="s">
        <v>10</v>
      </c>
      <c r="D1072" s="49">
        <v>534.48</v>
      </c>
      <c r="E1072" s="609">
        <f t="shared" si="16"/>
        <v>534.48</v>
      </c>
      <c r="F1072" s="607" t="s">
        <v>418</v>
      </c>
      <c r="G1072" s="1052" t="s">
        <v>1472</v>
      </c>
    </row>
    <row r="1073" spans="1:8" s="14" customFormat="1" ht="34.5" customHeight="1" outlineLevel="1" x14ac:dyDescent="0.25">
      <c r="A1073" s="57"/>
      <c r="B1073" s="61" t="s">
        <v>208</v>
      </c>
      <c r="C1073" s="63" t="s">
        <v>10</v>
      </c>
      <c r="D1073" s="49">
        <v>1616.34</v>
      </c>
      <c r="E1073" s="609">
        <f t="shared" si="16"/>
        <v>1616.34</v>
      </c>
      <c r="F1073" s="607" t="s">
        <v>418</v>
      </c>
      <c r="G1073" s="1052" t="s">
        <v>1472</v>
      </c>
    </row>
    <row r="1074" spans="1:8" s="14" customFormat="1" ht="34.5" customHeight="1" outlineLevel="1" x14ac:dyDescent="0.25">
      <c r="A1074" s="57"/>
      <c r="B1074" s="58" t="s">
        <v>210</v>
      </c>
      <c r="C1074" s="63"/>
      <c r="D1074" s="49"/>
      <c r="E1074" s="609">
        <f t="shared" si="16"/>
        <v>0</v>
      </c>
      <c r="F1074" s="607" t="s">
        <v>418</v>
      </c>
      <c r="G1074" s="607"/>
    </row>
    <row r="1075" spans="1:8" s="14" customFormat="1" ht="34.5" customHeight="1" x14ac:dyDescent="0.25">
      <c r="A1075" s="907" t="s">
        <v>123</v>
      </c>
      <c r="B1075" s="908" t="s">
        <v>215</v>
      </c>
      <c r="C1075" s="909"/>
      <c r="D1075" s="910"/>
      <c r="E1075" s="911"/>
      <c r="F1075" s="912"/>
      <c r="G1075" s="912"/>
    </row>
    <row r="1076" spans="1:8" s="14" customFormat="1" ht="34.5" customHeight="1" outlineLevel="1" x14ac:dyDescent="0.25">
      <c r="A1076" s="907">
        <v>1</v>
      </c>
      <c r="B1076" s="908" t="s">
        <v>216</v>
      </c>
      <c r="C1076" s="959" t="s">
        <v>134</v>
      </c>
      <c r="D1076" s="910"/>
      <c r="E1076" s="911"/>
      <c r="F1076" s="912"/>
      <c r="G1076" s="912"/>
    </row>
    <row r="1077" spans="1:8" s="14" customFormat="1" ht="34.5" customHeight="1" outlineLevel="2" x14ac:dyDescent="0.25">
      <c r="A1077" s="907"/>
      <c r="B1077" s="908" t="s">
        <v>217</v>
      </c>
      <c r="C1077" s="951"/>
      <c r="D1077" s="910"/>
      <c r="E1077" s="911"/>
      <c r="F1077" s="912"/>
      <c r="G1077" s="912"/>
    </row>
    <row r="1078" spans="1:8" s="14" customFormat="1" ht="44.25" customHeight="1" outlineLevel="2" x14ac:dyDescent="0.25">
      <c r="A1078" s="57"/>
      <c r="B1078" s="76" t="s">
        <v>218</v>
      </c>
      <c r="C1078" s="63" t="s">
        <v>124</v>
      </c>
      <c r="D1078" s="49">
        <v>620.54</v>
      </c>
      <c r="E1078" s="609">
        <f t="shared" si="16"/>
        <v>620.54</v>
      </c>
      <c r="F1078" s="607" t="s">
        <v>418</v>
      </c>
      <c r="G1078" s="882" t="s">
        <v>776</v>
      </c>
    </row>
    <row r="1079" spans="1:8" s="14" customFormat="1" ht="34.5" customHeight="1" outlineLevel="2" x14ac:dyDescent="0.25">
      <c r="A1079" s="57"/>
      <c r="B1079" s="76" t="s">
        <v>219</v>
      </c>
      <c r="C1079" s="63" t="s">
        <v>124</v>
      </c>
      <c r="D1079" s="49">
        <v>503.73</v>
      </c>
      <c r="E1079" s="609">
        <f t="shared" si="16"/>
        <v>503.73</v>
      </c>
      <c r="F1079" s="607" t="s">
        <v>1486</v>
      </c>
      <c r="G1079" s="882"/>
      <c r="H1079" s="14">
        <f>diengiai</f>
        <v>302.39999999999998</v>
      </c>
    </row>
    <row r="1080" spans="1:8" s="14" customFormat="1" ht="34.5" customHeight="1" outlineLevel="2" x14ac:dyDescent="0.25">
      <c r="A1080" s="77"/>
      <c r="B1080" s="1471" t="s">
        <v>220</v>
      </c>
      <c r="C1080" s="83" t="s">
        <v>124</v>
      </c>
      <c r="D1080" s="54">
        <v>13</v>
      </c>
      <c r="E1080" s="1055">
        <f t="shared" si="16"/>
        <v>13</v>
      </c>
      <c r="F1080" s="1056" t="s">
        <v>418</v>
      </c>
      <c r="G1080" s="1472" t="s">
        <v>776</v>
      </c>
    </row>
    <row r="1081" spans="1:8" s="14" customFormat="1" ht="34.5" customHeight="1" outlineLevel="2" x14ac:dyDescent="0.25">
      <c r="A1081" s="77"/>
      <c r="B1081" s="1471" t="s">
        <v>221</v>
      </c>
      <c r="C1081" s="1473" t="s">
        <v>125</v>
      </c>
      <c r="D1081" s="54">
        <v>1.45</v>
      </c>
      <c r="E1081" s="1055">
        <f t="shared" si="16"/>
        <v>1.45</v>
      </c>
      <c r="F1081" s="1056" t="s">
        <v>418</v>
      </c>
      <c r="G1081" s="1472" t="s">
        <v>776</v>
      </c>
    </row>
    <row r="1082" spans="1:8" s="14" customFormat="1" ht="34.5" customHeight="1" outlineLevel="2" x14ac:dyDescent="0.25">
      <c r="A1082" s="57"/>
      <c r="B1082" s="76" t="s">
        <v>222</v>
      </c>
      <c r="C1082" s="63" t="s">
        <v>126</v>
      </c>
      <c r="D1082" s="49">
        <v>198.57418875000002</v>
      </c>
      <c r="E1082" s="609">
        <f t="shared" si="16"/>
        <v>198.57418875000002</v>
      </c>
      <c r="F1082" s="607" t="s">
        <v>1487</v>
      </c>
      <c r="G1082" s="882"/>
      <c r="H1082" s="14">
        <f>diengiai</f>
        <v>2026.3366863433773</v>
      </c>
    </row>
    <row r="1083" spans="1:8" s="14" customFormat="1" ht="34.5" customHeight="1" outlineLevel="2" x14ac:dyDescent="0.25">
      <c r="A1083" s="57"/>
      <c r="B1083" s="76" t="s">
        <v>223</v>
      </c>
      <c r="C1083" s="62" t="s">
        <v>116</v>
      </c>
      <c r="D1083" s="49"/>
      <c r="E1083" s="609"/>
      <c r="F1083" s="607"/>
      <c r="G1083" s="882"/>
    </row>
    <row r="1084" spans="1:8" s="14" customFormat="1" ht="34.5" customHeight="1" outlineLevel="2" x14ac:dyDescent="0.25">
      <c r="A1084" s="57"/>
      <c r="B1084" s="76" t="s">
        <v>224</v>
      </c>
      <c r="C1084" s="62" t="s">
        <v>116</v>
      </c>
      <c r="D1084" s="49">
        <v>46.53</v>
      </c>
      <c r="E1084" s="609">
        <f t="shared" si="16"/>
        <v>46.53</v>
      </c>
      <c r="F1084" s="607" t="s">
        <v>1488</v>
      </c>
      <c r="G1084" s="882"/>
      <c r="H1084" s="1470">
        <f>diengiai</f>
        <v>157.83361491635122</v>
      </c>
    </row>
    <row r="1085" spans="1:8" s="14" customFormat="1" ht="34.5" customHeight="1" outlineLevel="2" x14ac:dyDescent="0.25">
      <c r="A1085" s="57"/>
      <c r="B1085" s="76" t="s">
        <v>225</v>
      </c>
      <c r="C1085" s="62" t="s">
        <v>116</v>
      </c>
      <c r="D1085" s="49">
        <v>110.31</v>
      </c>
      <c r="E1085" s="609">
        <f t="shared" si="16"/>
        <v>110.31</v>
      </c>
      <c r="F1085" s="607" t="s">
        <v>1489</v>
      </c>
      <c r="G1085" s="882"/>
      <c r="H1085" s="14">
        <f>diengiai</f>
        <v>110.31374093019974</v>
      </c>
    </row>
    <row r="1086" spans="1:8" s="14" customFormat="1" ht="34.5" customHeight="1" outlineLevel="2" x14ac:dyDescent="0.25">
      <c r="A1086" s="57"/>
      <c r="B1086" s="76" t="s">
        <v>226</v>
      </c>
      <c r="C1086" s="62" t="s">
        <v>124</v>
      </c>
      <c r="D1086" s="49">
        <v>184</v>
      </c>
      <c r="E1086" s="609">
        <f t="shared" si="16"/>
        <v>184</v>
      </c>
      <c r="F1086" s="607" t="s">
        <v>1490</v>
      </c>
      <c r="G1086" s="882"/>
      <c r="H1086" s="14">
        <f>diengiai</f>
        <v>184</v>
      </c>
    </row>
    <row r="1087" spans="1:8" s="14" customFormat="1" ht="51" customHeight="1" outlineLevel="2" x14ac:dyDescent="0.25">
      <c r="A1087" s="57"/>
      <c r="B1087" s="76" t="s">
        <v>227</v>
      </c>
      <c r="C1087" s="62" t="s">
        <v>124</v>
      </c>
      <c r="D1087" s="49">
        <v>216</v>
      </c>
      <c r="E1087" s="609">
        <f t="shared" si="16"/>
        <v>216</v>
      </c>
      <c r="F1087" s="607" t="s">
        <v>1491</v>
      </c>
      <c r="G1087" s="882"/>
      <c r="H1087" s="14">
        <f>diengiai</f>
        <v>216</v>
      </c>
    </row>
    <row r="1088" spans="1:8" s="14" customFormat="1" ht="34.5" customHeight="1" outlineLevel="2" x14ac:dyDescent="0.25">
      <c r="A1088" s="57"/>
      <c r="B1088" s="61" t="s">
        <v>228</v>
      </c>
      <c r="C1088" s="62" t="s">
        <v>57</v>
      </c>
      <c r="D1088" s="49">
        <v>0.96879999999999999</v>
      </c>
      <c r="E1088" s="609">
        <f t="shared" si="16"/>
        <v>0.96879999999999999</v>
      </c>
      <c r="F1088" s="607"/>
      <c r="G1088" s="882"/>
    </row>
    <row r="1089" spans="1:8" s="14" customFormat="1" ht="34.5" customHeight="1" outlineLevel="2" x14ac:dyDescent="0.25">
      <c r="A1089" s="57"/>
      <c r="B1089" s="61" t="s">
        <v>229</v>
      </c>
      <c r="C1089" s="62" t="s">
        <v>137</v>
      </c>
      <c r="D1089" s="49">
        <v>16</v>
      </c>
      <c r="E1089" s="609">
        <f t="shared" si="16"/>
        <v>16</v>
      </c>
      <c r="F1089" s="607" t="s">
        <v>1492</v>
      </c>
      <c r="G1089" s="882"/>
    </row>
    <row r="1090" spans="1:8" s="14" customFormat="1" ht="34.5" customHeight="1" outlineLevel="2" x14ac:dyDescent="0.25">
      <c r="A1090" s="57"/>
      <c r="B1090" s="61" t="s">
        <v>230</v>
      </c>
      <c r="C1090" s="62" t="s">
        <v>138</v>
      </c>
      <c r="D1090" s="49">
        <v>96</v>
      </c>
      <c r="E1090" s="609">
        <f t="shared" si="16"/>
        <v>96</v>
      </c>
      <c r="F1090" s="607" t="s">
        <v>1493</v>
      </c>
      <c r="G1090" s="882"/>
    </row>
    <row r="1091" spans="1:8" s="14" customFormat="1" ht="34.5" customHeight="1" outlineLevel="2" x14ac:dyDescent="0.25">
      <c r="A1091" s="57"/>
      <c r="B1091" s="61" t="s">
        <v>231</v>
      </c>
      <c r="C1091" s="62" t="s">
        <v>10</v>
      </c>
      <c r="D1091" s="49">
        <v>36.19</v>
      </c>
      <c r="E1091" s="609">
        <f t="shared" si="16"/>
        <v>36.19</v>
      </c>
      <c r="F1091" s="607" t="s">
        <v>1494</v>
      </c>
      <c r="G1091" s="882"/>
      <c r="H1091" s="14">
        <f>diengiai</f>
        <v>36.191147369354418</v>
      </c>
    </row>
    <row r="1092" spans="1:8" s="14" customFormat="1" ht="34.5" customHeight="1" outlineLevel="2" x14ac:dyDescent="0.25">
      <c r="A1092" s="57"/>
      <c r="B1092" s="61" t="s">
        <v>232</v>
      </c>
      <c r="C1092" s="62" t="s">
        <v>10</v>
      </c>
      <c r="D1092" s="49">
        <v>2368.46</v>
      </c>
      <c r="E1092" s="609">
        <f t="shared" si="16"/>
        <v>2368.46</v>
      </c>
      <c r="F1092" s="607" t="s">
        <v>1495</v>
      </c>
      <c r="G1092" s="882"/>
      <c r="H1092" s="14">
        <f>diengiai</f>
        <v>2368.4561263193059</v>
      </c>
    </row>
    <row r="1093" spans="1:8" s="14" customFormat="1" ht="34.5" hidden="1" customHeight="1" outlineLevel="2" x14ac:dyDescent="0.25">
      <c r="A1093" s="57"/>
      <c r="B1093" s="58" t="s">
        <v>233</v>
      </c>
      <c r="C1093" s="62"/>
      <c r="D1093" s="49"/>
      <c r="E1093" s="609">
        <f t="shared" si="16"/>
        <v>0</v>
      </c>
      <c r="F1093" s="607"/>
      <c r="G1093" s="607"/>
    </row>
    <row r="1094" spans="1:8" s="14" customFormat="1" ht="34.5" hidden="1" customHeight="1" outlineLevel="2" x14ac:dyDescent="0.25">
      <c r="A1094" s="57"/>
      <c r="B1094" s="76" t="s">
        <v>234</v>
      </c>
      <c r="C1094" s="62" t="s">
        <v>139</v>
      </c>
      <c r="D1094" s="49">
        <v>26.08</v>
      </c>
      <c r="E1094" s="609">
        <f t="shared" si="16"/>
        <v>26.08</v>
      </c>
      <c r="F1094" s="607" t="s">
        <v>418</v>
      </c>
      <c r="G1094" s="607"/>
    </row>
    <row r="1095" spans="1:8" s="14" customFormat="1" ht="34.5" hidden="1" customHeight="1" outlineLevel="2" x14ac:dyDescent="0.25">
      <c r="A1095" s="57"/>
      <c r="B1095" s="76" t="s">
        <v>235</v>
      </c>
      <c r="C1095" s="62" t="s">
        <v>139</v>
      </c>
      <c r="D1095" s="49">
        <v>53.87</v>
      </c>
      <c r="E1095" s="609">
        <f t="shared" si="16"/>
        <v>53.87</v>
      </c>
      <c r="F1095" s="607" t="s">
        <v>418</v>
      </c>
      <c r="G1095" s="607"/>
    </row>
    <row r="1096" spans="1:8" s="14" customFormat="1" ht="34.5" hidden="1" customHeight="1" outlineLevel="2" x14ac:dyDescent="0.25">
      <c r="A1096" s="57"/>
      <c r="B1096" s="76" t="s">
        <v>236</v>
      </c>
      <c r="C1096" s="62" t="s">
        <v>139</v>
      </c>
      <c r="D1096" s="49">
        <v>25.15</v>
      </c>
      <c r="E1096" s="609">
        <f t="shared" si="16"/>
        <v>25.15</v>
      </c>
      <c r="F1096" s="607" t="s">
        <v>418</v>
      </c>
      <c r="G1096" s="607"/>
    </row>
    <row r="1097" spans="1:8" s="14" customFormat="1" ht="34.5" hidden="1" customHeight="1" outlineLevel="2" x14ac:dyDescent="0.25">
      <c r="A1097" s="57"/>
      <c r="B1097" s="76" t="s">
        <v>237</v>
      </c>
      <c r="C1097" s="62" t="s">
        <v>139</v>
      </c>
      <c r="D1097" s="49">
        <v>0.38</v>
      </c>
      <c r="E1097" s="609">
        <f t="shared" si="16"/>
        <v>0.38</v>
      </c>
      <c r="F1097" s="607" t="s">
        <v>418</v>
      </c>
      <c r="G1097" s="607"/>
    </row>
    <row r="1098" spans="1:8" s="14" customFormat="1" ht="34.5" hidden="1" customHeight="1" outlineLevel="2" x14ac:dyDescent="0.25">
      <c r="A1098" s="57"/>
      <c r="B1098" s="76" t="s">
        <v>238</v>
      </c>
      <c r="C1098" s="62" t="s">
        <v>140</v>
      </c>
      <c r="D1098" s="49">
        <v>1</v>
      </c>
      <c r="E1098" s="609">
        <f t="shared" si="16"/>
        <v>1</v>
      </c>
      <c r="F1098" s="607" t="s">
        <v>418</v>
      </c>
      <c r="G1098" s="607"/>
    </row>
    <row r="1099" spans="1:8" s="14" customFormat="1" ht="34.5" hidden="1" customHeight="1" outlineLevel="2" x14ac:dyDescent="0.25">
      <c r="A1099" s="57"/>
      <c r="B1099" s="58" t="s">
        <v>239</v>
      </c>
      <c r="C1099" s="62"/>
      <c r="D1099" s="49"/>
      <c r="E1099" s="609">
        <f t="shared" si="16"/>
        <v>0</v>
      </c>
      <c r="F1099" s="607" t="s">
        <v>418</v>
      </c>
      <c r="G1099" s="607"/>
    </row>
    <row r="1100" spans="1:8" s="14" customFormat="1" ht="34.5" hidden="1" customHeight="1" outlineLevel="2" x14ac:dyDescent="0.25">
      <c r="A1100" s="57"/>
      <c r="B1100" s="61" t="s">
        <v>240</v>
      </c>
      <c r="C1100" s="62" t="s">
        <v>116</v>
      </c>
      <c r="D1100" s="49">
        <v>14.01</v>
      </c>
      <c r="E1100" s="609">
        <f t="shared" si="16"/>
        <v>14.01</v>
      </c>
      <c r="F1100" s="607" t="s">
        <v>418</v>
      </c>
      <c r="G1100" s="607"/>
    </row>
    <row r="1101" spans="1:8" s="14" customFormat="1" ht="34.5" hidden="1" customHeight="1" outlineLevel="2" x14ac:dyDescent="0.25">
      <c r="A1101" s="57"/>
      <c r="B1101" s="61" t="s">
        <v>241</v>
      </c>
      <c r="C1101" s="62" t="s">
        <v>116</v>
      </c>
      <c r="D1101" s="49">
        <v>3.74</v>
      </c>
      <c r="E1101" s="609">
        <f t="shared" si="16"/>
        <v>3.74</v>
      </c>
      <c r="F1101" s="607" t="s">
        <v>418</v>
      </c>
      <c r="G1101" s="607"/>
    </row>
    <row r="1102" spans="1:8" s="14" customFormat="1" ht="34.5" hidden="1" customHeight="1" outlineLevel="2" x14ac:dyDescent="0.25">
      <c r="A1102" s="57"/>
      <c r="B1102" s="61" t="s">
        <v>242</v>
      </c>
      <c r="C1102" s="62" t="s">
        <v>116</v>
      </c>
      <c r="D1102" s="49">
        <v>22.99</v>
      </c>
      <c r="E1102" s="609">
        <f t="shared" si="16"/>
        <v>22.99</v>
      </c>
      <c r="F1102" s="607" t="s">
        <v>418</v>
      </c>
      <c r="G1102" s="607"/>
    </row>
    <row r="1103" spans="1:8" s="14" customFormat="1" ht="34.5" hidden="1" customHeight="1" outlineLevel="2" x14ac:dyDescent="0.25">
      <c r="A1103" s="57"/>
      <c r="B1103" s="61" t="s">
        <v>243</v>
      </c>
      <c r="C1103" s="62" t="s">
        <v>116</v>
      </c>
      <c r="D1103" s="49">
        <v>10.7</v>
      </c>
      <c r="E1103" s="609">
        <f t="shared" si="16"/>
        <v>10.7</v>
      </c>
      <c r="F1103" s="607" t="s">
        <v>418</v>
      </c>
      <c r="G1103" s="607"/>
    </row>
    <row r="1104" spans="1:8" s="14" customFormat="1" ht="34.5" hidden="1" customHeight="1" outlineLevel="2" x14ac:dyDescent="0.25">
      <c r="A1104" s="57"/>
      <c r="B1104" s="61" t="s">
        <v>244</v>
      </c>
      <c r="C1104" s="62" t="s">
        <v>116</v>
      </c>
      <c r="D1104" s="49">
        <v>1.5</v>
      </c>
      <c r="E1104" s="609">
        <f t="shared" ref="E1104:E1167" si="17">D1104</f>
        <v>1.5</v>
      </c>
      <c r="F1104" s="607" t="s">
        <v>418</v>
      </c>
      <c r="G1104" s="607"/>
    </row>
    <row r="1105" spans="1:7" s="14" customFormat="1" ht="34.5" hidden="1" customHeight="1" outlineLevel="2" x14ac:dyDescent="0.25">
      <c r="A1105" s="57"/>
      <c r="B1105" s="61" t="s">
        <v>245</v>
      </c>
      <c r="C1105" s="62" t="s">
        <v>116</v>
      </c>
      <c r="D1105" s="49">
        <v>0.86</v>
      </c>
      <c r="E1105" s="609">
        <f t="shared" si="17"/>
        <v>0.86</v>
      </c>
      <c r="F1105" s="607" t="s">
        <v>418</v>
      </c>
      <c r="G1105" s="607"/>
    </row>
    <row r="1106" spans="1:7" s="14" customFormat="1" ht="34.5" hidden="1" customHeight="1" outlineLevel="2" x14ac:dyDescent="0.25">
      <c r="A1106" s="57"/>
      <c r="B1106" s="61" t="s">
        <v>246</v>
      </c>
      <c r="C1106" s="62" t="s">
        <v>116</v>
      </c>
      <c r="D1106" s="49">
        <v>3.29</v>
      </c>
      <c r="E1106" s="609">
        <f t="shared" si="17"/>
        <v>3.29</v>
      </c>
      <c r="F1106" s="607" t="s">
        <v>418</v>
      </c>
      <c r="G1106" s="607"/>
    </row>
    <row r="1107" spans="1:7" s="14" customFormat="1" ht="34.5" hidden="1" customHeight="1" outlineLevel="2" x14ac:dyDescent="0.25">
      <c r="A1107" s="57"/>
      <c r="B1107" s="61" t="s">
        <v>247</v>
      </c>
      <c r="C1107" s="62" t="s">
        <v>116</v>
      </c>
      <c r="D1107" s="49">
        <v>42.58</v>
      </c>
      <c r="E1107" s="609">
        <f t="shared" si="17"/>
        <v>42.58</v>
      </c>
      <c r="F1107" s="607" t="s">
        <v>418</v>
      </c>
      <c r="G1107" s="607"/>
    </row>
    <row r="1108" spans="1:7" s="14" customFormat="1" ht="34.5" hidden="1" customHeight="1" outlineLevel="2" x14ac:dyDescent="0.25">
      <c r="A1108" s="57"/>
      <c r="B1108" s="61" t="s">
        <v>248</v>
      </c>
      <c r="C1108" s="62" t="s">
        <v>116</v>
      </c>
      <c r="D1108" s="49">
        <v>9.67</v>
      </c>
      <c r="E1108" s="609">
        <f t="shared" si="17"/>
        <v>9.67</v>
      </c>
      <c r="F1108" s="607" t="s">
        <v>418</v>
      </c>
      <c r="G1108" s="607"/>
    </row>
    <row r="1109" spans="1:7" s="14" customFormat="1" ht="34.5" hidden="1" customHeight="1" outlineLevel="2" x14ac:dyDescent="0.25">
      <c r="A1109" s="57"/>
      <c r="B1109" s="61" t="s">
        <v>249</v>
      </c>
      <c r="C1109" s="62" t="s">
        <v>139</v>
      </c>
      <c r="D1109" s="49">
        <v>109.33999999999999</v>
      </c>
      <c r="E1109" s="609">
        <f t="shared" si="17"/>
        <v>109.33999999999999</v>
      </c>
      <c r="F1109" s="607" t="s">
        <v>418</v>
      </c>
      <c r="G1109" s="607"/>
    </row>
    <row r="1110" spans="1:7" s="14" customFormat="1" ht="34.5" hidden="1" customHeight="1" outlineLevel="2" x14ac:dyDescent="0.25">
      <c r="A1110" s="57"/>
      <c r="B1110" s="61" t="s">
        <v>250</v>
      </c>
      <c r="C1110" s="63" t="s">
        <v>139</v>
      </c>
      <c r="D1110" s="49">
        <v>86.35</v>
      </c>
      <c r="E1110" s="609">
        <f t="shared" si="17"/>
        <v>86.35</v>
      </c>
      <c r="F1110" s="607" t="s">
        <v>418</v>
      </c>
      <c r="G1110" s="607"/>
    </row>
    <row r="1111" spans="1:7" s="14" customFormat="1" ht="34.5" hidden="1" customHeight="1" outlineLevel="2" x14ac:dyDescent="0.25">
      <c r="A1111" s="57"/>
      <c r="B1111" s="61" t="s">
        <v>251</v>
      </c>
      <c r="C1111" s="63" t="s">
        <v>10</v>
      </c>
      <c r="D1111" s="49">
        <v>497.83</v>
      </c>
      <c r="E1111" s="609">
        <f t="shared" si="17"/>
        <v>497.83</v>
      </c>
      <c r="F1111" s="607" t="s">
        <v>418</v>
      </c>
      <c r="G1111" s="607"/>
    </row>
    <row r="1112" spans="1:7" s="14" customFormat="1" ht="34.5" hidden="1" customHeight="1" outlineLevel="2" x14ac:dyDescent="0.25">
      <c r="A1112" s="57"/>
      <c r="B1112" s="61" t="s">
        <v>252</v>
      </c>
      <c r="C1112" s="63" t="s">
        <v>127</v>
      </c>
      <c r="D1112" s="49">
        <v>50</v>
      </c>
      <c r="E1112" s="609">
        <f t="shared" si="17"/>
        <v>50</v>
      </c>
      <c r="F1112" s="607" t="s">
        <v>418</v>
      </c>
      <c r="G1112" s="607"/>
    </row>
    <row r="1113" spans="1:7" s="14" customFormat="1" ht="34.5" hidden="1" customHeight="1" outlineLevel="2" x14ac:dyDescent="0.25">
      <c r="A1113" s="57"/>
      <c r="B1113" s="61" t="s">
        <v>253</v>
      </c>
      <c r="C1113" s="63" t="s">
        <v>10</v>
      </c>
      <c r="D1113" s="49">
        <v>1</v>
      </c>
      <c r="E1113" s="609">
        <f t="shared" si="17"/>
        <v>1</v>
      </c>
      <c r="F1113" s="607" t="s">
        <v>418</v>
      </c>
      <c r="G1113" s="607"/>
    </row>
    <row r="1114" spans="1:7" s="14" customFormat="1" ht="34.5" customHeight="1" outlineLevel="2" x14ac:dyDescent="0.25">
      <c r="A1114" s="907"/>
      <c r="B1114" s="908" t="s">
        <v>254</v>
      </c>
      <c r="C1114" s="951"/>
      <c r="D1114" s="910"/>
      <c r="E1114" s="911"/>
      <c r="F1114" s="912"/>
      <c r="G1114" s="912"/>
    </row>
    <row r="1115" spans="1:7" s="14" customFormat="1" ht="34.5" customHeight="1" outlineLevel="2" x14ac:dyDescent="0.25">
      <c r="A1115" s="57"/>
      <c r="B1115" s="61" t="s">
        <v>255</v>
      </c>
      <c r="C1115" s="63" t="s">
        <v>124</v>
      </c>
      <c r="D1115" s="49">
        <v>319.8</v>
      </c>
      <c r="E1115" s="609">
        <f t="shared" si="17"/>
        <v>319.8</v>
      </c>
      <c r="F1115" s="607" t="s">
        <v>418</v>
      </c>
      <c r="G1115" s="882" t="s">
        <v>776</v>
      </c>
    </row>
    <row r="1116" spans="1:7" s="14" customFormat="1" ht="34.5" customHeight="1" outlineLevel="2" x14ac:dyDescent="0.25">
      <c r="A1116" s="57"/>
      <c r="B1116" s="61" t="s">
        <v>256</v>
      </c>
      <c r="C1116" s="63" t="s">
        <v>116</v>
      </c>
      <c r="D1116" s="49">
        <v>13.64</v>
      </c>
      <c r="E1116" s="609">
        <f t="shared" si="17"/>
        <v>13.64</v>
      </c>
      <c r="F1116" s="607" t="s">
        <v>418</v>
      </c>
      <c r="G1116" s="882" t="s">
        <v>776</v>
      </c>
    </row>
    <row r="1117" spans="1:7" s="14" customFormat="1" ht="34.5" customHeight="1" outlineLevel="2" x14ac:dyDescent="0.25">
      <c r="A1117" s="57"/>
      <c r="B1117" s="61" t="s">
        <v>253</v>
      </c>
      <c r="C1117" s="63" t="s">
        <v>10</v>
      </c>
      <c r="D1117" s="49">
        <v>1.89</v>
      </c>
      <c r="E1117" s="609">
        <f t="shared" si="17"/>
        <v>1.89</v>
      </c>
      <c r="F1117" s="607" t="s">
        <v>418</v>
      </c>
      <c r="G1117" s="882" t="s">
        <v>776</v>
      </c>
    </row>
    <row r="1118" spans="1:7" s="14" customFormat="1" ht="34.5" customHeight="1" outlineLevel="2" x14ac:dyDescent="0.25">
      <c r="A1118" s="907"/>
      <c r="B1118" s="908" t="s">
        <v>257</v>
      </c>
      <c r="C1118" s="951"/>
      <c r="D1118" s="910"/>
      <c r="E1118" s="911">
        <f t="shared" si="17"/>
        <v>0</v>
      </c>
      <c r="F1118" s="912"/>
      <c r="G1118" s="912"/>
    </row>
    <row r="1119" spans="1:7" s="14" customFormat="1" ht="34.5" customHeight="1" outlineLevel="2" x14ac:dyDescent="0.25">
      <c r="A1119" s="57"/>
      <c r="B1119" s="61" t="s">
        <v>258</v>
      </c>
      <c r="C1119" s="62" t="s">
        <v>116</v>
      </c>
      <c r="D1119" s="49">
        <v>6.53</v>
      </c>
      <c r="E1119" s="609">
        <f t="shared" si="17"/>
        <v>6.53</v>
      </c>
      <c r="F1119" s="607" t="s">
        <v>418</v>
      </c>
      <c r="G1119" s="882" t="s">
        <v>776</v>
      </c>
    </row>
    <row r="1120" spans="1:7" s="14" customFormat="1" ht="34.5" customHeight="1" outlineLevel="2" x14ac:dyDescent="0.25">
      <c r="A1120" s="57"/>
      <c r="B1120" s="61" t="s">
        <v>259</v>
      </c>
      <c r="C1120" s="62" t="s">
        <v>116</v>
      </c>
      <c r="D1120" s="49">
        <v>10.18</v>
      </c>
      <c r="E1120" s="609">
        <f t="shared" si="17"/>
        <v>10.18</v>
      </c>
      <c r="F1120" s="607" t="s">
        <v>418</v>
      </c>
      <c r="G1120" s="882" t="s">
        <v>776</v>
      </c>
    </row>
    <row r="1121" spans="1:7" s="14" customFormat="1" ht="34.5" customHeight="1" outlineLevel="2" x14ac:dyDescent="0.25">
      <c r="A1121" s="57"/>
      <c r="B1121" s="61" t="s">
        <v>260</v>
      </c>
      <c r="C1121" s="62" t="s">
        <v>116</v>
      </c>
      <c r="D1121" s="49">
        <v>1.63</v>
      </c>
      <c r="E1121" s="609">
        <f t="shared" si="17"/>
        <v>1.63</v>
      </c>
      <c r="F1121" s="607" t="s">
        <v>418</v>
      </c>
      <c r="G1121" s="882" t="s">
        <v>776</v>
      </c>
    </row>
    <row r="1122" spans="1:7" s="14" customFormat="1" ht="34.5" customHeight="1" outlineLevel="2" x14ac:dyDescent="0.25">
      <c r="A1122" s="57"/>
      <c r="B1122" s="61" t="s">
        <v>261</v>
      </c>
      <c r="C1122" s="62" t="s">
        <v>116</v>
      </c>
      <c r="D1122" s="49">
        <v>2.4700000000000002</v>
      </c>
      <c r="E1122" s="609">
        <f t="shared" si="17"/>
        <v>2.4700000000000002</v>
      </c>
      <c r="F1122" s="607" t="s">
        <v>418</v>
      </c>
      <c r="G1122" s="882" t="s">
        <v>776</v>
      </c>
    </row>
    <row r="1123" spans="1:7" s="14" customFormat="1" ht="34.5" customHeight="1" outlineLevel="2" x14ac:dyDescent="0.25">
      <c r="A1123" s="57"/>
      <c r="B1123" s="61" t="s">
        <v>262</v>
      </c>
      <c r="C1123" s="62" t="s">
        <v>116</v>
      </c>
      <c r="D1123" s="49">
        <v>3.5</v>
      </c>
      <c r="E1123" s="609">
        <f t="shared" si="17"/>
        <v>3.5</v>
      </c>
      <c r="F1123" s="607" t="s">
        <v>418</v>
      </c>
      <c r="G1123" s="882" t="s">
        <v>776</v>
      </c>
    </row>
    <row r="1124" spans="1:7" s="14" customFormat="1" ht="34.5" customHeight="1" outlineLevel="2" x14ac:dyDescent="0.25">
      <c r="A1124" s="57"/>
      <c r="B1124" s="61" t="s">
        <v>263</v>
      </c>
      <c r="C1124" s="62" t="s">
        <v>116</v>
      </c>
      <c r="D1124" s="49">
        <v>0.71</v>
      </c>
      <c r="E1124" s="609">
        <f t="shared" si="17"/>
        <v>0.71</v>
      </c>
      <c r="F1124" s="607" t="s">
        <v>418</v>
      </c>
      <c r="G1124" s="882" t="s">
        <v>776</v>
      </c>
    </row>
    <row r="1125" spans="1:7" s="14" customFormat="1" ht="34.5" customHeight="1" outlineLevel="2" x14ac:dyDescent="0.25">
      <c r="A1125" s="57"/>
      <c r="B1125" s="61" t="s">
        <v>264</v>
      </c>
      <c r="C1125" s="62" t="s">
        <v>116</v>
      </c>
      <c r="D1125" s="49">
        <v>0.37130000000000002</v>
      </c>
      <c r="E1125" s="609">
        <f t="shared" si="17"/>
        <v>0.37130000000000002</v>
      </c>
      <c r="F1125" s="607" t="s">
        <v>418</v>
      </c>
      <c r="G1125" s="882" t="s">
        <v>776</v>
      </c>
    </row>
    <row r="1126" spans="1:7" s="14" customFormat="1" ht="34.5" customHeight="1" outlineLevel="2" x14ac:dyDescent="0.25">
      <c r="A1126" s="57"/>
      <c r="B1126" s="61" t="s">
        <v>249</v>
      </c>
      <c r="C1126" s="62" t="s">
        <v>139</v>
      </c>
      <c r="D1126" s="49">
        <v>25.391300000000001</v>
      </c>
      <c r="E1126" s="609">
        <f t="shared" si="17"/>
        <v>25.391300000000001</v>
      </c>
      <c r="F1126" s="607" t="s">
        <v>418</v>
      </c>
      <c r="G1126" s="882" t="s">
        <v>776</v>
      </c>
    </row>
    <row r="1127" spans="1:7" s="14" customFormat="1" ht="34.5" customHeight="1" outlineLevel="2" x14ac:dyDescent="0.25">
      <c r="A1127" s="57"/>
      <c r="B1127" s="61" t="s">
        <v>265</v>
      </c>
      <c r="C1127" s="63" t="s">
        <v>139</v>
      </c>
      <c r="D1127" s="49">
        <v>25.02</v>
      </c>
      <c r="E1127" s="609">
        <f t="shared" si="17"/>
        <v>25.02</v>
      </c>
      <c r="F1127" s="607" t="s">
        <v>418</v>
      </c>
      <c r="G1127" s="882" t="s">
        <v>776</v>
      </c>
    </row>
    <row r="1128" spans="1:7" s="14" customFormat="1" ht="34.5" customHeight="1" outlineLevel="2" x14ac:dyDescent="0.25">
      <c r="A1128" s="57"/>
      <c r="B1128" s="61" t="s">
        <v>253</v>
      </c>
      <c r="C1128" s="63" t="s">
        <v>10</v>
      </c>
      <c r="D1128" s="49">
        <v>2</v>
      </c>
      <c r="E1128" s="609">
        <f t="shared" si="17"/>
        <v>2</v>
      </c>
      <c r="F1128" s="607" t="s">
        <v>418</v>
      </c>
      <c r="G1128" s="882" t="s">
        <v>776</v>
      </c>
    </row>
    <row r="1129" spans="1:7" s="14" customFormat="1" ht="34.5" customHeight="1" outlineLevel="2" x14ac:dyDescent="0.25">
      <c r="A1129" s="907"/>
      <c r="B1129" s="950" t="s">
        <v>266</v>
      </c>
      <c r="C1129" s="976"/>
      <c r="D1129" s="910"/>
      <c r="E1129" s="911">
        <f t="shared" si="17"/>
        <v>0</v>
      </c>
      <c r="F1129" s="912"/>
      <c r="G1129" s="912"/>
    </row>
    <row r="1130" spans="1:7" s="14" customFormat="1" ht="29.25" customHeight="1" outlineLevel="2" x14ac:dyDescent="0.25">
      <c r="A1130" s="907"/>
      <c r="B1130" s="977" t="s">
        <v>267</v>
      </c>
      <c r="C1130" s="978" t="s">
        <v>76</v>
      </c>
      <c r="D1130" s="910">
        <v>1</v>
      </c>
      <c r="E1130" s="911">
        <f t="shared" si="17"/>
        <v>1</v>
      </c>
      <c r="F1130" s="912"/>
      <c r="G1130" s="912"/>
    </row>
    <row r="1131" spans="1:7" s="14" customFormat="1" ht="34.5" customHeight="1" outlineLevel="2" x14ac:dyDescent="0.25">
      <c r="A1131" s="57"/>
      <c r="B1131" s="67" t="s">
        <v>81</v>
      </c>
      <c r="C1131" s="66" t="s">
        <v>77</v>
      </c>
      <c r="D1131" s="49">
        <v>0.1037</v>
      </c>
      <c r="E1131" s="609">
        <f t="shared" si="17"/>
        <v>0.1037</v>
      </c>
      <c r="F1131" s="607" t="s">
        <v>418</v>
      </c>
      <c r="G1131" s="1052" t="s">
        <v>1468</v>
      </c>
    </row>
    <row r="1132" spans="1:7" s="14" customFormat="1" ht="34.5" customHeight="1" outlineLevel="2" x14ac:dyDescent="0.25">
      <c r="A1132" s="57"/>
      <c r="B1132" s="67" t="s">
        <v>85</v>
      </c>
      <c r="C1132" s="66" t="s">
        <v>77</v>
      </c>
      <c r="D1132" s="49">
        <v>0.82071999999999989</v>
      </c>
      <c r="E1132" s="609">
        <f t="shared" si="17"/>
        <v>0.82071999999999989</v>
      </c>
      <c r="F1132" s="607" t="s">
        <v>418</v>
      </c>
      <c r="G1132" s="1052" t="s">
        <v>1468</v>
      </c>
    </row>
    <row r="1133" spans="1:7" s="14" customFormat="1" ht="34.5" customHeight="1" outlineLevel="2" x14ac:dyDescent="0.25">
      <c r="A1133" s="57"/>
      <c r="B1133" s="67" t="s">
        <v>88</v>
      </c>
      <c r="C1133" s="87" t="s">
        <v>10</v>
      </c>
      <c r="D1133" s="49">
        <v>13.09</v>
      </c>
      <c r="E1133" s="609">
        <f t="shared" si="17"/>
        <v>13.09</v>
      </c>
      <c r="F1133" s="607" t="s">
        <v>418</v>
      </c>
      <c r="G1133" s="1052" t="s">
        <v>1468</v>
      </c>
    </row>
    <row r="1134" spans="1:7" s="14" customFormat="1" ht="34.5" customHeight="1" outlineLevel="2" x14ac:dyDescent="0.25">
      <c r="A1134" s="57"/>
      <c r="B1134" s="67" t="s">
        <v>150</v>
      </c>
      <c r="C1134" s="66" t="s">
        <v>57</v>
      </c>
      <c r="D1134" s="49">
        <v>0.19289999999999999</v>
      </c>
      <c r="E1134" s="609">
        <f t="shared" si="17"/>
        <v>0.19289999999999999</v>
      </c>
      <c r="F1134" s="607" t="s">
        <v>418</v>
      </c>
      <c r="G1134" s="1052" t="s">
        <v>1468</v>
      </c>
    </row>
    <row r="1135" spans="1:7" s="14" customFormat="1" ht="34.5" customHeight="1" outlineLevel="2" x14ac:dyDescent="0.25">
      <c r="A1135" s="57"/>
      <c r="B1135" s="67" t="s">
        <v>151</v>
      </c>
      <c r="C1135" s="66" t="s">
        <v>57</v>
      </c>
      <c r="D1135" s="49">
        <v>6.4299999999999996E-2</v>
      </c>
      <c r="E1135" s="609">
        <f t="shared" si="17"/>
        <v>6.4299999999999996E-2</v>
      </c>
      <c r="F1135" s="607" t="s">
        <v>418</v>
      </c>
      <c r="G1135" s="1052" t="s">
        <v>1468</v>
      </c>
    </row>
    <row r="1136" spans="1:7" s="14" customFormat="1" ht="34.5" customHeight="1" outlineLevel="1" x14ac:dyDescent="0.25">
      <c r="A1136" s="907">
        <v>3</v>
      </c>
      <c r="B1136" s="908" t="s">
        <v>268</v>
      </c>
      <c r="C1136" s="959" t="s">
        <v>134</v>
      </c>
      <c r="D1136" s="910"/>
      <c r="E1136" s="911"/>
      <c r="F1136" s="912"/>
      <c r="G1136" s="912"/>
    </row>
    <row r="1137" spans="1:8" s="14" customFormat="1" ht="34.5" customHeight="1" outlineLevel="2" x14ac:dyDescent="0.25">
      <c r="A1137" s="57"/>
      <c r="B1137" s="61" t="s">
        <v>269</v>
      </c>
      <c r="C1137" s="63" t="s">
        <v>10</v>
      </c>
      <c r="D1137" s="49">
        <v>115.23</v>
      </c>
      <c r="E1137" s="609">
        <f t="shared" si="17"/>
        <v>115.23</v>
      </c>
      <c r="F1137" s="607" t="s">
        <v>418</v>
      </c>
      <c r="G1137" s="882" t="s">
        <v>810</v>
      </c>
    </row>
    <row r="1138" spans="1:8" s="14" customFormat="1" ht="34.5" customHeight="1" outlineLevel="2" x14ac:dyDescent="0.25">
      <c r="A1138" s="907"/>
      <c r="B1138" s="908" t="s">
        <v>217</v>
      </c>
      <c r="C1138" s="979" t="s">
        <v>137</v>
      </c>
      <c r="D1138" s="910">
        <v>6</v>
      </c>
      <c r="E1138" s="911">
        <f t="shared" si="17"/>
        <v>6</v>
      </c>
      <c r="F1138" s="912"/>
      <c r="G1138" s="980"/>
    </row>
    <row r="1139" spans="1:8" s="14" customFormat="1" ht="34.5" customHeight="1" outlineLevel="2" x14ac:dyDescent="0.25">
      <c r="A1139" s="57"/>
      <c r="B1139" s="61" t="s">
        <v>270</v>
      </c>
      <c r="C1139" s="91" t="s">
        <v>124</v>
      </c>
      <c r="D1139" s="49">
        <v>175.2</v>
      </c>
      <c r="E1139" s="609">
        <f t="shared" si="17"/>
        <v>175.2</v>
      </c>
      <c r="F1139" s="607" t="s">
        <v>1496</v>
      </c>
      <c r="G1139" s="882" t="s">
        <v>810</v>
      </c>
      <c r="H1139" s="14">
        <f>diengiai</f>
        <v>175.20000000000002</v>
      </c>
    </row>
    <row r="1140" spans="1:8" s="14" customFormat="1" ht="34.5" customHeight="1" outlineLevel="2" x14ac:dyDescent="0.25">
      <c r="A1140" s="57"/>
      <c r="B1140" s="76" t="s">
        <v>271</v>
      </c>
      <c r="C1140" s="63" t="s">
        <v>124</v>
      </c>
      <c r="D1140" s="49">
        <v>209.52000000000004</v>
      </c>
      <c r="E1140" s="609">
        <f t="shared" si="17"/>
        <v>209.52000000000004</v>
      </c>
      <c r="F1140" s="607" t="s">
        <v>1497</v>
      </c>
      <c r="G1140" s="882" t="s">
        <v>810</v>
      </c>
      <c r="H1140" s="14">
        <f>diengiai</f>
        <v>208.80600000000001</v>
      </c>
    </row>
    <row r="1141" spans="1:8" s="14" customFormat="1" ht="34.5" customHeight="1" outlineLevel="2" x14ac:dyDescent="0.25">
      <c r="A1141" s="57"/>
      <c r="B1141" s="76" t="s">
        <v>272</v>
      </c>
      <c r="C1141" s="63" t="s">
        <v>124</v>
      </c>
      <c r="D1141" s="49">
        <v>20.09</v>
      </c>
      <c r="E1141" s="609">
        <f t="shared" si="17"/>
        <v>20.09</v>
      </c>
      <c r="F1141" s="607" t="s">
        <v>1498</v>
      </c>
      <c r="G1141" s="882" t="s">
        <v>810</v>
      </c>
      <c r="H1141" s="14">
        <f>diengiai</f>
        <v>20.094000000000023</v>
      </c>
    </row>
    <row r="1142" spans="1:8" s="14" customFormat="1" ht="34.5" customHeight="1" outlineLevel="2" x14ac:dyDescent="0.25">
      <c r="A1142" s="57"/>
      <c r="B1142" s="76" t="s">
        <v>222</v>
      </c>
      <c r="C1142" s="63" t="s">
        <v>126</v>
      </c>
      <c r="D1142" s="49">
        <v>71.499566250000015</v>
      </c>
      <c r="E1142" s="609">
        <f t="shared" si="17"/>
        <v>71.499566250000015</v>
      </c>
      <c r="F1142" s="607" t="s">
        <v>1499</v>
      </c>
      <c r="G1142" s="882" t="s">
        <v>810</v>
      </c>
      <c r="H1142" s="14">
        <f>diengiai</f>
        <v>715.36538726454296</v>
      </c>
    </row>
    <row r="1143" spans="1:8" s="14" customFormat="1" ht="34.5" customHeight="1" outlineLevel="2" x14ac:dyDescent="0.25">
      <c r="A1143" s="57"/>
      <c r="B1143" s="61" t="s">
        <v>273</v>
      </c>
      <c r="C1143" s="62" t="s">
        <v>139</v>
      </c>
      <c r="D1143" s="49">
        <v>3.92</v>
      </c>
      <c r="E1143" s="609">
        <f t="shared" si="17"/>
        <v>3.92</v>
      </c>
      <c r="F1143" s="607" t="s">
        <v>1500</v>
      </c>
      <c r="G1143" s="882" t="s">
        <v>810</v>
      </c>
      <c r="H1143" s="14">
        <f>diengiai</f>
        <v>3.9458403729087803</v>
      </c>
    </row>
    <row r="1144" spans="1:8" s="14" customFormat="1" ht="34.5" customHeight="1" outlineLevel="2" x14ac:dyDescent="0.25">
      <c r="A1144" s="57"/>
      <c r="B1144" s="61" t="s">
        <v>274</v>
      </c>
      <c r="C1144" s="62" t="s">
        <v>124</v>
      </c>
      <c r="D1144" s="49">
        <v>60</v>
      </c>
      <c r="E1144" s="609">
        <f t="shared" si="17"/>
        <v>60</v>
      </c>
      <c r="F1144" s="607" t="s">
        <v>1501</v>
      </c>
      <c r="G1144" s="882" t="s">
        <v>810</v>
      </c>
    </row>
    <row r="1145" spans="1:8" s="14" customFormat="1" ht="34.5" customHeight="1" outlineLevel="2" x14ac:dyDescent="0.25">
      <c r="A1145" s="57"/>
      <c r="B1145" s="61" t="s">
        <v>228</v>
      </c>
      <c r="C1145" s="62" t="s">
        <v>57</v>
      </c>
      <c r="D1145" s="49">
        <v>0.6</v>
      </c>
      <c r="E1145" s="609">
        <f t="shared" si="17"/>
        <v>0.6</v>
      </c>
      <c r="F1145" s="607" t="s">
        <v>1502</v>
      </c>
      <c r="G1145" s="882" t="s">
        <v>810</v>
      </c>
    </row>
    <row r="1146" spans="1:8" s="14" customFormat="1" ht="34.5" customHeight="1" outlineLevel="2" x14ac:dyDescent="0.25">
      <c r="A1146" s="57"/>
      <c r="B1146" s="61" t="s">
        <v>229</v>
      </c>
      <c r="C1146" s="62" t="s">
        <v>137</v>
      </c>
      <c r="D1146" s="49">
        <v>6</v>
      </c>
      <c r="E1146" s="609">
        <f t="shared" si="17"/>
        <v>6</v>
      </c>
      <c r="F1146" s="607" t="s">
        <v>1503</v>
      </c>
      <c r="G1146" s="882" t="s">
        <v>810</v>
      </c>
    </row>
    <row r="1147" spans="1:8" s="14" customFormat="1" ht="34.5" customHeight="1" outlineLevel="2" x14ac:dyDescent="0.25">
      <c r="A1147" s="57"/>
      <c r="B1147" s="61" t="s">
        <v>230</v>
      </c>
      <c r="C1147" s="62" t="s">
        <v>138</v>
      </c>
      <c r="D1147" s="49">
        <v>36</v>
      </c>
      <c r="E1147" s="609">
        <f t="shared" si="17"/>
        <v>36</v>
      </c>
      <c r="F1147" s="607" t="s">
        <v>1504</v>
      </c>
      <c r="G1147" s="882" t="s">
        <v>810</v>
      </c>
    </row>
    <row r="1148" spans="1:8" s="14" customFormat="1" ht="34.5" customHeight="1" outlineLevel="2" x14ac:dyDescent="0.25">
      <c r="A1148" s="57"/>
      <c r="B1148" s="61" t="s">
        <v>275</v>
      </c>
      <c r="C1148" s="62" t="s">
        <v>10</v>
      </c>
      <c r="D1148" s="49">
        <v>13.57</v>
      </c>
      <c r="E1148" s="609">
        <f t="shared" si="17"/>
        <v>13.57</v>
      </c>
      <c r="F1148" s="607" t="s">
        <v>1505</v>
      </c>
      <c r="G1148" s="882" t="s">
        <v>810</v>
      </c>
      <c r="H1148" s="14">
        <f>diengiai</f>
        <v>13.571680263507908</v>
      </c>
    </row>
    <row r="1149" spans="1:8" s="14" customFormat="1" ht="34.5" customHeight="1" outlineLevel="2" x14ac:dyDescent="0.25">
      <c r="A1149" s="57"/>
      <c r="B1149" s="61" t="s">
        <v>276</v>
      </c>
      <c r="C1149" s="62" t="s">
        <v>10</v>
      </c>
      <c r="D1149" s="49">
        <v>715.35</v>
      </c>
      <c r="E1149" s="609">
        <f t="shared" si="17"/>
        <v>715.35</v>
      </c>
      <c r="F1149" s="607" t="s">
        <v>1506</v>
      </c>
      <c r="G1149" s="882" t="s">
        <v>810</v>
      </c>
      <c r="H1149" s="14">
        <f>diengiai</f>
        <v>715.36538726454296</v>
      </c>
    </row>
    <row r="1150" spans="1:8" s="14" customFormat="1" ht="57" customHeight="1" outlineLevel="2" x14ac:dyDescent="0.25">
      <c r="A1150" s="907"/>
      <c r="B1150" s="981" t="s">
        <v>277</v>
      </c>
      <c r="C1150" s="959"/>
      <c r="D1150" s="965"/>
      <c r="E1150" s="911"/>
      <c r="F1150" s="912"/>
      <c r="G1150" s="912"/>
    </row>
    <row r="1151" spans="1:8" s="14" customFormat="1" ht="34.5" customHeight="1" outlineLevel="2" x14ac:dyDescent="0.25">
      <c r="A1151" s="57"/>
      <c r="B1151" s="61" t="s">
        <v>278</v>
      </c>
      <c r="C1151" s="62" t="s">
        <v>77</v>
      </c>
      <c r="D1151" s="49">
        <v>0.35</v>
      </c>
      <c r="E1151" s="609">
        <f t="shared" si="17"/>
        <v>0.35</v>
      </c>
      <c r="F1151" s="607" t="s">
        <v>418</v>
      </c>
      <c r="G1151" s="882" t="s">
        <v>810</v>
      </c>
    </row>
    <row r="1152" spans="1:8" s="14" customFormat="1" ht="34.5" customHeight="1" outlineLevel="2" x14ac:dyDescent="0.25">
      <c r="A1152" s="57"/>
      <c r="B1152" s="68" t="s">
        <v>279</v>
      </c>
      <c r="C1152" s="66" t="s">
        <v>77</v>
      </c>
      <c r="D1152" s="49">
        <v>0.35</v>
      </c>
      <c r="E1152" s="609">
        <f t="shared" si="17"/>
        <v>0.35</v>
      </c>
      <c r="F1152" s="607" t="s">
        <v>418</v>
      </c>
      <c r="G1152" s="882" t="s">
        <v>810</v>
      </c>
    </row>
    <row r="1153" spans="1:7" s="14" customFormat="1" ht="34.5" customHeight="1" outlineLevel="2" x14ac:dyDescent="0.25">
      <c r="A1153" s="57"/>
      <c r="B1153" s="68" t="s">
        <v>280</v>
      </c>
      <c r="C1153" s="66" t="s">
        <v>77</v>
      </c>
      <c r="D1153" s="49">
        <v>0.35</v>
      </c>
      <c r="E1153" s="609">
        <f t="shared" si="17"/>
        <v>0.35</v>
      </c>
      <c r="F1153" s="607" t="s">
        <v>418</v>
      </c>
      <c r="G1153" s="882" t="s">
        <v>810</v>
      </c>
    </row>
    <row r="1154" spans="1:7" s="14" customFormat="1" ht="34.5" customHeight="1" outlineLevel="2" x14ac:dyDescent="0.25">
      <c r="A1154" s="907"/>
      <c r="B1154" s="908" t="s">
        <v>233</v>
      </c>
      <c r="C1154" s="951"/>
      <c r="D1154" s="910"/>
      <c r="E1154" s="911"/>
      <c r="F1154" s="912"/>
      <c r="G1154" s="980"/>
    </row>
    <row r="1155" spans="1:7" s="14" customFormat="1" ht="34.5" customHeight="1" outlineLevel="2" x14ac:dyDescent="0.25">
      <c r="A1155" s="57"/>
      <c r="B1155" s="61" t="s">
        <v>281</v>
      </c>
      <c r="C1155" s="63" t="s">
        <v>10</v>
      </c>
      <c r="D1155" s="49">
        <v>480.63</v>
      </c>
      <c r="E1155" s="609">
        <f t="shared" si="17"/>
        <v>480.63</v>
      </c>
      <c r="F1155" s="607" t="s">
        <v>418</v>
      </c>
      <c r="G1155" s="882" t="s">
        <v>810</v>
      </c>
    </row>
    <row r="1156" spans="1:7" s="14" customFormat="1" ht="34.5" customHeight="1" outlineLevel="2" x14ac:dyDescent="0.25">
      <c r="A1156" s="57"/>
      <c r="B1156" s="61" t="s">
        <v>282</v>
      </c>
      <c r="C1156" s="62" t="s">
        <v>121</v>
      </c>
      <c r="D1156" s="49">
        <v>1.8894</v>
      </c>
      <c r="E1156" s="609">
        <f t="shared" si="17"/>
        <v>1.8894</v>
      </c>
      <c r="F1156" s="607" t="s">
        <v>418</v>
      </c>
      <c r="G1156" s="882" t="s">
        <v>810</v>
      </c>
    </row>
    <row r="1157" spans="1:7" s="14" customFormat="1" ht="34.5" customHeight="1" outlineLevel="2" x14ac:dyDescent="0.25">
      <c r="A1157" s="57"/>
      <c r="B1157" s="61" t="s">
        <v>283</v>
      </c>
      <c r="C1157" s="62" t="s">
        <v>10</v>
      </c>
      <c r="D1157" s="49">
        <v>60.56</v>
      </c>
      <c r="E1157" s="609">
        <f t="shared" si="17"/>
        <v>60.56</v>
      </c>
      <c r="F1157" s="607" t="s">
        <v>418</v>
      </c>
      <c r="G1157" s="882" t="s">
        <v>810</v>
      </c>
    </row>
    <row r="1158" spans="1:7" s="14" customFormat="1" ht="34.5" customHeight="1" outlineLevel="2" x14ac:dyDescent="0.25">
      <c r="A1158" s="57"/>
      <c r="B1158" s="61" t="s">
        <v>284</v>
      </c>
      <c r="C1158" s="63" t="s">
        <v>124</v>
      </c>
      <c r="D1158" s="49">
        <v>638.4</v>
      </c>
      <c r="E1158" s="609">
        <f t="shared" si="17"/>
        <v>638.4</v>
      </c>
      <c r="F1158" s="607" t="s">
        <v>418</v>
      </c>
      <c r="G1158" s="882" t="s">
        <v>810</v>
      </c>
    </row>
    <row r="1159" spans="1:7" s="14" customFormat="1" ht="34.5" customHeight="1" outlineLevel="2" x14ac:dyDescent="0.25">
      <c r="A1159" s="57"/>
      <c r="B1159" s="61" t="s">
        <v>285</v>
      </c>
      <c r="C1159" s="63" t="s">
        <v>124</v>
      </c>
      <c r="D1159" s="49">
        <v>57</v>
      </c>
      <c r="E1159" s="609">
        <f t="shared" si="17"/>
        <v>57</v>
      </c>
      <c r="F1159" s="607" t="s">
        <v>418</v>
      </c>
      <c r="G1159" s="882" t="s">
        <v>810</v>
      </c>
    </row>
    <row r="1160" spans="1:7" s="14" customFormat="1" ht="34.5" customHeight="1" outlineLevel="2" x14ac:dyDescent="0.25">
      <c r="A1160" s="57"/>
      <c r="B1160" s="61" t="s">
        <v>286</v>
      </c>
      <c r="C1160" s="63" t="s">
        <v>116</v>
      </c>
      <c r="D1160" s="49">
        <v>1.6999999999999997</v>
      </c>
      <c r="E1160" s="609">
        <f t="shared" si="17"/>
        <v>1.6999999999999997</v>
      </c>
      <c r="F1160" s="607" t="s">
        <v>418</v>
      </c>
      <c r="G1160" s="882" t="s">
        <v>810</v>
      </c>
    </row>
    <row r="1161" spans="1:7" s="14" customFormat="1" ht="34.5" customHeight="1" outlineLevel="2" x14ac:dyDescent="0.25">
      <c r="A1161" s="57"/>
      <c r="B1161" s="61" t="s">
        <v>253</v>
      </c>
      <c r="C1161" s="63" t="s">
        <v>10</v>
      </c>
      <c r="D1161" s="49">
        <v>1</v>
      </c>
      <c r="E1161" s="609">
        <f t="shared" si="17"/>
        <v>1</v>
      </c>
      <c r="F1161" s="607" t="s">
        <v>418</v>
      </c>
      <c r="G1161" s="882" t="s">
        <v>810</v>
      </c>
    </row>
    <row r="1162" spans="1:7" s="14" customFormat="1" ht="34.5" customHeight="1" outlineLevel="2" x14ac:dyDescent="0.25">
      <c r="A1162" s="907"/>
      <c r="B1162" s="908" t="s">
        <v>287</v>
      </c>
      <c r="C1162" s="951"/>
      <c r="D1162" s="910"/>
      <c r="E1162" s="911"/>
      <c r="F1162" s="912"/>
      <c r="G1162" s="980"/>
    </row>
    <row r="1163" spans="1:7" s="14" customFormat="1" ht="34.5" customHeight="1" outlineLevel="2" x14ac:dyDescent="0.25">
      <c r="A1163" s="57"/>
      <c r="B1163" s="61" t="s">
        <v>288</v>
      </c>
      <c r="C1163" s="62" t="s">
        <v>116</v>
      </c>
      <c r="D1163" s="49">
        <v>4.08</v>
      </c>
      <c r="E1163" s="609">
        <f t="shared" si="17"/>
        <v>4.08</v>
      </c>
      <c r="F1163" s="607" t="s">
        <v>418</v>
      </c>
      <c r="G1163" s="882" t="s">
        <v>810</v>
      </c>
    </row>
    <row r="1164" spans="1:7" s="14" customFormat="1" ht="34.5" customHeight="1" outlineLevel="2" x14ac:dyDescent="0.25">
      <c r="A1164" s="57"/>
      <c r="B1164" s="61" t="s">
        <v>289</v>
      </c>
      <c r="C1164" s="62" t="s">
        <v>116</v>
      </c>
      <c r="D1164" s="49">
        <v>6.68</v>
      </c>
      <c r="E1164" s="609">
        <f t="shared" si="17"/>
        <v>6.68</v>
      </c>
      <c r="F1164" s="607" t="s">
        <v>418</v>
      </c>
      <c r="G1164" s="882" t="s">
        <v>810</v>
      </c>
    </row>
    <row r="1165" spans="1:7" s="14" customFormat="1" ht="34.5" customHeight="1" outlineLevel="2" x14ac:dyDescent="0.25">
      <c r="A1165" s="57"/>
      <c r="B1165" s="61" t="s">
        <v>290</v>
      </c>
      <c r="C1165" s="62" t="s">
        <v>116</v>
      </c>
      <c r="D1165" s="49">
        <v>13.149999999999999</v>
      </c>
      <c r="E1165" s="609">
        <f t="shared" si="17"/>
        <v>13.149999999999999</v>
      </c>
      <c r="F1165" s="607" t="s">
        <v>418</v>
      </c>
      <c r="G1165" s="882" t="s">
        <v>810</v>
      </c>
    </row>
    <row r="1166" spans="1:7" s="14" customFormat="1" ht="34.5" customHeight="1" outlineLevel="2" x14ac:dyDescent="0.25">
      <c r="A1166" s="57"/>
      <c r="B1166" s="61" t="s">
        <v>291</v>
      </c>
      <c r="C1166" s="62" t="s">
        <v>139</v>
      </c>
      <c r="D1166" s="49">
        <v>23.909999999999997</v>
      </c>
      <c r="E1166" s="609">
        <f t="shared" si="17"/>
        <v>23.909999999999997</v>
      </c>
      <c r="F1166" s="607" t="s">
        <v>418</v>
      </c>
      <c r="G1166" s="882" t="s">
        <v>810</v>
      </c>
    </row>
    <row r="1167" spans="1:7" s="14" customFormat="1" ht="34.5" customHeight="1" outlineLevel="2" x14ac:dyDescent="0.25">
      <c r="A1167" s="57"/>
      <c r="B1167" s="61" t="s">
        <v>292</v>
      </c>
      <c r="C1167" s="63" t="s">
        <v>139</v>
      </c>
      <c r="D1167" s="49">
        <v>23.909999999999997</v>
      </c>
      <c r="E1167" s="609">
        <f t="shared" si="17"/>
        <v>23.909999999999997</v>
      </c>
      <c r="F1167" s="607" t="s">
        <v>418</v>
      </c>
      <c r="G1167" s="882" t="s">
        <v>810</v>
      </c>
    </row>
    <row r="1168" spans="1:7" s="14" customFormat="1" ht="34.5" customHeight="1" outlineLevel="2" x14ac:dyDescent="0.25">
      <c r="A1168" s="57"/>
      <c r="B1168" s="61" t="s">
        <v>253</v>
      </c>
      <c r="C1168" s="63" t="s">
        <v>10</v>
      </c>
      <c r="D1168" s="49">
        <v>2</v>
      </c>
      <c r="E1168" s="609">
        <f t="shared" ref="E1168:E1231" si="18">D1168</f>
        <v>2</v>
      </c>
      <c r="F1168" s="607" t="s">
        <v>418</v>
      </c>
      <c r="G1168" s="882" t="s">
        <v>810</v>
      </c>
    </row>
    <row r="1169" spans="1:8" s="14" customFormat="1" ht="34.5" customHeight="1" outlineLevel="2" x14ac:dyDescent="0.25">
      <c r="A1169" s="907"/>
      <c r="B1169" s="950" t="s">
        <v>293</v>
      </c>
      <c r="C1169" s="976"/>
      <c r="D1169" s="910"/>
      <c r="E1169" s="911">
        <f t="shared" si="18"/>
        <v>0</v>
      </c>
      <c r="F1169" s="912"/>
      <c r="G1169" s="912"/>
    </row>
    <row r="1170" spans="1:8" s="14" customFormat="1" ht="34.5" customHeight="1" outlineLevel="2" x14ac:dyDescent="0.25">
      <c r="A1170" s="907"/>
      <c r="B1170" s="977" t="s">
        <v>142</v>
      </c>
      <c r="C1170" s="978" t="s">
        <v>76</v>
      </c>
      <c r="D1170" s="910">
        <v>1</v>
      </c>
      <c r="E1170" s="911">
        <f t="shared" si="18"/>
        <v>1</v>
      </c>
      <c r="F1170" s="912"/>
      <c r="G1170" s="912"/>
    </row>
    <row r="1171" spans="1:8" s="14" customFormat="1" ht="34.5" customHeight="1" outlineLevel="2" x14ac:dyDescent="0.25">
      <c r="A1171" s="57"/>
      <c r="B1171" s="67" t="s">
        <v>81</v>
      </c>
      <c r="C1171" s="66" t="s">
        <v>77</v>
      </c>
      <c r="D1171" s="49">
        <v>5.8660000000000004E-2</v>
      </c>
      <c r="E1171" s="609">
        <f t="shared" si="18"/>
        <v>5.8660000000000004E-2</v>
      </c>
      <c r="F1171" s="607" t="s">
        <v>418</v>
      </c>
      <c r="G1171" s="1052" t="s">
        <v>1468</v>
      </c>
    </row>
    <row r="1172" spans="1:8" s="14" customFormat="1" ht="34.5" customHeight="1" outlineLevel="2" x14ac:dyDescent="0.25">
      <c r="A1172" s="57"/>
      <c r="B1172" s="67" t="s">
        <v>85</v>
      </c>
      <c r="C1172" s="66" t="s">
        <v>77</v>
      </c>
      <c r="D1172" s="49">
        <v>0.41439999999999999</v>
      </c>
      <c r="E1172" s="609">
        <f t="shared" si="18"/>
        <v>0.41439999999999999</v>
      </c>
      <c r="F1172" s="607" t="s">
        <v>418</v>
      </c>
      <c r="G1172" s="1052" t="s">
        <v>1468</v>
      </c>
    </row>
    <row r="1173" spans="1:8" s="14" customFormat="1" ht="34.5" customHeight="1" outlineLevel="2" x14ac:dyDescent="0.25">
      <c r="A1173" s="57"/>
      <c r="B1173" s="67" t="s">
        <v>88</v>
      </c>
      <c r="C1173" s="87" t="s">
        <v>10</v>
      </c>
      <c r="D1173" s="49">
        <v>6.57</v>
      </c>
      <c r="E1173" s="609">
        <f t="shared" si="18"/>
        <v>6.57</v>
      </c>
      <c r="F1173" s="607" t="s">
        <v>418</v>
      </c>
      <c r="G1173" s="1052" t="s">
        <v>1468</v>
      </c>
    </row>
    <row r="1174" spans="1:8" s="14" customFormat="1" ht="34.5" customHeight="1" outlineLevel="2" x14ac:dyDescent="0.25">
      <c r="A1174" s="57"/>
      <c r="B1174" s="67" t="s">
        <v>150</v>
      </c>
      <c r="C1174" s="66" t="s">
        <v>57</v>
      </c>
      <c r="D1174" s="49">
        <v>9.3599999999999989E-2</v>
      </c>
      <c r="E1174" s="609">
        <f t="shared" si="18"/>
        <v>9.3599999999999989E-2</v>
      </c>
      <c r="F1174" s="607" t="s">
        <v>418</v>
      </c>
      <c r="G1174" s="1052" t="s">
        <v>1468</v>
      </c>
    </row>
    <row r="1175" spans="1:8" s="14" customFormat="1" ht="34.5" customHeight="1" outlineLevel="2" x14ac:dyDescent="0.25">
      <c r="A1175" s="57"/>
      <c r="B1175" s="67" t="s">
        <v>151</v>
      </c>
      <c r="C1175" s="66" t="s">
        <v>57</v>
      </c>
      <c r="D1175" s="49">
        <v>3.1200000000000002E-2</v>
      </c>
      <c r="E1175" s="609">
        <f t="shared" si="18"/>
        <v>3.1200000000000002E-2</v>
      </c>
      <c r="F1175" s="607" t="s">
        <v>418</v>
      </c>
      <c r="G1175" s="1052" t="s">
        <v>1468</v>
      </c>
    </row>
    <row r="1176" spans="1:8" s="14" customFormat="1" ht="34.5" customHeight="1" outlineLevel="1" x14ac:dyDescent="0.25">
      <c r="A1176" s="907">
        <v>5</v>
      </c>
      <c r="B1176" s="982" t="s">
        <v>294</v>
      </c>
      <c r="C1176" s="983" t="s">
        <v>134</v>
      </c>
      <c r="D1176" s="910"/>
      <c r="E1176" s="911">
        <f t="shared" si="18"/>
        <v>0</v>
      </c>
      <c r="F1176" s="912"/>
      <c r="G1176" s="912"/>
    </row>
    <row r="1177" spans="1:8" s="14" customFormat="1" ht="34.5" customHeight="1" outlineLevel="2" x14ac:dyDescent="0.25">
      <c r="A1177" s="907"/>
      <c r="B1177" s="969" t="s">
        <v>217</v>
      </c>
      <c r="C1177" s="984" t="s">
        <v>137</v>
      </c>
      <c r="D1177" s="910"/>
      <c r="E1177" s="911">
        <f t="shared" si="18"/>
        <v>0</v>
      </c>
      <c r="F1177" s="912"/>
      <c r="G1177" s="980"/>
    </row>
    <row r="1178" spans="1:8" s="14" customFormat="1" ht="34.5" customHeight="1" outlineLevel="2" x14ac:dyDescent="0.25">
      <c r="A1178" s="57"/>
      <c r="B1178" s="96" t="s">
        <v>295</v>
      </c>
      <c r="C1178" s="97" t="s">
        <v>124</v>
      </c>
      <c r="D1178" s="49">
        <v>261.48</v>
      </c>
      <c r="E1178" s="609">
        <f t="shared" si="18"/>
        <v>261.48</v>
      </c>
      <c r="F1178" s="607" t="s">
        <v>418</v>
      </c>
      <c r="G1178" s="882" t="s">
        <v>902</v>
      </c>
    </row>
    <row r="1179" spans="1:8" s="14" customFormat="1" ht="34.5" customHeight="1" outlineLevel="2" x14ac:dyDescent="0.25">
      <c r="A1179" s="57"/>
      <c r="B1179" s="96" t="s">
        <v>296</v>
      </c>
      <c r="C1179" s="97" t="s">
        <v>126</v>
      </c>
      <c r="D1179" s="49">
        <v>29.573</v>
      </c>
      <c r="E1179" s="609">
        <f t="shared" si="18"/>
        <v>29.573</v>
      </c>
      <c r="F1179" s="607" t="s">
        <v>418</v>
      </c>
      <c r="G1179" s="882" t="s">
        <v>902</v>
      </c>
    </row>
    <row r="1180" spans="1:8" s="14" customFormat="1" ht="34.5" customHeight="1" outlineLevel="2" x14ac:dyDescent="0.25">
      <c r="A1180" s="57"/>
      <c r="B1180" s="100" t="s">
        <v>297</v>
      </c>
      <c r="C1180" s="102" t="s">
        <v>139</v>
      </c>
      <c r="D1180" s="49">
        <v>2.58</v>
      </c>
      <c r="E1180" s="609">
        <f t="shared" si="18"/>
        <v>2.58</v>
      </c>
      <c r="F1180" s="607" t="s">
        <v>1478</v>
      </c>
      <c r="G1180" s="882" t="s">
        <v>902</v>
      </c>
      <c r="H1180" s="14">
        <f>diengiai</f>
        <v>2.5647962423907069</v>
      </c>
    </row>
    <row r="1181" spans="1:8" s="14" customFormat="1" ht="34.5" customHeight="1" outlineLevel="2" x14ac:dyDescent="0.25">
      <c r="A1181" s="57"/>
      <c r="B1181" s="100" t="s">
        <v>298</v>
      </c>
      <c r="C1181" s="101" t="s">
        <v>124</v>
      </c>
      <c r="D1181" s="49">
        <v>32</v>
      </c>
      <c r="E1181" s="609">
        <f t="shared" si="18"/>
        <v>32</v>
      </c>
      <c r="F1181" s="607" t="s">
        <v>1479</v>
      </c>
      <c r="G1181" s="882" t="s">
        <v>902</v>
      </c>
    </row>
    <row r="1182" spans="1:8" s="14" customFormat="1" ht="34.5" customHeight="1" outlineLevel="2" x14ac:dyDescent="0.25">
      <c r="A1182" s="57"/>
      <c r="B1182" s="100" t="s">
        <v>228</v>
      </c>
      <c r="C1182" s="102" t="s">
        <v>57</v>
      </c>
      <c r="D1182" s="49">
        <v>0.32</v>
      </c>
      <c r="E1182" s="609">
        <f t="shared" si="18"/>
        <v>0.32</v>
      </c>
      <c r="F1182" s="607" t="s">
        <v>1480</v>
      </c>
      <c r="G1182" s="882" t="s">
        <v>902</v>
      </c>
    </row>
    <row r="1183" spans="1:8" s="14" customFormat="1" ht="34.5" customHeight="1" outlineLevel="2" x14ac:dyDescent="0.25">
      <c r="A1183" s="57"/>
      <c r="B1183" s="100" t="s">
        <v>229</v>
      </c>
      <c r="C1183" s="102" t="s">
        <v>137</v>
      </c>
      <c r="D1183" s="49">
        <v>1</v>
      </c>
      <c r="E1183" s="609">
        <f t="shared" si="18"/>
        <v>1</v>
      </c>
      <c r="F1183" s="607" t="s">
        <v>1481</v>
      </c>
      <c r="G1183" s="882" t="s">
        <v>902</v>
      </c>
    </row>
    <row r="1184" spans="1:8" s="14" customFormat="1" ht="34.5" customHeight="1" outlineLevel="2" x14ac:dyDescent="0.25">
      <c r="A1184" s="57"/>
      <c r="B1184" s="100" t="s">
        <v>230</v>
      </c>
      <c r="C1184" s="102" t="s">
        <v>138</v>
      </c>
      <c r="D1184" s="49">
        <v>16</v>
      </c>
      <c r="E1184" s="609">
        <f t="shared" si="18"/>
        <v>16</v>
      </c>
      <c r="F1184" s="607" t="s">
        <v>1482</v>
      </c>
      <c r="G1184" s="882" t="s">
        <v>902</v>
      </c>
    </row>
    <row r="1185" spans="1:8" s="14" customFormat="1" ht="34.5" customHeight="1" outlineLevel="2" x14ac:dyDescent="0.25">
      <c r="A1185" s="57"/>
      <c r="B1185" s="100" t="s">
        <v>275</v>
      </c>
      <c r="C1185" s="102" t="s">
        <v>10</v>
      </c>
      <c r="D1185" s="49">
        <v>4.5199999999999996</v>
      </c>
      <c r="E1185" s="609">
        <f t="shared" si="18"/>
        <v>4.5199999999999996</v>
      </c>
      <c r="F1185" s="607" t="s">
        <v>1483</v>
      </c>
      <c r="G1185" s="882" t="s">
        <v>902</v>
      </c>
      <c r="H1185" s="14">
        <f>diengiai</f>
        <v>4.5238934211693023</v>
      </c>
    </row>
    <row r="1186" spans="1:8" s="14" customFormat="1" ht="34.5" customHeight="1" outlineLevel="2" x14ac:dyDescent="0.25">
      <c r="A1186" s="57"/>
      <c r="B1186" s="100" t="s">
        <v>276</v>
      </c>
      <c r="C1186" s="102" t="s">
        <v>10</v>
      </c>
      <c r="D1186" s="49">
        <v>297.08</v>
      </c>
      <c r="E1186" s="609">
        <f t="shared" si="18"/>
        <v>297.08</v>
      </c>
      <c r="F1186" s="607" t="s">
        <v>1484</v>
      </c>
      <c r="G1186" s="882" t="s">
        <v>902</v>
      </c>
      <c r="H1186" s="14">
        <f>diengiai</f>
        <v>297.07955707476691</v>
      </c>
    </row>
    <row r="1187" spans="1:8" s="14" customFormat="1" ht="34.5" customHeight="1" outlineLevel="2" x14ac:dyDescent="0.25">
      <c r="A1187" s="907"/>
      <c r="B1187" s="949" t="s">
        <v>233</v>
      </c>
      <c r="C1187" s="971"/>
      <c r="D1187" s="910"/>
      <c r="E1187" s="911"/>
      <c r="F1187" s="912"/>
      <c r="G1187" s="980"/>
    </row>
    <row r="1188" spans="1:8" s="14" customFormat="1" ht="34.5" customHeight="1" outlineLevel="2" x14ac:dyDescent="0.25">
      <c r="A1188" s="57"/>
      <c r="B1188" s="100" t="s">
        <v>299</v>
      </c>
      <c r="C1188" s="97" t="s">
        <v>10</v>
      </c>
      <c r="D1188" s="49">
        <v>492.53</v>
      </c>
      <c r="E1188" s="609">
        <f t="shared" si="18"/>
        <v>492.53</v>
      </c>
      <c r="F1188" s="607" t="s">
        <v>418</v>
      </c>
      <c r="G1188" s="882" t="s">
        <v>902</v>
      </c>
    </row>
    <row r="1189" spans="1:8" s="14" customFormat="1" ht="34.5" customHeight="1" outlineLevel="2" x14ac:dyDescent="0.25">
      <c r="A1189" s="57"/>
      <c r="B1189" s="100" t="s">
        <v>282</v>
      </c>
      <c r="C1189" s="102" t="s">
        <v>121</v>
      </c>
      <c r="D1189" s="49">
        <v>1.881</v>
      </c>
      <c r="E1189" s="609">
        <f t="shared" si="18"/>
        <v>1.881</v>
      </c>
      <c r="F1189" s="607" t="s">
        <v>418</v>
      </c>
      <c r="G1189" s="882" t="s">
        <v>902</v>
      </c>
    </row>
    <row r="1190" spans="1:8" s="14" customFormat="1" ht="34.5" customHeight="1" outlineLevel="2" x14ac:dyDescent="0.25">
      <c r="A1190" s="907"/>
      <c r="B1190" s="949" t="s">
        <v>287</v>
      </c>
      <c r="C1190" s="985" t="s">
        <v>77</v>
      </c>
      <c r="D1190" s="910"/>
      <c r="E1190" s="911"/>
      <c r="F1190" s="912"/>
      <c r="G1190" s="980"/>
    </row>
    <row r="1191" spans="1:8" s="14" customFormat="1" ht="34.5" customHeight="1" outlineLevel="2" x14ac:dyDescent="0.25">
      <c r="A1191" s="57"/>
      <c r="B1191" s="100" t="s">
        <v>300</v>
      </c>
      <c r="C1191" s="97" t="s">
        <v>116</v>
      </c>
      <c r="D1191" s="49">
        <v>10.08</v>
      </c>
      <c r="E1191" s="609">
        <f t="shared" si="18"/>
        <v>10.08</v>
      </c>
      <c r="F1191" s="607" t="s">
        <v>418</v>
      </c>
      <c r="G1191" s="882" t="s">
        <v>902</v>
      </c>
    </row>
    <row r="1192" spans="1:8" s="14" customFormat="1" ht="34.5" customHeight="1" outlineLevel="2" x14ac:dyDescent="0.25">
      <c r="A1192" s="57"/>
      <c r="B1192" s="100" t="s">
        <v>301</v>
      </c>
      <c r="C1192" s="97" t="s">
        <v>10</v>
      </c>
      <c r="D1192" s="49">
        <v>1.6</v>
      </c>
      <c r="E1192" s="609">
        <f t="shared" si="18"/>
        <v>1.6</v>
      </c>
      <c r="F1192" s="607" t="s">
        <v>418</v>
      </c>
      <c r="G1192" s="882" t="s">
        <v>902</v>
      </c>
    </row>
    <row r="1193" spans="1:8" s="14" customFormat="1" ht="48.75" customHeight="1" outlineLevel="2" x14ac:dyDescent="0.25">
      <c r="A1193" s="77"/>
      <c r="B1193" s="1053" t="s">
        <v>302</v>
      </c>
      <c r="C1193" s="1054"/>
      <c r="D1193" s="55"/>
      <c r="E1193" s="1055"/>
      <c r="F1193" s="1056"/>
      <c r="G1193" s="1056"/>
    </row>
    <row r="1194" spans="1:8" s="14" customFormat="1" ht="34.5" customHeight="1" outlineLevel="2" x14ac:dyDescent="0.25">
      <c r="A1194" s="57"/>
      <c r="B1194" s="100" t="s">
        <v>278</v>
      </c>
      <c r="C1194" s="102" t="s">
        <v>77</v>
      </c>
      <c r="D1194" s="49">
        <v>0.25</v>
      </c>
      <c r="E1194" s="609">
        <f t="shared" si="18"/>
        <v>0.25</v>
      </c>
      <c r="F1194" s="607" t="s">
        <v>1485</v>
      </c>
      <c r="G1194" s="607" t="s">
        <v>1471</v>
      </c>
      <c r="H1194" s="631">
        <f>diengiai</f>
        <v>0.24127981211953536</v>
      </c>
    </row>
    <row r="1195" spans="1:8" s="14" customFormat="1" ht="42.75" customHeight="1" outlineLevel="2" x14ac:dyDescent="0.25">
      <c r="A1195" s="57"/>
      <c r="B1195" s="68" t="s">
        <v>279</v>
      </c>
      <c r="C1195" s="66" t="s">
        <v>77</v>
      </c>
      <c r="D1195" s="49">
        <v>0.25</v>
      </c>
      <c r="E1195" s="609">
        <f t="shared" si="18"/>
        <v>0.25</v>
      </c>
      <c r="F1195" s="607" t="s">
        <v>1485</v>
      </c>
      <c r="G1195" s="607" t="s">
        <v>1471</v>
      </c>
    </row>
    <row r="1196" spans="1:8" s="14" customFormat="1" ht="42.75" customHeight="1" outlineLevel="2" x14ac:dyDescent="0.25">
      <c r="A1196" s="57"/>
      <c r="B1196" s="68" t="s">
        <v>280</v>
      </c>
      <c r="C1196" s="66" t="s">
        <v>77</v>
      </c>
      <c r="D1196" s="49">
        <v>0.25</v>
      </c>
      <c r="E1196" s="609">
        <f t="shared" si="18"/>
        <v>0.25</v>
      </c>
      <c r="F1196" s="607" t="s">
        <v>1485</v>
      </c>
      <c r="G1196" s="607" t="s">
        <v>1471</v>
      </c>
    </row>
    <row r="1197" spans="1:8" s="14" customFormat="1" ht="34.5" customHeight="1" outlineLevel="1" x14ac:dyDescent="0.25">
      <c r="A1197" s="907">
        <v>6</v>
      </c>
      <c r="B1197" s="982" t="s">
        <v>303</v>
      </c>
      <c r="C1197" s="983" t="s">
        <v>134</v>
      </c>
      <c r="D1197" s="910"/>
      <c r="E1197" s="911">
        <f t="shared" si="18"/>
        <v>0</v>
      </c>
      <c r="F1197" s="912"/>
      <c r="G1197" s="912"/>
    </row>
    <row r="1198" spans="1:8" s="14" customFormat="1" ht="34.5" customHeight="1" outlineLevel="2" x14ac:dyDescent="0.25">
      <c r="A1198" s="57"/>
      <c r="B1198" s="43" t="s">
        <v>217</v>
      </c>
      <c r="C1198" s="95" t="s">
        <v>137</v>
      </c>
      <c r="D1198" s="49"/>
      <c r="E1198" s="609">
        <f t="shared" si="18"/>
        <v>0</v>
      </c>
      <c r="F1198" s="607"/>
      <c r="G1198" s="607"/>
    </row>
    <row r="1199" spans="1:8" s="14" customFormat="1" ht="34.5" customHeight="1" outlineLevel="2" x14ac:dyDescent="0.25">
      <c r="A1199" s="57"/>
      <c r="B1199" s="96" t="s">
        <v>304</v>
      </c>
      <c r="C1199" s="97" t="s">
        <v>124</v>
      </c>
      <c r="D1199" s="49">
        <v>245.87</v>
      </c>
      <c r="E1199" s="609">
        <f t="shared" si="18"/>
        <v>245.87</v>
      </c>
      <c r="F1199" s="607" t="s">
        <v>418</v>
      </c>
      <c r="G1199" s="882" t="s">
        <v>903</v>
      </c>
    </row>
    <row r="1200" spans="1:8" s="14" customFormat="1" ht="34.5" customHeight="1" outlineLevel="2" x14ac:dyDescent="0.25">
      <c r="A1200" s="57"/>
      <c r="B1200" s="96" t="s">
        <v>296</v>
      </c>
      <c r="C1200" s="97" t="s">
        <v>126</v>
      </c>
      <c r="D1200" s="49">
        <v>27.806999999999999</v>
      </c>
      <c r="E1200" s="609">
        <f t="shared" si="18"/>
        <v>27.806999999999999</v>
      </c>
      <c r="F1200" s="607" t="s">
        <v>418</v>
      </c>
      <c r="G1200" s="882" t="s">
        <v>903</v>
      </c>
    </row>
    <row r="1201" spans="1:7" s="14" customFormat="1" ht="34.5" customHeight="1" outlineLevel="2" x14ac:dyDescent="0.25">
      <c r="A1201" s="57"/>
      <c r="B1201" s="100" t="s">
        <v>297</v>
      </c>
      <c r="C1201" s="102" t="s">
        <v>139</v>
      </c>
      <c r="D1201" s="49">
        <v>2.58</v>
      </c>
      <c r="E1201" s="609">
        <f t="shared" si="18"/>
        <v>2.58</v>
      </c>
      <c r="F1201" s="607" t="s">
        <v>418</v>
      </c>
      <c r="G1201" s="882" t="s">
        <v>903</v>
      </c>
    </row>
    <row r="1202" spans="1:7" s="14" customFormat="1" ht="34.5" customHeight="1" outlineLevel="2" x14ac:dyDescent="0.25">
      <c r="A1202" s="57"/>
      <c r="B1202" s="100" t="s">
        <v>298</v>
      </c>
      <c r="C1202" s="101" t="s">
        <v>124</v>
      </c>
      <c r="D1202" s="49">
        <v>32</v>
      </c>
      <c r="E1202" s="609">
        <f t="shared" si="18"/>
        <v>32</v>
      </c>
      <c r="F1202" s="607" t="s">
        <v>418</v>
      </c>
      <c r="G1202" s="882" t="s">
        <v>903</v>
      </c>
    </row>
    <row r="1203" spans="1:7" s="14" customFormat="1" ht="34.5" customHeight="1" outlineLevel="2" x14ac:dyDescent="0.25">
      <c r="A1203" s="57"/>
      <c r="B1203" s="100" t="s">
        <v>228</v>
      </c>
      <c r="C1203" s="102" t="s">
        <v>57</v>
      </c>
      <c r="D1203" s="49">
        <v>0.32</v>
      </c>
      <c r="E1203" s="609">
        <f t="shared" si="18"/>
        <v>0.32</v>
      </c>
      <c r="F1203" s="607" t="s">
        <v>418</v>
      </c>
      <c r="G1203" s="882" t="s">
        <v>903</v>
      </c>
    </row>
    <row r="1204" spans="1:7" s="14" customFormat="1" ht="34.5" customHeight="1" outlineLevel="2" x14ac:dyDescent="0.25">
      <c r="A1204" s="57"/>
      <c r="B1204" s="100" t="s">
        <v>229</v>
      </c>
      <c r="C1204" s="102" t="s">
        <v>137</v>
      </c>
      <c r="D1204" s="49">
        <v>0</v>
      </c>
      <c r="E1204" s="609">
        <f t="shared" si="18"/>
        <v>0</v>
      </c>
      <c r="F1204" s="607" t="s">
        <v>418</v>
      </c>
      <c r="G1204" s="882" t="s">
        <v>903</v>
      </c>
    </row>
    <row r="1205" spans="1:7" s="14" customFormat="1" ht="34.5" customHeight="1" outlineLevel="2" x14ac:dyDescent="0.25">
      <c r="A1205" s="57"/>
      <c r="B1205" s="100" t="s">
        <v>230</v>
      </c>
      <c r="C1205" s="102" t="s">
        <v>138</v>
      </c>
      <c r="D1205" s="49">
        <v>16</v>
      </c>
      <c r="E1205" s="609">
        <f t="shared" si="18"/>
        <v>16</v>
      </c>
      <c r="F1205" s="607" t="s">
        <v>418</v>
      </c>
      <c r="G1205" s="882" t="s">
        <v>903</v>
      </c>
    </row>
    <row r="1206" spans="1:7" s="14" customFormat="1" ht="34.5" customHeight="1" outlineLevel="2" x14ac:dyDescent="0.25">
      <c r="A1206" s="57"/>
      <c r="B1206" s="100" t="s">
        <v>275</v>
      </c>
      <c r="C1206" s="102" t="s">
        <v>10</v>
      </c>
      <c r="D1206" s="49">
        <v>4.5199999999999996</v>
      </c>
      <c r="E1206" s="609">
        <f t="shared" si="18"/>
        <v>4.5199999999999996</v>
      </c>
      <c r="F1206" s="607" t="s">
        <v>418</v>
      </c>
      <c r="G1206" s="882" t="s">
        <v>903</v>
      </c>
    </row>
    <row r="1207" spans="1:7" s="14" customFormat="1" ht="34.5" customHeight="1" outlineLevel="2" x14ac:dyDescent="0.25">
      <c r="A1207" s="57"/>
      <c r="B1207" s="100" t="s">
        <v>276</v>
      </c>
      <c r="C1207" s="102" t="s">
        <v>10</v>
      </c>
      <c r="D1207" s="49">
        <v>279.43</v>
      </c>
      <c r="E1207" s="609">
        <f t="shared" si="18"/>
        <v>279.43</v>
      </c>
      <c r="F1207" s="607" t="s">
        <v>418</v>
      </c>
      <c r="G1207" s="882" t="s">
        <v>903</v>
      </c>
    </row>
    <row r="1208" spans="1:7" s="14" customFormat="1" ht="34.5" customHeight="1" outlineLevel="2" x14ac:dyDescent="0.25">
      <c r="A1208" s="57"/>
      <c r="B1208" s="103" t="s">
        <v>233</v>
      </c>
      <c r="C1208" s="102"/>
      <c r="D1208" s="49"/>
      <c r="E1208" s="609">
        <f t="shared" si="18"/>
        <v>0</v>
      </c>
      <c r="F1208" s="607" t="s">
        <v>418</v>
      </c>
      <c r="G1208" s="882" t="s">
        <v>903</v>
      </c>
    </row>
    <row r="1209" spans="1:7" s="14" customFormat="1" ht="34.5" customHeight="1" outlineLevel="2" x14ac:dyDescent="0.25">
      <c r="A1209" s="57"/>
      <c r="B1209" s="100" t="s">
        <v>299</v>
      </c>
      <c r="C1209" s="97" t="s">
        <v>10</v>
      </c>
      <c r="D1209" s="49">
        <v>513.09</v>
      </c>
      <c r="E1209" s="609">
        <f t="shared" si="18"/>
        <v>513.09</v>
      </c>
      <c r="F1209" s="607" t="s">
        <v>418</v>
      </c>
      <c r="G1209" s="882" t="s">
        <v>903</v>
      </c>
    </row>
    <row r="1210" spans="1:7" s="14" customFormat="1" ht="34.5" customHeight="1" outlineLevel="2" x14ac:dyDescent="0.25">
      <c r="A1210" s="57"/>
      <c r="B1210" s="100" t="s">
        <v>282</v>
      </c>
      <c r="C1210" s="102" t="s">
        <v>121</v>
      </c>
      <c r="D1210" s="49">
        <v>1.7992999999999999</v>
      </c>
      <c r="E1210" s="609">
        <f t="shared" si="18"/>
        <v>1.7992999999999999</v>
      </c>
      <c r="F1210" s="607" t="s">
        <v>418</v>
      </c>
      <c r="G1210" s="882" t="s">
        <v>903</v>
      </c>
    </row>
    <row r="1211" spans="1:7" s="14" customFormat="1" ht="34.5" customHeight="1" outlineLevel="2" x14ac:dyDescent="0.25">
      <c r="A1211" s="57"/>
      <c r="B1211" s="103" t="s">
        <v>287</v>
      </c>
      <c r="C1211" s="104" t="s">
        <v>77</v>
      </c>
      <c r="D1211" s="49">
        <v>11.100000000000001</v>
      </c>
      <c r="E1211" s="609">
        <f t="shared" si="18"/>
        <v>11.100000000000001</v>
      </c>
      <c r="F1211" s="607" t="s">
        <v>418</v>
      </c>
      <c r="G1211" s="882" t="s">
        <v>903</v>
      </c>
    </row>
    <row r="1212" spans="1:7" s="14" customFormat="1" ht="34.5" customHeight="1" outlineLevel="2" x14ac:dyDescent="0.25">
      <c r="A1212" s="57"/>
      <c r="B1212" s="100" t="s">
        <v>300</v>
      </c>
      <c r="C1212" s="97" t="s">
        <v>116</v>
      </c>
      <c r="D1212" s="49">
        <v>10.08</v>
      </c>
      <c r="E1212" s="609">
        <f t="shared" si="18"/>
        <v>10.08</v>
      </c>
      <c r="F1212" s="607" t="s">
        <v>418</v>
      </c>
      <c r="G1212" s="882" t="s">
        <v>903</v>
      </c>
    </row>
    <row r="1213" spans="1:7" s="14" customFormat="1" ht="34.5" customHeight="1" outlineLevel="2" x14ac:dyDescent="0.25">
      <c r="A1213" s="57"/>
      <c r="B1213" s="100" t="s">
        <v>301</v>
      </c>
      <c r="C1213" s="97" t="s">
        <v>10</v>
      </c>
      <c r="D1213" s="49">
        <v>1.6</v>
      </c>
      <c r="E1213" s="609">
        <f t="shared" si="18"/>
        <v>1.6</v>
      </c>
      <c r="F1213" s="607" t="s">
        <v>418</v>
      </c>
      <c r="G1213" s="882" t="s">
        <v>903</v>
      </c>
    </row>
    <row r="1214" spans="1:7" s="14" customFormat="1" ht="34.5" customHeight="1" outlineLevel="2" x14ac:dyDescent="0.25">
      <c r="A1214" s="57"/>
      <c r="B1214" s="65" t="s">
        <v>305</v>
      </c>
      <c r="C1214" s="87"/>
      <c r="D1214" s="49"/>
      <c r="E1214" s="609">
        <f t="shared" si="18"/>
        <v>0</v>
      </c>
      <c r="F1214" s="607"/>
      <c r="G1214" s="607"/>
    </row>
    <row r="1215" spans="1:7" s="14" customFormat="1" ht="34.5" customHeight="1" outlineLevel="2" x14ac:dyDescent="0.25">
      <c r="A1215" s="57"/>
      <c r="B1215" s="65" t="s">
        <v>80</v>
      </c>
      <c r="C1215" s="89" t="s">
        <v>137</v>
      </c>
      <c r="D1215" s="49">
        <v>1</v>
      </c>
      <c r="E1215" s="609">
        <f t="shared" si="18"/>
        <v>1</v>
      </c>
      <c r="F1215" s="607" t="s">
        <v>418</v>
      </c>
      <c r="G1215" s="1052" t="s">
        <v>1468</v>
      </c>
    </row>
    <row r="1216" spans="1:7" s="14" customFormat="1" ht="34.5" customHeight="1" outlineLevel="2" x14ac:dyDescent="0.25">
      <c r="A1216" s="57"/>
      <c r="B1216" s="67" t="s">
        <v>81</v>
      </c>
      <c r="C1216" s="66" t="s">
        <v>77</v>
      </c>
      <c r="D1216" s="49">
        <v>5.4600000000000003E-2</v>
      </c>
      <c r="E1216" s="609">
        <f t="shared" si="18"/>
        <v>5.4600000000000003E-2</v>
      </c>
      <c r="F1216" s="607" t="s">
        <v>418</v>
      </c>
      <c r="G1216" s="1052" t="s">
        <v>1468</v>
      </c>
    </row>
    <row r="1217" spans="1:7" s="14" customFormat="1" ht="34.5" customHeight="1" outlineLevel="2" x14ac:dyDescent="0.25">
      <c r="A1217" s="57"/>
      <c r="B1217" s="67" t="s">
        <v>87</v>
      </c>
      <c r="C1217" s="66" t="s">
        <v>77</v>
      </c>
      <c r="D1217" s="49">
        <v>0.54404000000000008</v>
      </c>
      <c r="E1217" s="609">
        <f t="shared" si="18"/>
        <v>0.54404000000000008</v>
      </c>
      <c r="F1217" s="607" t="s">
        <v>418</v>
      </c>
      <c r="G1217" s="1052" t="s">
        <v>1468</v>
      </c>
    </row>
    <row r="1218" spans="1:7" s="14" customFormat="1" ht="34.5" customHeight="1" outlineLevel="2" x14ac:dyDescent="0.25">
      <c r="A1218" s="57"/>
      <c r="B1218" s="67" t="s">
        <v>88</v>
      </c>
      <c r="C1218" s="87" t="s">
        <v>10</v>
      </c>
      <c r="D1218" s="49">
        <v>5.72</v>
      </c>
      <c r="E1218" s="609">
        <f t="shared" si="18"/>
        <v>5.72</v>
      </c>
      <c r="F1218" s="607" t="s">
        <v>418</v>
      </c>
      <c r="G1218" s="1052" t="s">
        <v>1468</v>
      </c>
    </row>
    <row r="1219" spans="1:7" s="14" customFormat="1" ht="34.5" customHeight="1" outlineLevel="2" x14ac:dyDescent="0.25">
      <c r="A1219" s="57"/>
      <c r="B1219" s="67" t="s">
        <v>95</v>
      </c>
      <c r="C1219" s="66" t="s">
        <v>77</v>
      </c>
      <c r="D1219" s="49">
        <v>0.12659999999999999</v>
      </c>
      <c r="E1219" s="609">
        <f t="shared" si="18"/>
        <v>0.12659999999999999</v>
      </c>
      <c r="F1219" s="607" t="s">
        <v>418</v>
      </c>
      <c r="G1219" s="1052" t="s">
        <v>1468</v>
      </c>
    </row>
    <row r="1220" spans="1:7" s="14" customFormat="1" ht="34.5" customHeight="1" outlineLevel="2" x14ac:dyDescent="0.25">
      <c r="A1220" s="57"/>
      <c r="B1220" s="67" t="s">
        <v>96</v>
      </c>
      <c r="C1220" s="66" t="s">
        <v>57</v>
      </c>
      <c r="D1220" s="49">
        <v>4.2199999999999994E-2</v>
      </c>
      <c r="E1220" s="609">
        <f t="shared" si="18"/>
        <v>4.2199999999999994E-2</v>
      </c>
      <c r="F1220" s="607" t="s">
        <v>418</v>
      </c>
      <c r="G1220" s="1052" t="s">
        <v>1468</v>
      </c>
    </row>
    <row r="1221" spans="1:7" s="14" customFormat="1" ht="34.5" customHeight="1" outlineLevel="2" x14ac:dyDescent="0.25">
      <c r="A1221" s="57"/>
      <c r="B1221" s="65" t="s">
        <v>302</v>
      </c>
      <c r="C1221" s="87"/>
      <c r="D1221" s="49"/>
      <c r="E1221" s="609">
        <f t="shared" si="18"/>
        <v>0</v>
      </c>
      <c r="F1221" s="607"/>
      <c r="G1221" s="607"/>
    </row>
    <row r="1222" spans="1:7" s="14" customFormat="1" ht="34.5" customHeight="1" outlineLevel="2" x14ac:dyDescent="0.25">
      <c r="A1222" s="57"/>
      <c r="B1222" s="68" t="s">
        <v>278</v>
      </c>
      <c r="C1222" s="66" t="s">
        <v>77</v>
      </c>
      <c r="D1222" s="49">
        <v>0.25</v>
      </c>
      <c r="E1222" s="609">
        <f t="shared" si="18"/>
        <v>0.25</v>
      </c>
      <c r="F1222" s="607" t="s">
        <v>1485</v>
      </c>
      <c r="G1222" s="607" t="s">
        <v>1471</v>
      </c>
    </row>
    <row r="1223" spans="1:7" s="14" customFormat="1" ht="34.5" customHeight="1" outlineLevel="2" x14ac:dyDescent="0.25">
      <c r="A1223" s="57"/>
      <c r="B1223" s="68" t="s">
        <v>279</v>
      </c>
      <c r="C1223" s="66" t="s">
        <v>77</v>
      </c>
      <c r="D1223" s="49">
        <v>0.25</v>
      </c>
      <c r="E1223" s="609">
        <f t="shared" si="18"/>
        <v>0.25</v>
      </c>
      <c r="F1223" s="607" t="s">
        <v>1485</v>
      </c>
      <c r="G1223" s="607" t="s">
        <v>1471</v>
      </c>
    </row>
    <row r="1224" spans="1:7" s="14" customFormat="1" ht="34.5" customHeight="1" outlineLevel="2" x14ac:dyDescent="0.25">
      <c r="A1224" s="57"/>
      <c r="B1224" s="68" t="s">
        <v>280</v>
      </c>
      <c r="C1224" s="66" t="s">
        <v>77</v>
      </c>
      <c r="D1224" s="49">
        <v>0.25</v>
      </c>
      <c r="E1224" s="609">
        <f t="shared" si="18"/>
        <v>0.25</v>
      </c>
      <c r="F1224" s="607" t="s">
        <v>1485</v>
      </c>
      <c r="G1224" s="607" t="s">
        <v>1471</v>
      </c>
    </row>
    <row r="1225" spans="1:7" s="947" customFormat="1" ht="34.5" customHeight="1" outlineLevel="1" x14ac:dyDescent="0.25">
      <c r="A1225" s="907">
        <v>7</v>
      </c>
      <c r="B1225" s="982" t="s">
        <v>306</v>
      </c>
      <c r="C1225" s="983" t="s">
        <v>134</v>
      </c>
      <c r="D1225" s="910"/>
      <c r="E1225" s="911">
        <f t="shared" si="18"/>
        <v>0</v>
      </c>
      <c r="F1225" s="912"/>
      <c r="G1225" s="912"/>
    </row>
    <row r="1226" spans="1:7" s="947" customFormat="1" ht="34.5" customHeight="1" outlineLevel="2" x14ac:dyDescent="0.25">
      <c r="A1226" s="968"/>
      <c r="B1226" s="969" t="s">
        <v>217</v>
      </c>
      <c r="C1226" s="984" t="s">
        <v>137</v>
      </c>
      <c r="D1226" s="910"/>
      <c r="E1226" s="911">
        <f t="shared" si="18"/>
        <v>0</v>
      </c>
      <c r="F1226" s="912"/>
      <c r="G1226" s="912"/>
    </row>
    <row r="1227" spans="1:7" s="14" customFormat="1" ht="34.5" customHeight="1" outlineLevel="2" x14ac:dyDescent="0.25">
      <c r="A1227" s="879"/>
      <c r="B1227" s="96" t="s">
        <v>307</v>
      </c>
      <c r="C1227" s="97" t="s">
        <v>124</v>
      </c>
      <c r="D1227" s="49">
        <v>246.26</v>
      </c>
      <c r="E1227" s="609">
        <f t="shared" si="18"/>
        <v>246.26</v>
      </c>
      <c r="F1227" s="607" t="s">
        <v>418</v>
      </c>
      <c r="G1227" s="882" t="s">
        <v>902</v>
      </c>
    </row>
    <row r="1228" spans="1:7" s="14" customFormat="1" ht="34.5" customHeight="1" outlineLevel="2" x14ac:dyDescent="0.25">
      <c r="A1228" s="879"/>
      <c r="B1228" s="96" t="s">
        <v>296</v>
      </c>
      <c r="C1228" s="97" t="s">
        <v>126</v>
      </c>
      <c r="D1228" s="49">
        <v>27.850999999999999</v>
      </c>
      <c r="E1228" s="609">
        <f t="shared" si="18"/>
        <v>27.850999999999999</v>
      </c>
      <c r="F1228" s="607" t="s">
        <v>418</v>
      </c>
      <c r="G1228" s="882" t="s">
        <v>902</v>
      </c>
    </row>
    <row r="1229" spans="1:7" s="14" customFormat="1" ht="34.5" customHeight="1" outlineLevel="2" x14ac:dyDescent="0.25">
      <c r="A1229" s="879"/>
      <c r="B1229" s="100" t="s">
        <v>297</v>
      </c>
      <c r="C1229" s="102" t="s">
        <v>139</v>
      </c>
      <c r="D1229" s="49">
        <v>2.58</v>
      </c>
      <c r="E1229" s="609">
        <f t="shared" si="18"/>
        <v>2.58</v>
      </c>
      <c r="F1229" s="607" t="s">
        <v>418</v>
      </c>
      <c r="G1229" s="882" t="s">
        <v>902</v>
      </c>
    </row>
    <row r="1230" spans="1:7" s="14" customFormat="1" ht="34.5" customHeight="1" outlineLevel="2" x14ac:dyDescent="0.25">
      <c r="A1230" s="879"/>
      <c r="B1230" s="100" t="s">
        <v>298</v>
      </c>
      <c r="C1230" s="101" t="s">
        <v>124</v>
      </c>
      <c r="D1230" s="49">
        <v>32</v>
      </c>
      <c r="E1230" s="609">
        <f t="shared" si="18"/>
        <v>32</v>
      </c>
      <c r="F1230" s="607" t="s">
        <v>418</v>
      </c>
      <c r="G1230" s="882" t="s">
        <v>902</v>
      </c>
    </row>
    <row r="1231" spans="1:7" s="14" customFormat="1" ht="34.5" customHeight="1" outlineLevel="2" x14ac:dyDescent="0.25">
      <c r="A1231" s="879"/>
      <c r="B1231" s="100" t="s">
        <v>228</v>
      </c>
      <c r="C1231" s="102" t="s">
        <v>57</v>
      </c>
      <c r="D1231" s="49">
        <v>0.32</v>
      </c>
      <c r="E1231" s="609">
        <f t="shared" si="18"/>
        <v>0.32</v>
      </c>
      <c r="F1231" s="607" t="s">
        <v>418</v>
      </c>
      <c r="G1231" s="882" t="s">
        <v>902</v>
      </c>
    </row>
    <row r="1232" spans="1:7" s="14" customFormat="1" ht="34.5" customHeight="1" outlineLevel="2" x14ac:dyDescent="0.25">
      <c r="A1232" s="879"/>
      <c r="B1232" s="100" t="s">
        <v>229</v>
      </c>
      <c r="C1232" s="102" t="s">
        <v>137</v>
      </c>
      <c r="D1232" s="49">
        <v>1</v>
      </c>
      <c r="E1232" s="609">
        <f t="shared" ref="E1232:E1295" si="19">D1232</f>
        <v>1</v>
      </c>
      <c r="F1232" s="607" t="s">
        <v>418</v>
      </c>
      <c r="G1232" s="882" t="s">
        <v>902</v>
      </c>
    </row>
    <row r="1233" spans="1:7" s="14" customFormat="1" ht="34.5" customHeight="1" outlineLevel="2" x14ac:dyDescent="0.25">
      <c r="A1233" s="879"/>
      <c r="B1233" s="100" t="s">
        <v>230</v>
      </c>
      <c r="C1233" s="102" t="s">
        <v>138</v>
      </c>
      <c r="D1233" s="49">
        <v>16</v>
      </c>
      <c r="E1233" s="609">
        <f t="shared" si="19"/>
        <v>16</v>
      </c>
      <c r="F1233" s="607" t="s">
        <v>418</v>
      </c>
      <c r="G1233" s="882" t="s">
        <v>902</v>
      </c>
    </row>
    <row r="1234" spans="1:7" s="14" customFormat="1" ht="34.5" customHeight="1" outlineLevel="2" x14ac:dyDescent="0.25">
      <c r="A1234" s="879"/>
      <c r="B1234" s="100" t="s">
        <v>275</v>
      </c>
      <c r="C1234" s="102" t="s">
        <v>10</v>
      </c>
      <c r="D1234" s="49">
        <v>4.5199999999999996</v>
      </c>
      <c r="E1234" s="609">
        <f t="shared" si="19"/>
        <v>4.5199999999999996</v>
      </c>
      <c r="F1234" s="607" t="s">
        <v>418</v>
      </c>
      <c r="G1234" s="882" t="s">
        <v>902</v>
      </c>
    </row>
    <row r="1235" spans="1:7" s="14" customFormat="1" ht="34.5" customHeight="1" outlineLevel="2" x14ac:dyDescent="0.25">
      <c r="A1235" s="879"/>
      <c r="B1235" s="100" t="s">
        <v>276</v>
      </c>
      <c r="C1235" s="102" t="s">
        <v>10</v>
      </c>
      <c r="D1235" s="49">
        <v>279.88</v>
      </c>
      <c r="E1235" s="609">
        <f t="shared" si="19"/>
        <v>279.88</v>
      </c>
      <c r="F1235" s="607" t="s">
        <v>418</v>
      </c>
      <c r="G1235" s="882" t="s">
        <v>902</v>
      </c>
    </row>
    <row r="1236" spans="1:7" s="14" customFormat="1" ht="34.5" customHeight="1" outlineLevel="2" x14ac:dyDescent="0.25">
      <c r="A1236" s="879"/>
      <c r="B1236" s="103" t="s">
        <v>233</v>
      </c>
      <c r="C1236" s="102"/>
      <c r="D1236" s="49"/>
      <c r="E1236" s="609">
        <f t="shared" si="19"/>
        <v>0</v>
      </c>
      <c r="F1236" s="607" t="s">
        <v>418</v>
      </c>
      <c r="G1236" s="882" t="s">
        <v>902</v>
      </c>
    </row>
    <row r="1237" spans="1:7" s="14" customFormat="1" ht="34.5" customHeight="1" outlineLevel="2" x14ac:dyDescent="0.25">
      <c r="A1237" s="879"/>
      <c r="B1237" s="100" t="s">
        <v>299</v>
      </c>
      <c r="C1237" s="97" t="s">
        <v>10</v>
      </c>
      <c r="D1237" s="49">
        <v>533.87</v>
      </c>
      <c r="E1237" s="609">
        <f t="shared" si="19"/>
        <v>533.87</v>
      </c>
      <c r="F1237" s="607" t="s">
        <v>418</v>
      </c>
      <c r="G1237" s="882" t="s">
        <v>902</v>
      </c>
    </row>
    <row r="1238" spans="1:7" s="14" customFormat="1" ht="34.5" customHeight="1" outlineLevel="2" x14ac:dyDescent="0.25">
      <c r="A1238" s="879"/>
      <c r="B1238" s="100" t="s">
        <v>282</v>
      </c>
      <c r="C1238" s="102" t="s">
        <v>121</v>
      </c>
      <c r="D1238" s="49">
        <v>2.2730000000000001</v>
      </c>
      <c r="E1238" s="609">
        <f t="shared" si="19"/>
        <v>2.2730000000000001</v>
      </c>
      <c r="F1238" s="607" t="s">
        <v>418</v>
      </c>
      <c r="G1238" s="882" t="s">
        <v>902</v>
      </c>
    </row>
    <row r="1239" spans="1:7" s="14" customFormat="1" ht="34.5" customHeight="1" outlineLevel="2" x14ac:dyDescent="0.25">
      <c r="A1239" s="879"/>
      <c r="B1239" s="103" t="s">
        <v>287</v>
      </c>
      <c r="C1239" s="104" t="s">
        <v>77</v>
      </c>
      <c r="D1239" s="49">
        <v>12.11</v>
      </c>
      <c r="E1239" s="609">
        <f t="shared" si="19"/>
        <v>12.11</v>
      </c>
      <c r="F1239" s="607" t="s">
        <v>418</v>
      </c>
      <c r="G1239" s="882" t="s">
        <v>902</v>
      </c>
    </row>
    <row r="1240" spans="1:7" s="14" customFormat="1" ht="34.5" customHeight="1" outlineLevel="2" x14ac:dyDescent="0.25">
      <c r="A1240" s="879"/>
      <c r="B1240" s="100" t="s">
        <v>300</v>
      </c>
      <c r="C1240" s="97" t="s">
        <v>116</v>
      </c>
      <c r="D1240" s="49">
        <v>12.11</v>
      </c>
      <c r="E1240" s="609">
        <f t="shared" si="19"/>
        <v>12.11</v>
      </c>
      <c r="F1240" s="607" t="s">
        <v>418</v>
      </c>
      <c r="G1240" s="882" t="s">
        <v>902</v>
      </c>
    </row>
    <row r="1241" spans="1:7" s="14" customFormat="1" ht="34.5" customHeight="1" outlineLevel="2" x14ac:dyDescent="0.25">
      <c r="A1241" s="879"/>
      <c r="B1241" s="100" t="s">
        <v>301</v>
      </c>
      <c r="C1241" s="97" t="s">
        <v>10</v>
      </c>
      <c r="D1241" s="49">
        <v>1.6</v>
      </c>
      <c r="E1241" s="609">
        <f t="shared" si="19"/>
        <v>1.6</v>
      </c>
      <c r="F1241" s="607" t="s">
        <v>418</v>
      </c>
      <c r="G1241" s="882" t="s">
        <v>902</v>
      </c>
    </row>
    <row r="1242" spans="1:7" s="14" customFormat="1" ht="34.5" customHeight="1" outlineLevel="2" x14ac:dyDescent="0.25">
      <c r="A1242" s="879"/>
      <c r="B1242" s="65" t="s">
        <v>302</v>
      </c>
      <c r="C1242" s="87"/>
      <c r="D1242" s="49"/>
      <c r="E1242" s="609">
        <f t="shared" si="19"/>
        <v>0</v>
      </c>
      <c r="F1242" s="607"/>
      <c r="G1242" s="607"/>
    </row>
    <row r="1243" spans="1:7" s="14" customFormat="1" ht="34.5" customHeight="1" outlineLevel="2" x14ac:dyDescent="0.25">
      <c r="A1243" s="879"/>
      <c r="B1243" s="68" t="s">
        <v>278</v>
      </c>
      <c r="C1243" s="66" t="s">
        <v>77</v>
      </c>
      <c r="D1243" s="49">
        <v>0.25</v>
      </c>
      <c r="E1243" s="609">
        <f t="shared" si="19"/>
        <v>0.25</v>
      </c>
      <c r="F1243" s="607" t="s">
        <v>1485</v>
      </c>
      <c r="G1243" s="607"/>
    </row>
    <row r="1244" spans="1:7" s="14" customFormat="1" ht="34.5" customHeight="1" outlineLevel="2" x14ac:dyDescent="0.25">
      <c r="A1244" s="879"/>
      <c r="B1244" s="68" t="s">
        <v>279</v>
      </c>
      <c r="C1244" s="66" t="s">
        <v>77</v>
      </c>
      <c r="D1244" s="49">
        <v>0.25</v>
      </c>
      <c r="E1244" s="609">
        <f t="shared" si="19"/>
        <v>0.25</v>
      </c>
      <c r="F1244" s="607" t="s">
        <v>1485</v>
      </c>
      <c r="G1244" s="607"/>
    </row>
    <row r="1245" spans="1:7" s="14" customFormat="1" ht="34.5" customHeight="1" outlineLevel="2" x14ac:dyDescent="0.25">
      <c r="A1245" s="879"/>
      <c r="B1245" s="68" t="s">
        <v>280</v>
      </c>
      <c r="C1245" s="66" t="s">
        <v>77</v>
      </c>
      <c r="D1245" s="49">
        <v>0.25</v>
      </c>
      <c r="E1245" s="609">
        <f t="shared" si="19"/>
        <v>0.25</v>
      </c>
      <c r="F1245" s="607" t="s">
        <v>1485</v>
      </c>
      <c r="G1245" s="607"/>
    </row>
    <row r="1246" spans="1:7" s="947" customFormat="1" ht="34.5" customHeight="1" outlineLevel="1" x14ac:dyDescent="0.25">
      <c r="A1246" s="907">
        <v>12</v>
      </c>
      <c r="B1246" s="908" t="s">
        <v>308</v>
      </c>
      <c r="C1246" s="959"/>
      <c r="D1246" s="910"/>
      <c r="E1246" s="911">
        <f t="shared" si="19"/>
        <v>0</v>
      </c>
      <c r="F1246" s="912"/>
      <c r="G1246" s="912"/>
    </row>
    <row r="1247" spans="1:7" s="14" customFormat="1" ht="34.5" customHeight="1" outlineLevel="1" x14ac:dyDescent="0.25">
      <c r="A1247" s="57"/>
      <c r="B1247" s="61" t="s">
        <v>309</v>
      </c>
      <c r="C1247" s="62" t="s">
        <v>121</v>
      </c>
      <c r="D1247" s="49">
        <v>2.6585000000000001</v>
      </c>
      <c r="E1247" s="609">
        <f t="shared" si="19"/>
        <v>2.6585000000000001</v>
      </c>
      <c r="F1247" s="607" t="s">
        <v>418</v>
      </c>
      <c r="G1247" s="882" t="s">
        <v>914</v>
      </c>
    </row>
    <row r="1248" spans="1:7" s="14" customFormat="1" ht="34.5" customHeight="1" outlineLevel="1" x14ac:dyDescent="0.25">
      <c r="A1248" s="57"/>
      <c r="B1248" s="58" t="s">
        <v>217</v>
      </c>
      <c r="C1248" s="59" t="s">
        <v>137</v>
      </c>
      <c r="D1248" s="52">
        <v>5</v>
      </c>
      <c r="E1248" s="609">
        <f t="shared" si="19"/>
        <v>5</v>
      </c>
      <c r="F1248" s="607"/>
      <c r="G1248" s="882"/>
    </row>
    <row r="1249" spans="1:7" s="14" customFormat="1" ht="34.5" customHeight="1" outlineLevel="1" x14ac:dyDescent="0.25">
      <c r="A1249" s="57"/>
      <c r="B1249" s="61" t="s">
        <v>310</v>
      </c>
      <c r="C1249" s="62" t="s">
        <v>124</v>
      </c>
      <c r="D1249" s="49">
        <v>320</v>
      </c>
      <c r="E1249" s="609">
        <f t="shared" si="19"/>
        <v>320</v>
      </c>
      <c r="F1249" s="607" t="s">
        <v>418</v>
      </c>
      <c r="G1249" s="882" t="s">
        <v>914</v>
      </c>
    </row>
    <row r="1250" spans="1:7" s="14" customFormat="1" ht="34.5" customHeight="1" outlineLevel="1" x14ac:dyDescent="0.25">
      <c r="A1250" s="57"/>
      <c r="B1250" s="61" t="s">
        <v>222</v>
      </c>
      <c r="C1250" s="62" t="s">
        <v>126</v>
      </c>
      <c r="D1250" s="49">
        <v>36.191000000000003</v>
      </c>
      <c r="E1250" s="609">
        <f t="shared" si="19"/>
        <v>36.191000000000003</v>
      </c>
      <c r="F1250" s="607" t="s">
        <v>418</v>
      </c>
      <c r="G1250" s="882" t="s">
        <v>914</v>
      </c>
    </row>
    <row r="1251" spans="1:7" s="14" customFormat="1" ht="34.5" customHeight="1" outlineLevel="1" x14ac:dyDescent="0.25">
      <c r="A1251" s="57"/>
      <c r="B1251" s="61" t="s">
        <v>311</v>
      </c>
      <c r="C1251" s="62" t="s">
        <v>139</v>
      </c>
      <c r="D1251" s="49">
        <v>1.29</v>
      </c>
      <c r="E1251" s="609">
        <f t="shared" si="19"/>
        <v>1.29</v>
      </c>
      <c r="F1251" s="607" t="s">
        <v>418</v>
      </c>
      <c r="G1251" s="882" t="s">
        <v>914</v>
      </c>
    </row>
    <row r="1252" spans="1:7" s="14" customFormat="1" ht="34.5" customHeight="1" outlineLevel="1" x14ac:dyDescent="0.25">
      <c r="A1252" s="57"/>
      <c r="B1252" s="61" t="s">
        <v>298</v>
      </c>
      <c r="C1252" s="62" t="s">
        <v>124</v>
      </c>
      <c r="D1252" s="49">
        <v>40</v>
      </c>
      <c r="E1252" s="609">
        <f t="shared" si="19"/>
        <v>40</v>
      </c>
      <c r="F1252" s="607" t="s">
        <v>418</v>
      </c>
      <c r="G1252" s="882" t="s">
        <v>914</v>
      </c>
    </row>
    <row r="1253" spans="1:7" s="14" customFormat="1" ht="34.5" customHeight="1" outlineLevel="1" x14ac:dyDescent="0.25">
      <c r="A1253" s="57"/>
      <c r="B1253" s="61" t="s">
        <v>228</v>
      </c>
      <c r="C1253" s="62" t="s">
        <v>57</v>
      </c>
      <c r="D1253" s="49">
        <v>0.4</v>
      </c>
      <c r="E1253" s="609">
        <f t="shared" si="19"/>
        <v>0.4</v>
      </c>
      <c r="F1253" s="607" t="s">
        <v>418</v>
      </c>
      <c r="G1253" s="882" t="s">
        <v>914</v>
      </c>
    </row>
    <row r="1254" spans="1:7" s="14" customFormat="1" ht="34.5" customHeight="1" outlineLevel="1" x14ac:dyDescent="0.25">
      <c r="A1254" s="57"/>
      <c r="B1254" s="61" t="s">
        <v>229</v>
      </c>
      <c r="C1254" s="62" t="s">
        <v>137</v>
      </c>
      <c r="D1254" s="49">
        <v>0</v>
      </c>
      <c r="E1254" s="609">
        <f t="shared" si="19"/>
        <v>0</v>
      </c>
      <c r="F1254" s="607" t="s">
        <v>418</v>
      </c>
      <c r="G1254" s="882" t="s">
        <v>914</v>
      </c>
    </row>
    <row r="1255" spans="1:7" s="14" customFormat="1" ht="34.5" customHeight="1" outlineLevel="1" x14ac:dyDescent="0.25">
      <c r="A1255" s="57"/>
      <c r="B1255" s="61" t="s">
        <v>230</v>
      </c>
      <c r="C1255" s="62" t="s">
        <v>138</v>
      </c>
      <c r="D1255" s="49">
        <v>20</v>
      </c>
      <c r="E1255" s="609">
        <f t="shared" si="19"/>
        <v>20</v>
      </c>
      <c r="F1255" s="607" t="s">
        <v>418</v>
      </c>
      <c r="G1255" s="882" t="s">
        <v>914</v>
      </c>
    </row>
    <row r="1256" spans="1:7" s="14" customFormat="1" ht="34.5" customHeight="1" outlineLevel="1" x14ac:dyDescent="0.25">
      <c r="A1256" s="57"/>
      <c r="B1256" s="61" t="s">
        <v>275</v>
      </c>
      <c r="C1256" s="62" t="s">
        <v>10</v>
      </c>
      <c r="D1256" s="49">
        <v>5.65</v>
      </c>
      <c r="E1256" s="609">
        <f t="shared" si="19"/>
        <v>5.65</v>
      </c>
      <c r="F1256" s="607" t="s">
        <v>418</v>
      </c>
      <c r="G1256" s="882" t="s">
        <v>914</v>
      </c>
    </row>
    <row r="1257" spans="1:7" s="14" customFormat="1" ht="34.5" customHeight="1" outlineLevel="1" x14ac:dyDescent="0.25">
      <c r="A1257" s="57"/>
      <c r="B1257" s="61" t="s">
        <v>276</v>
      </c>
      <c r="C1257" s="62" t="s">
        <v>10</v>
      </c>
      <c r="D1257" s="49">
        <v>363.61</v>
      </c>
      <c r="E1257" s="609">
        <f t="shared" si="19"/>
        <v>363.61</v>
      </c>
      <c r="F1257" s="607" t="s">
        <v>418</v>
      </c>
      <c r="G1257" s="882" t="s">
        <v>914</v>
      </c>
    </row>
    <row r="1258" spans="1:7" s="14" customFormat="1" ht="34.5" customHeight="1" outlineLevel="1" x14ac:dyDescent="0.25">
      <c r="A1258" s="57"/>
      <c r="B1258" s="65" t="s">
        <v>277</v>
      </c>
      <c r="C1258" s="66"/>
      <c r="D1258" s="49"/>
      <c r="E1258" s="609">
        <f t="shared" si="19"/>
        <v>0</v>
      </c>
      <c r="F1258" s="607"/>
      <c r="G1258" s="607"/>
    </row>
    <row r="1259" spans="1:7" s="14" customFormat="1" ht="34.5" customHeight="1" outlineLevel="1" x14ac:dyDescent="0.25">
      <c r="A1259" s="57"/>
      <c r="B1259" s="68" t="s">
        <v>278</v>
      </c>
      <c r="C1259" s="66" t="s">
        <v>77</v>
      </c>
      <c r="D1259" s="49">
        <v>0.25</v>
      </c>
      <c r="E1259" s="609">
        <f t="shared" si="19"/>
        <v>0.25</v>
      </c>
      <c r="F1259" s="607" t="s">
        <v>1485</v>
      </c>
      <c r="G1259" s="607"/>
    </row>
    <row r="1260" spans="1:7" s="14" customFormat="1" ht="34.5" customHeight="1" outlineLevel="1" x14ac:dyDescent="0.25">
      <c r="A1260" s="57"/>
      <c r="B1260" s="68" t="s">
        <v>279</v>
      </c>
      <c r="C1260" s="66" t="s">
        <v>77</v>
      </c>
      <c r="D1260" s="49">
        <v>0.25</v>
      </c>
      <c r="E1260" s="609">
        <f t="shared" si="19"/>
        <v>0.25</v>
      </c>
      <c r="F1260" s="607" t="s">
        <v>1485</v>
      </c>
      <c r="G1260" s="607"/>
    </row>
    <row r="1261" spans="1:7" s="14" customFormat="1" ht="34.5" customHeight="1" outlineLevel="1" x14ac:dyDescent="0.25">
      <c r="A1261" s="57"/>
      <c r="B1261" s="68" t="s">
        <v>280</v>
      </c>
      <c r="C1261" s="66" t="s">
        <v>77</v>
      </c>
      <c r="D1261" s="49">
        <v>0.25</v>
      </c>
      <c r="E1261" s="609">
        <f t="shared" si="19"/>
        <v>0.25</v>
      </c>
      <c r="F1261" s="607" t="s">
        <v>1485</v>
      </c>
      <c r="G1261" s="607"/>
    </row>
    <row r="1262" spans="1:7" s="947" customFormat="1" ht="34.5" customHeight="1" outlineLevel="1" x14ac:dyDescent="0.25">
      <c r="A1262" s="907"/>
      <c r="B1262" s="908" t="s">
        <v>233</v>
      </c>
      <c r="C1262" s="951"/>
      <c r="D1262" s="910"/>
      <c r="E1262" s="911">
        <f t="shared" si="19"/>
        <v>0</v>
      </c>
      <c r="F1262" s="912"/>
      <c r="G1262" s="912"/>
    </row>
    <row r="1263" spans="1:7" s="14" customFormat="1" ht="34.5" customHeight="1" outlineLevel="1" x14ac:dyDescent="0.25">
      <c r="A1263" s="57"/>
      <c r="B1263" s="61" t="s">
        <v>299</v>
      </c>
      <c r="C1263" s="62" t="s">
        <v>10</v>
      </c>
      <c r="D1263" s="49">
        <v>329.83</v>
      </c>
      <c r="E1263" s="609">
        <f t="shared" si="19"/>
        <v>329.83</v>
      </c>
      <c r="F1263" s="607" t="s">
        <v>418</v>
      </c>
      <c r="G1263" s="882" t="s">
        <v>914</v>
      </c>
    </row>
    <row r="1264" spans="1:7" s="14" customFormat="1" ht="34.5" customHeight="1" outlineLevel="1" x14ac:dyDescent="0.25">
      <c r="A1264" s="57"/>
      <c r="B1264" s="61" t="s">
        <v>282</v>
      </c>
      <c r="C1264" s="62" t="s">
        <v>121</v>
      </c>
      <c r="D1264" s="49">
        <v>1.94</v>
      </c>
      <c r="E1264" s="609">
        <f t="shared" si="19"/>
        <v>1.94</v>
      </c>
      <c r="F1264" s="607" t="s">
        <v>418</v>
      </c>
      <c r="G1264" s="882" t="s">
        <v>914</v>
      </c>
    </row>
    <row r="1265" spans="1:7" s="14" customFormat="1" ht="34.5" customHeight="1" outlineLevel="1" x14ac:dyDescent="0.25">
      <c r="A1265" s="57"/>
      <c r="B1265" s="883" t="s">
        <v>312</v>
      </c>
      <c r="C1265" s="91" t="s">
        <v>76</v>
      </c>
      <c r="D1265" s="49" t="s">
        <v>128</v>
      </c>
      <c r="E1265" s="609" t="str">
        <f t="shared" si="19"/>
        <v>35/315</v>
      </c>
      <c r="F1265" s="607" t="s">
        <v>418</v>
      </c>
      <c r="G1265" s="882" t="s">
        <v>914</v>
      </c>
    </row>
    <row r="1266" spans="1:7" s="14" customFormat="1" ht="34.5" customHeight="1" outlineLevel="1" x14ac:dyDescent="0.25">
      <c r="A1266" s="57"/>
      <c r="B1266" s="61" t="s">
        <v>313</v>
      </c>
      <c r="C1266" s="62" t="s">
        <v>116</v>
      </c>
      <c r="D1266" s="49">
        <v>25.9</v>
      </c>
      <c r="E1266" s="609">
        <f t="shared" si="19"/>
        <v>25.9</v>
      </c>
      <c r="F1266" s="607" t="s">
        <v>418</v>
      </c>
      <c r="G1266" s="882" t="s">
        <v>914</v>
      </c>
    </row>
    <row r="1267" spans="1:7" s="14" customFormat="1" ht="34.5" customHeight="1" outlineLevel="1" x14ac:dyDescent="0.25">
      <c r="A1267" s="57"/>
      <c r="B1267" s="61" t="s">
        <v>314</v>
      </c>
      <c r="C1267" s="62" t="s">
        <v>57</v>
      </c>
      <c r="D1267" s="49">
        <v>3.15</v>
      </c>
      <c r="E1267" s="609">
        <f t="shared" si="19"/>
        <v>3.15</v>
      </c>
      <c r="F1267" s="607" t="s">
        <v>418</v>
      </c>
      <c r="G1267" s="882" t="s">
        <v>914</v>
      </c>
    </row>
    <row r="1268" spans="1:7" s="14" customFormat="1" ht="34.5" customHeight="1" outlineLevel="1" x14ac:dyDescent="0.25">
      <c r="A1268" s="57"/>
      <c r="B1268" s="61" t="s">
        <v>315</v>
      </c>
      <c r="C1268" s="62" t="s">
        <v>57</v>
      </c>
      <c r="D1268" s="49">
        <v>0.35000000000000009</v>
      </c>
      <c r="E1268" s="609">
        <f t="shared" si="19"/>
        <v>0.35000000000000009</v>
      </c>
      <c r="F1268" s="607" t="s">
        <v>418</v>
      </c>
      <c r="G1268" s="882" t="s">
        <v>914</v>
      </c>
    </row>
    <row r="1269" spans="1:7" s="14" customFormat="1" ht="34.5" customHeight="1" outlineLevel="1" x14ac:dyDescent="0.25">
      <c r="A1269" s="57"/>
      <c r="B1269" s="61" t="s">
        <v>316</v>
      </c>
      <c r="C1269" s="62" t="s">
        <v>57</v>
      </c>
      <c r="D1269" s="49">
        <v>3.15</v>
      </c>
      <c r="E1269" s="609">
        <f t="shared" si="19"/>
        <v>3.15</v>
      </c>
      <c r="F1269" s="607" t="s">
        <v>418</v>
      </c>
      <c r="G1269" s="882" t="s">
        <v>914</v>
      </c>
    </row>
    <row r="1270" spans="1:7" s="14" customFormat="1" ht="34.5" customHeight="1" outlineLevel="1" x14ac:dyDescent="0.25">
      <c r="A1270" s="57"/>
      <c r="B1270" s="61" t="s">
        <v>317</v>
      </c>
      <c r="C1270" s="62" t="s">
        <v>77</v>
      </c>
      <c r="D1270" s="49">
        <v>25.9</v>
      </c>
      <c r="E1270" s="609">
        <f t="shared" si="19"/>
        <v>25.9</v>
      </c>
      <c r="F1270" s="607" t="s">
        <v>418</v>
      </c>
      <c r="G1270" s="882" t="s">
        <v>914</v>
      </c>
    </row>
    <row r="1271" spans="1:7" s="14" customFormat="1" ht="34.5" customHeight="1" outlineLevel="1" x14ac:dyDescent="0.25">
      <c r="A1271" s="57"/>
      <c r="B1271" s="883" t="s">
        <v>318</v>
      </c>
      <c r="C1271" s="91" t="s">
        <v>76</v>
      </c>
      <c r="D1271" s="49" t="s">
        <v>129</v>
      </c>
      <c r="E1271" s="609" t="str">
        <f t="shared" si="19"/>
        <v>3/27</v>
      </c>
      <c r="F1271" s="607" t="s">
        <v>418</v>
      </c>
      <c r="G1271" s="882" t="s">
        <v>914</v>
      </c>
    </row>
    <row r="1272" spans="1:7" s="14" customFormat="1" ht="34.5" customHeight="1" outlineLevel="1" x14ac:dyDescent="0.25">
      <c r="A1272" s="57"/>
      <c r="B1272" s="61" t="s">
        <v>319</v>
      </c>
      <c r="C1272" s="62" t="s">
        <v>116</v>
      </c>
      <c r="D1272" s="49">
        <v>2.35</v>
      </c>
      <c r="E1272" s="609">
        <f t="shared" si="19"/>
        <v>2.35</v>
      </c>
      <c r="F1272" s="607" t="s">
        <v>418</v>
      </c>
      <c r="G1272" s="882" t="s">
        <v>914</v>
      </c>
    </row>
    <row r="1273" spans="1:7" s="14" customFormat="1" ht="34.5" customHeight="1" outlineLevel="1" x14ac:dyDescent="0.25">
      <c r="A1273" s="57"/>
      <c r="B1273" s="61" t="s">
        <v>320</v>
      </c>
      <c r="C1273" s="62" t="s">
        <v>57</v>
      </c>
      <c r="D1273" s="49">
        <v>0.27</v>
      </c>
      <c r="E1273" s="609">
        <f t="shared" si="19"/>
        <v>0.27</v>
      </c>
      <c r="F1273" s="607" t="s">
        <v>418</v>
      </c>
      <c r="G1273" s="882" t="s">
        <v>914</v>
      </c>
    </row>
    <row r="1274" spans="1:7" s="14" customFormat="1" ht="34.5" customHeight="1" outlineLevel="1" x14ac:dyDescent="0.25">
      <c r="A1274" s="57"/>
      <c r="B1274" s="61" t="s">
        <v>321</v>
      </c>
      <c r="C1274" s="62" t="s">
        <v>57</v>
      </c>
      <c r="D1274" s="49">
        <v>3.0000000000000027E-2</v>
      </c>
      <c r="E1274" s="609">
        <f t="shared" si="19"/>
        <v>3.0000000000000027E-2</v>
      </c>
      <c r="F1274" s="607" t="s">
        <v>418</v>
      </c>
      <c r="G1274" s="882" t="s">
        <v>914</v>
      </c>
    </row>
    <row r="1275" spans="1:7" s="14" customFormat="1" ht="34.5" customHeight="1" outlineLevel="1" x14ac:dyDescent="0.25">
      <c r="A1275" s="57"/>
      <c r="B1275" s="61" t="s">
        <v>322</v>
      </c>
      <c r="C1275" s="62" t="s">
        <v>57</v>
      </c>
      <c r="D1275" s="49">
        <v>0.27</v>
      </c>
      <c r="E1275" s="609">
        <f t="shared" si="19"/>
        <v>0.27</v>
      </c>
      <c r="F1275" s="607" t="s">
        <v>418</v>
      </c>
      <c r="G1275" s="882" t="s">
        <v>914</v>
      </c>
    </row>
    <row r="1276" spans="1:7" s="14" customFormat="1" ht="34.5" customHeight="1" outlineLevel="1" x14ac:dyDescent="0.25">
      <c r="A1276" s="57"/>
      <c r="B1276" s="61" t="s">
        <v>323</v>
      </c>
      <c r="C1276" s="62" t="s">
        <v>77</v>
      </c>
      <c r="D1276" s="49">
        <v>2.35</v>
      </c>
      <c r="E1276" s="609">
        <f t="shared" si="19"/>
        <v>2.35</v>
      </c>
      <c r="F1276" s="607" t="s">
        <v>418</v>
      </c>
      <c r="G1276" s="882" t="s">
        <v>914</v>
      </c>
    </row>
    <row r="1277" spans="1:7" s="14" customFormat="1" ht="34.5" customHeight="1" outlineLevel="1" x14ac:dyDescent="0.25">
      <c r="A1277" s="57"/>
      <c r="B1277" s="61" t="s">
        <v>324</v>
      </c>
      <c r="C1277" s="62" t="s">
        <v>77</v>
      </c>
      <c r="D1277" s="49">
        <v>2.2999999999999998</v>
      </c>
      <c r="E1277" s="609">
        <f t="shared" si="19"/>
        <v>2.2999999999999998</v>
      </c>
      <c r="F1277" s="607" t="s">
        <v>418</v>
      </c>
      <c r="G1277" s="882" t="s">
        <v>914</v>
      </c>
    </row>
    <row r="1278" spans="1:7" s="14" customFormat="1" ht="34.5" customHeight="1" outlineLevel="1" x14ac:dyDescent="0.25">
      <c r="A1278" s="57"/>
      <c r="B1278" s="61" t="s">
        <v>325</v>
      </c>
      <c r="C1278" s="62" t="s">
        <v>139</v>
      </c>
      <c r="D1278" s="49">
        <v>2.2999999999999998</v>
      </c>
      <c r="E1278" s="609">
        <f t="shared" si="19"/>
        <v>2.2999999999999998</v>
      </c>
      <c r="F1278" s="607" t="s">
        <v>418</v>
      </c>
      <c r="G1278" s="882" t="s">
        <v>914</v>
      </c>
    </row>
    <row r="1279" spans="1:7" s="14" customFormat="1" ht="34.5" customHeight="1" outlineLevel="1" x14ac:dyDescent="0.25">
      <c r="A1279" s="57"/>
      <c r="B1279" s="61" t="s">
        <v>326</v>
      </c>
      <c r="C1279" s="62" t="s">
        <v>139</v>
      </c>
      <c r="D1279" s="49">
        <v>2.2999999999999998</v>
      </c>
      <c r="E1279" s="609">
        <f t="shared" si="19"/>
        <v>2.2999999999999998</v>
      </c>
      <c r="F1279" s="607" t="s">
        <v>418</v>
      </c>
      <c r="G1279" s="882" t="s">
        <v>914</v>
      </c>
    </row>
    <row r="1280" spans="1:7" s="14" customFormat="1" ht="42.75" customHeight="1" outlineLevel="1" x14ac:dyDescent="0.25">
      <c r="A1280" s="57"/>
      <c r="B1280" s="883" t="s">
        <v>327</v>
      </c>
      <c r="C1280" s="62"/>
      <c r="D1280" s="49"/>
      <c r="E1280" s="609">
        <f t="shared" si="19"/>
        <v>0</v>
      </c>
      <c r="F1280" s="607" t="s">
        <v>418</v>
      </c>
      <c r="G1280" s="882" t="s">
        <v>914</v>
      </c>
    </row>
    <row r="1281" spans="1:7" s="14" customFormat="1" ht="34.5" customHeight="1" outlineLevel="1" x14ac:dyDescent="0.25">
      <c r="A1281" s="57"/>
      <c r="B1281" s="61" t="s">
        <v>328</v>
      </c>
      <c r="C1281" s="62" t="s">
        <v>77</v>
      </c>
      <c r="D1281" s="49">
        <v>-1.1499999999999999</v>
      </c>
      <c r="E1281" s="609">
        <f t="shared" si="19"/>
        <v>-1.1499999999999999</v>
      </c>
      <c r="F1281" s="607" t="s">
        <v>418</v>
      </c>
      <c r="G1281" s="882" t="s">
        <v>914</v>
      </c>
    </row>
    <row r="1282" spans="1:7" s="14" customFormat="1" ht="34.5" customHeight="1" outlineLevel="1" x14ac:dyDescent="0.25">
      <c r="A1282" s="57"/>
      <c r="B1282" s="61" t="s">
        <v>329</v>
      </c>
      <c r="C1282" s="62" t="s">
        <v>77</v>
      </c>
      <c r="D1282" s="49">
        <v>1.1499999999999999</v>
      </c>
      <c r="E1282" s="609">
        <f t="shared" si="19"/>
        <v>1.1499999999999999</v>
      </c>
      <c r="F1282" s="607" t="s">
        <v>418</v>
      </c>
      <c r="G1282" s="882" t="s">
        <v>914</v>
      </c>
    </row>
    <row r="1283" spans="1:7" s="14" customFormat="1" ht="34.5" customHeight="1" outlineLevel="1" x14ac:dyDescent="0.25">
      <c r="A1283" s="57"/>
      <c r="B1283" s="61" t="s">
        <v>330</v>
      </c>
      <c r="C1283" s="62" t="s">
        <v>331</v>
      </c>
      <c r="D1283" s="49">
        <v>10</v>
      </c>
      <c r="E1283" s="609">
        <f t="shared" si="19"/>
        <v>10</v>
      </c>
      <c r="F1283" s="607" t="s">
        <v>418</v>
      </c>
      <c r="G1283" s="882" t="s">
        <v>914</v>
      </c>
    </row>
    <row r="1284" spans="1:7" s="14" customFormat="1" ht="34.5" customHeight="1" outlineLevel="1" x14ac:dyDescent="0.25">
      <c r="A1284" s="57"/>
      <c r="B1284" s="61" t="s">
        <v>300</v>
      </c>
      <c r="C1284" s="62" t="s">
        <v>116</v>
      </c>
      <c r="D1284" s="49">
        <v>4.29</v>
      </c>
      <c r="E1284" s="609">
        <f t="shared" si="19"/>
        <v>4.29</v>
      </c>
      <c r="F1284" s="607" t="s">
        <v>418</v>
      </c>
      <c r="G1284" s="882" t="s">
        <v>914</v>
      </c>
    </row>
    <row r="1285" spans="1:7" s="14" customFormat="1" ht="34.5" customHeight="1" outlineLevel="1" x14ac:dyDescent="0.25">
      <c r="A1285" s="57"/>
      <c r="B1285" s="61" t="s">
        <v>332</v>
      </c>
      <c r="C1285" s="62" t="s">
        <v>10</v>
      </c>
      <c r="D1285" s="49">
        <v>2.2999999999999998</v>
      </c>
      <c r="E1285" s="609">
        <f t="shared" si="19"/>
        <v>2.2999999999999998</v>
      </c>
      <c r="F1285" s="607" t="s">
        <v>418</v>
      </c>
      <c r="G1285" s="882" t="s">
        <v>914</v>
      </c>
    </row>
    <row r="1286" spans="1:7" s="947" customFormat="1" ht="34.5" customHeight="1" x14ac:dyDescent="0.25">
      <c r="A1286" s="907" t="s">
        <v>966</v>
      </c>
      <c r="B1286" s="908" t="s">
        <v>1096</v>
      </c>
      <c r="C1286" s="909"/>
      <c r="D1286" s="910"/>
      <c r="E1286" s="911">
        <f t="shared" si="19"/>
        <v>0</v>
      </c>
      <c r="F1286" s="912"/>
      <c r="G1286" s="980"/>
    </row>
    <row r="1287" spans="1:7" s="14" customFormat="1" ht="34.5" hidden="1" customHeight="1" outlineLevel="1" x14ac:dyDescent="0.25">
      <c r="A1287" s="57">
        <v>1</v>
      </c>
      <c r="B1287" s="58" t="s">
        <v>1097</v>
      </c>
      <c r="C1287" s="57" t="s">
        <v>334</v>
      </c>
      <c r="D1287" s="52">
        <v>1</v>
      </c>
      <c r="E1287" s="609">
        <f t="shared" si="19"/>
        <v>1</v>
      </c>
      <c r="F1287" s="607"/>
      <c r="G1287" s="882"/>
    </row>
    <row r="1288" spans="1:7" s="14" customFormat="1" ht="34.5" hidden="1" customHeight="1" outlineLevel="2" x14ac:dyDescent="0.25">
      <c r="A1288" s="57"/>
      <c r="B1288" s="58" t="s">
        <v>1098</v>
      </c>
      <c r="C1288" s="57" t="s">
        <v>334</v>
      </c>
      <c r="D1288" s="52">
        <v>1</v>
      </c>
      <c r="E1288" s="609">
        <f t="shared" si="19"/>
        <v>1</v>
      </c>
      <c r="F1288" s="607"/>
      <c r="G1288" s="882"/>
    </row>
    <row r="1289" spans="1:7" s="14" customFormat="1" ht="34.5" hidden="1" customHeight="1" outlineLevel="2" x14ac:dyDescent="0.25">
      <c r="A1289" s="57"/>
      <c r="B1289" s="884" t="s">
        <v>1099</v>
      </c>
      <c r="C1289" s="91" t="s">
        <v>77</v>
      </c>
      <c r="D1289" s="49">
        <v>0</v>
      </c>
      <c r="E1289" s="609">
        <f t="shared" si="19"/>
        <v>0</v>
      </c>
      <c r="F1289" s="607"/>
      <c r="G1289" s="882"/>
    </row>
    <row r="1290" spans="1:7" s="14" customFormat="1" ht="34.5" hidden="1" customHeight="1" outlineLevel="2" x14ac:dyDescent="0.25">
      <c r="A1290" s="57"/>
      <c r="B1290" s="76" t="s">
        <v>1100</v>
      </c>
      <c r="C1290" s="62" t="s">
        <v>116</v>
      </c>
      <c r="D1290" s="49">
        <v>0</v>
      </c>
      <c r="E1290" s="609">
        <f t="shared" si="19"/>
        <v>0</v>
      </c>
      <c r="F1290" s="607"/>
      <c r="G1290" s="882"/>
    </row>
    <row r="1291" spans="1:7" s="14" customFormat="1" ht="34.5" hidden="1" customHeight="1" outlineLevel="2" x14ac:dyDescent="0.25">
      <c r="A1291" s="57"/>
      <c r="B1291" s="76" t="s">
        <v>1101</v>
      </c>
      <c r="C1291" s="62" t="s">
        <v>116</v>
      </c>
      <c r="D1291" s="49">
        <v>0</v>
      </c>
      <c r="E1291" s="609">
        <f t="shared" si="19"/>
        <v>0</v>
      </c>
      <c r="F1291" s="607"/>
      <c r="G1291" s="882"/>
    </row>
    <row r="1292" spans="1:7" s="14" customFormat="1" ht="34.5" hidden="1" customHeight="1" outlineLevel="2" x14ac:dyDescent="0.25">
      <c r="A1292" s="57"/>
      <c r="B1292" s="76" t="s">
        <v>1102</v>
      </c>
      <c r="C1292" s="62" t="s">
        <v>116</v>
      </c>
      <c r="D1292" s="49">
        <v>0</v>
      </c>
      <c r="E1292" s="609">
        <f t="shared" si="19"/>
        <v>0</v>
      </c>
      <c r="F1292" s="607"/>
      <c r="G1292" s="882"/>
    </row>
    <row r="1293" spans="1:7" s="14" customFormat="1" ht="34.5" hidden="1" customHeight="1" outlineLevel="2" x14ac:dyDescent="0.25">
      <c r="A1293" s="57"/>
      <c r="B1293" s="76" t="s">
        <v>1103</v>
      </c>
      <c r="C1293" s="62" t="s">
        <v>116</v>
      </c>
      <c r="D1293" s="49">
        <v>0</v>
      </c>
      <c r="E1293" s="609">
        <f t="shared" si="19"/>
        <v>0</v>
      </c>
      <c r="F1293" s="607"/>
      <c r="G1293" s="882"/>
    </row>
    <row r="1294" spans="1:7" s="14" customFormat="1" ht="34.5" hidden="1" customHeight="1" outlineLevel="2" x14ac:dyDescent="0.25">
      <c r="A1294" s="57"/>
      <c r="B1294" s="884" t="s">
        <v>1104</v>
      </c>
      <c r="C1294" s="91" t="s">
        <v>116</v>
      </c>
      <c r="D1294" s="49">
        <v>69.710000000000008</v>
      </c>
      <c r="E1294" s="609">
        <f t="shared" si="19"/>
        <v>69.710000000000008</v>
      </c>
      <c r="F1294" s="607"/>
      <c r="G1294" s="882"/>
    </row>
    <row r="1295" spans="1:7" s="14" customFormat="1" ht="34.5" hidden="1" customHeight="1" outlineLevel="2" x14ac:dyDescent="0.25">
      <c r="A1295" s="57"/>
      <c r="B1295" s="76" t="s">
        <v>1105</v>
      </c>
      <c r="C1295" s="62" t="s">
        <v>139</v>
      </c>
      <c r="D1295" s="49">
        <v>69.710000000000008</v>
      </c>
      <c r="E1295" s="609">
        <f t="shared" si="19"/>
        <v>69.710000000000008</v>
      </c>
      <c r="F1295" s="607"/>
      <c r="G1295" s="882"/>
    </row>
    <row r="1296" spans="1:7" s="14" customFormat="1" ht="34.5" hidden="1" customHeight="1" outlineLevel="2" x14ac:dyDescent="0.25">
      <c r="A1296" s="57"/>
      <c r="B1296" s="61" t="s">
        <v>249</v>
      </c>
      <c r="C1296" s="62" t="s">
        <v>139</v>
      </c>
      <c r="D1296" s="49">
        <v>69.710000000000008</v>
      </c>
      <c r="E1296" s="609">
        <f t="shared" ref="E1296:E1359" si="20">D1296</f>
        <v>69.710000000000008</v>
      </c>
      <c r="F1296" s="607"/>
      <c r="G1296" s="882"/>
    </row>
    <row r="1297" spans="1:7" s="14" customFormat="1" ht="34.5" hidden="1" customHeight="1" outlineLevel="2" x14ac:dyDescent="0.25">
      <c r="A1297" s="57"/>
      <c r="B1297" s="61" t="s">
        <v>1106</v>
      </c>
      <c r="C1297" s="63" t="s">
        <v>139</v>
      </c>
      <c r="D1297" s="49">
        <v>69.710000000000008</v>
      </c>
      <c r="E1297" s="609">
        <f t="shared" si="20"/>
        <v>69.710000000000008</v>
      </c>
      <c r="F1297" s="607"/>
      <c r="G1297" s="882"/>
    </row>
    <row r="1298" spans="1:7" s="14" customFormat="1" ht="34.5" hidden="1" customHeight="1" outlineLevel="2" x14ac:dyDescent="0.25">
      <c r="A1298" s="57"/>
      <c r="B1298" s="61" t="s">
        <v>1107</v>
      </c>
      <c r="C1298" s="62" t="s">
        <v>10</v>
      </c>
      <c r="D1298" s="49">
        <v>5</v>
      </c>
      <c r="E1298" s="609">
        <f t="shared" si="20"/>
        <v>5</v>
      </c>
      <c r="F1298" s="607"/>
      <c r="G1298" s="882"/>
    </row>
    <row r="1299" spans="1:7" s="14" customFormat="1" ht="34.5" hidden="1" customHeight="1" outlineLevel="2" x14ac:dyDescent="0.25">
      <c r="A1299" s="57"/>
      <c r="B1299" s="61" t="s">
        <v>355</v>
      </c>
      <c r="C1299" s="62" t="s">
        <v>10</v>
      </c>
      <c r="D1299" s="49">
        <v>5</v>
      </c>
      <c r="E1299" s="609">
        <f t="shared" si="20"/>
        <v>5</v>
      </c>
      <c r="F1299" s="607"/>
      <c r="G1299" s="882"/>
    </row>
    <row r="1300" spans="1:7" s="14" customFormat="1" ht="34.5" hidden="1" customHeight="1" outlineLevel="2" x14ac:dyDescent="0.25">
      <c r="A1300" s="57"/>
      <c r="B1300" s="61" t="s">
        <v>1108</v>
      </c>
      <c r="C1300" s="62" t="s">
        <v>139</v>
      </c>
      <c r="D1300" s="49">
        <v>673.75</v>
      </c>
      <c r="E1300" s="609">
        <f t="shared" si="20"/>
        <v>673.75</v>
      </c>
      <c r="F1300" s="607"/>
      <c r="G1300" s="882"/>
    </row>
    <row r="1301" spans="1:7" s="14" customFormat="1" ht="34.5" hidden="1" customHeight="1" outlineLevel="1" collapsed="1" x14ac:dyDescent="0.25">
      <c r="A1301" s="57">
        <v>2</v>
      </c>
      <c r="B1301" s="58" t="s">
        <v>1109</v>
      </c>
      <c r="C1301" s="57" t="s">
        <v>334</v>
      </c>
      <c r="D1301" s="52"/>
      <c r="E1301" s="609">
        <f t="shared" si="20"/>
        <v>0</v>
      </c>
      <c r="F1301" s="607"/>
      <c r="G1301" s="882"/>
    </row>
    <row r="1302" spans="1:7" s="14" customFormat="1" ht="34.5" hidden="1" customHeight="1" outlineLevel="2" x14ac:dyDescent="0.25">
      <c r="A1302" s="57"/>
      <c r="B1302" s="76" t="s">
        <v>1110</v>
      </c>
      <c r="C1302" s="62" t="s">
        <v>339</v>
      </c>
      <c r="D1302" s="49"/>
      <c r="E1302" s="609">
        <f t="shared" si="20"/>
        <v>0</v>
      </c>
      <c r="F1302" s="607"/>
      <c r="G1302" s="882"/>
    </row>
    <row r="1303" spans="1:7" s="14" customFormat="1" ht="34.5" hidden="1" customHeight="1" outlineLevel="2" x14ac:dyDescent="0.25">
      <c r="A1303" s="57"/>
      <c r="B1303" s="76" t="s">
        <v>1111</v>
      </c>
      <c r="C1303" s="62" t="s">
        <v>121</v>
      </c>
      <c r="D1303" s="49"/>
      <c r="E1303" s="609">
        <f t="shared" si="20"/>
        <v>0</v>
      </c>
      <c r="F1303" s="607"/>
      <c r="G1303" s="882"/>
    </row>
    <row r="1304" spans="1:7" s="14" customFormat="1" ht="34.5" hidden="1" customHeight="1" outlineLevel="2" x14ac:dyDescent="0.25">
      <c r="A1304" s="57"/>
      <c r="B1304" s="76" t="s">
        <v>1112</v>
      </c>
      <c r="C1304" s="62" t="s">
        <v>10</v>
      </c>
      <c r="D1304" s="49"/>
      <c r="E1304" s="609">
        <f t="shared" si="20"/>
        <v>0</v>
      </c>
      <c r="F1304" s="607"/>
      <c r="G1304" s="882"/>
    </row>
    <row r="1305" spans="1:7" s="14" customFormat="1" ht="34.5" hidden="1" customHeight="1" outlineLevel="2" x14ac:dyDescent="0.25">
      <c r="A1305" s="57"/>
      <c r="B1305" s="61" t="s">
        <v>1113</v>
      </c>
      <c r="C1305" s="63" t="s">
        <v>331</v>
      </c>
      <c r="D1305" s="49"/>
      <c r="E1305" s="609">
        <f t="shared" si="20"/>
        <v>0</v>
      </c>
      <c r="F1305" s="607"/>
      <c r="G1305" s="882"/>
    </row>
    <row r="1306" spans="1:7" s="14" customFormat="1" ht="34.5" hidden="1" customHeight="1" outlineLevel="2" x14ac:dyDescent="0.25">
      <c r="A1306" s="57"/>
      <c r="B1306" s="58" t="s">
        <v>1114</v>
      </c>
      <c r="C1306" s="57" t="s">
        <v>77</v>
      </c>
      <c r="D1306" s="52"/>
      <c r="E1306" s="609">
        <f t="shared" si="20"/>
        <v>0</v>
      </c>
      <c r="F1306" s="607"/>
      <c r="G1306" s="882"/>
    </row>
    <row r="1307" spans="1:7" s="14" customFormat="1" ht="34.5" hidden="1" customHeight="1" outlineLevel="2" x14ac:dyDescent="0.25">
      <c r="A1307" s="57"/>
      <c r="B1307" s="61" t="s">
        <v>1115</v>
      </c>
      <c r="C1307" s="62" t="s">
        <v>139</v>
      </c>
      <c r="D1307" s="49"/>
      <c r="E1307" s="609">
        <f t="shared" si="20"/>
        <v>0</v>
      </c>
      <c r="F1307" s="607"/>
      <c r="G1307" s="882"/>
    </row>
    <row r="1308" spans="1:7" s="14" customFormat="1" ht="34.5" hidden="1" customHeight="1" outlineLevel="2" x14ac:dyDescent="0.25">
      <c r="A1308" s="57"/>
      <c r="B1308" s="61" t="s">
        <v>291</v>
      </c>
      <c r="C1308" s="62" t="s">
        <v>139</v>
      </c>
      <c r="D1308" s="49"/>
      <c r="E1308" s="609">
        <f t="shared" si="20"/>
        <v>0</v>
      </c>
      <c r="F1308" s="607"/>
      <c r="G1308" s="882"/>
    </row>
    <row r="1309" spans="1:7" s="14" customFormat="1" ht="34.5" hidden="1" customHeight="1" outlineLevel="2" x14ac:dyDescent="0.25">
      <c r="A1309" s="57"/>
      <c r="B1309" s="61" t="s">
        <v>292</v>
      </c>
      <c r="C1309" s="63" t="s">
        <v>139</v>
      </c>
      <c r="D1309" s="49"/>
      <c r="E1309" s="609">
        <f t="shared" si="20"/>
        <v>0</v>
      </c>
      <c r="F1309" s="607"/>
      <c r="G1309" s="882"/>
    </row>
    <row r="1310" spans="1:7" s="14" customFormat="1" ht="34.5" hidden="1" customHeight="1" outlineLevel="2" x14ac:dyDescent="0.25">
      <c r="A1310" s="57"/>
      <c r="B1310" s="61" t="s">
        <v>1107</v>
      </c>
      <c r="C1310" s="62" t="s">
        <v>10</v>
      </c>
      <c r="D1310" s="49"/>
      <c r="E1310" s="609">
        <f t="shared" si="20"/>
        <v>0</v>
      </c>
      <c r="F1310" s="607"/>
      <c r="G1310" s="882"/>
    </row>
    <row r="1311" spans="1:7" s="14" customFormat="1" ht="34.5" hidden="1" customHeight="1" outlineLevel="2" x14ac:dyDescent="0.25">
      <c r="A1311" s="57"/>
      <c r="B1311" s="61" t="s">
        <v>355</v>
      </c>
      <c r="C1311" s="62" t="s">
        <v>10</v>
      </c>
      <c r="D1311" s="49"/>
      <c r="E1311" s="609">
        <f t="shared" si="20"/>
        <v>0</v>
      </c>
      <c r="F1311" s="607"/>
      <c r="G1311" s="882"/>
    </row>
    <row r="1312" spans="1:7" s="14" customFormat="1" ht="34.5" hidden="1" customHeight="1" outlineLevel="2" x14ac:dyDescent="0.25">
      <c r="A1312" s="57"/>
      <c r="B1312" s="61" t="s">
        <v>1108</v>
      </c>
      <c r="C1312" s="62" t="s">
        <v>139</v>
      </c>
      <c r="D1312" s="49"/>
      <c r="E1312" s="609">
        <f t="shared" si="20"/>
        <v>0</v>
      </c>
      <c r="F1312" s="607"/>
      <c r="G1312" s="882"/>
    </row>
    <row r="1313" spans="1:7" s="14" customFormat="1" ht="34.5" hidden="1" customHeight="1" outlineLevel="2" x14ac:dyDescent="0.25">
      <c r="A1313" s="57"/>
      <c r="B1313" s="61" t="s">
        <v>967</v>
      </c>
      <c r="C1313" s="63" t="s">
        <v>57</v>
      </c>
      <c r="D1313" s="49"/>
      <c r="E1313" s="609">
        <f t="shared" si="20"/>
        <v>0</v>
      </c>
      <c r="F1313" s="607"/>
      <c r="G1313" s="882"/>
    </row>
    <row r="1314" spans="1:7" s="14" customFormat="1" ht="34.5" hidden="1" customHeight="1" outlineLevel="2" x14ac:dyDescent="0.25">
      <c r="A1314" s="57"/>
      <c r="B1314" s="88" t="s">
        <v>1116</v>
      </c>
      <c r="C1314" s="87"/>
      <c r="D1314" s="49"/>
      <c r="E1314" s="609">
        <f t="shared" si="20"/>
        <v>0</v>
      </c>
      <c r="F1314" s="607"/>
      <c r="G1314" s="882"/>
    </row>
    <row r="1315" spans="1:7" s="14" customFormat="1" ht="34.5" hidden="1" customHeight="1" outlineLevel="2" x14ac:dyDescent="0.25">
      <c r="A1315" s="57"/>
      <c r="B1315" s="597" t="s">
        <v>1117</v>
      </c>
      <c r="C1315" s="598" t="s">
        <v>116</v>
      </c>
      <c r="D1315" s="49">
        <v>0.78100000000000003</v>
      </c>
      <c r="E1315" s="609">
        <f t="shared" si="20"/>
        <v>0.78100000000000003</v>
      </c>
      <c r="F1315" s="607"/>
      <c r="G1315" s="882"/>
    </row>
    <row r="1316" spans="1:7" s="14" customFormat="1" ht="34.5" hidden="1" customHeight="1" outlineLevel="2" x14ac:dyDescent="0.25">
      <c r="A1316" s="57"/>
      <c r="B1316" s="597" t="s">
        <v>1118</v>
      </c>
      <c r="C1316" s="598" t="s">
        <v>116</v>
      </c>
      <c r="D1316" s="49">
        <v>1.5920000000000001</v>
      </c>
      <c r="E1316" s="609">
        <f t="shared" si="20"/>
        <v>1.5920000000000001</v>
      </c>
      <c r="F1316" s="607"/>
      <c r="G1316" s="882"/>
    </row>
    <row r="1317" spans="1:7" s="14" customFormat="1" ht="34.5" hidden="1" customHeight="1" outlineLevel="2" x14ac:dyDescent="0.25">
      <c r="A1317" s="57"/>
      <c r="B1317" s="599" t="s">
        <v>1119</v>
      </c>
      <c r="C1317" s="598" t="s">
        <v>116</v>
      </c>
      <c r="D1317" s="49">
        <v>32.445999999999998</v>
      </c>
      <c r="E1317" s="609">
        <f t="shared" si="20"/>
        <v>32.445999999999998</v>
      </c>
      <c r="F1317" s="607"/>
      <c r="G1317" s="882"/>
    </row>
    <row r="1318" spans="1:7" s="14" customFormat="1" ht="34.5" hidden="1" customHeight="1" outlineLevel="2" x14ac:dyDescent="0.25">
      <c r="A1318" s="57"/>
      <c r="B1318" s="67" t="s">
        <v>1120</v>
      </c>
      <c r="C1318" s="66" t="s">
        <v>116</v>
      </c>
      <c r="D1318" s="49">
        <v>11.158799999999999</v>
      </c>
      <c r="E1318" s="609">
        <f t="shared" si="20"/>
        <v>11.158799999999999</v>
      </c>
      <c r="F1318" s="607"/>
      <c r="G1318" s="882"/>
    </row>
    <row r="1319" spans="1:7" s="14" customFormat="1" ht="34.5" hidden="1" customHeight="1" outlineLevel="2" x14ac:dyDescent="0.25">
      <c r="A1319" s="57"/>
      <c r="B1319" s="67" t="s">
        <v>1121</v>
      </c>
      <c r="C1319" s="66" t="s">
        <v>116</v>
      </c>
      <c r="D1319" s="49">
        <v>6.7679999999999998</v>
      </c>
      <c r="E1319" s="609">
        <f t="shared" si="20"/>
        <v>6.7679999999999998</v>
      </c>
      <c r="F1319" s="607"/>
      <c r="G1319" s="882"/>
    </row>
    <row r="1320" spans="1:7" s="14" customFormat="1" ht="34.5" hidden="1" customHeight="1" outlineLevel="2" x14ac:dyDescent="0.25">
      <c r="A1320" s="57"/>
      <c r="B1320" s="67" t="s">
        <v>1122</v>
      </c>
      <c r="C1320" s="66" t="s">
        <v>116</v>
      </c>
      <c r="D1320" s="49">
        <v>12.539000000000001</v>
      </c>
      <c r="E1320" s="609">
        <f t="shared" si="20"/>
        <v>12.539000000000001</v>
      </c>
      <c r="F1320" s="607"/>
      <c r="G1320" s="882"/>
    </row>
    <row r="1321" spans="1:7" s="14" customFormat="1" ht="34.5" hidden="1" customHeight="1" outlineLevel="2" x14ac:dyDescent="0.25">
      <c r="A1321" s="57"/>
      <c r="B1321" s="67" t="s">
        <v>1123</v>
      </c>
      <c r="C1321" s="66" t="s">
        <v>116</v>
      </c>
      <c r="D1321" s="49">
        <v>4.353199999999994</v>
      </c>
      <c r="E1321" s="609">
        <f t="shared" si="20"/>
        <v>4.353199999999994</v>
      </c>
      <c r="F1321" s="607"/>
      <c r="G1321" s="882"/>
    </row>
    <row r="1322" spans="1:7" s="14" customFormat="1" ht="34.5" hidden="1" customHeight="1" outlineLevel="2" x14ac:dyDescent="0.25">
      <c r="A1322" s="57"/>
      <c r="B1322" s="67" t="s">
        <v>291</v>
      </c>
      <c r="C1322" s="66" t="s">
        <v>139</v>
      </c>
      <c r="D1322" s="49">
        <v>34.818999999999996</v>
      </c>
      <c r="E1322" s="609">
        <f t="shared" si="20"/>
        <v>34.818999999999996</v>
      </c>
      <c r="F1322" s="607"/>
      <c r="G1322" s="882"/>
    </row>
    <row r="1323" spans="1:7" s="14" customFormat="1" ht="34.5" hidden="1" customHeight="1" outlineLevel="2" x14ac:dyDescent="0.25">
      <c r="A1323" s="57"/>
      <c r="B1323" s="67" t="s">
        <v>292</v>
      </c>
      <c r="C1323" s="87" t="s">
        <v>139</v>
      </c>
      <c r="D1323" s="49">
        <v>34.818999999999996</v>
      </c>
      <c r="E1323" s="609">
        <f t="shared" si="20"/>
        <v>34.818999999999996</v>
      </c>
      <c r="F1323" s="607"/>
      <c r="G1323" s="882"/>
    </row>
    <row r="1324" spans="1:7" s="14" customFormat="1" ht="34.5" hidden="1" customHeight="1" outlineLevel="2" x14ac:dyDescent="0.25">
      <c r="A1324" s="57"/>
      <c r="B1324" s="599" t="s">
        <v>1124</v>
      </c>
      <c r="C1324" s="87"/>
      <c r="D1324" s="49"/>
      <c r="E1324" s="609">
        <f t="shared" si="20"/>
        <v>0</v>
      </c>
      <c r="F1324" s="607"/>
      <c r="G1324" s="882"/>
    </row>
    <row r="1325" spans="1:7" s="14" customFormat="1" ht="34.5" hidden="1" customHeight="1" outlineLevel="2" x14ac:dyDescent="0.25">
      <c r="A1325" s="57"/>
      <c r="B1325" s="67" t="s">
        <v>81</v>
      </c>
      <c r="C1325" s="66" t="s">
        <v>77</v>
      </c>
      <c r="D1325" s="49">
        <v>0.20300000000000001</v>
      </c>
      <c r="E1325" s="609">
        <f t="shared" si="20"/>
        <v>0.20300000000000001</v>
      </c>
      <c r="F1325" s="607"/>
      <c r="G1325" s="882"/>
    </row>
    <row r="1326" spans="1:7" s="14" customFormat="1" ht="34.5" hidden="1" customHeight="1" outlineLevel="2" x14ac:dyDescent="0.25">
      <c r="A1326" s="57"/>
      <c r="B1326" s="67" t="s">
        <v>87</v>
      </c>
      <c r="C1326" s="66" t="s">
        <v>77</v>
      </c>
      <c r="D1326" s="49">
        <v>1.105</v>
      </c>
      <c r="E1326" s="609">
        <f t="shared" si="20"/>
        <v>1.105</v>
      </c>
      <c r="F1326" s="607"/>
      <c r="G1326" s="882"/>
    </row>
    <row r="1327" spans="1:7" s="14" customFormat="1" ht="34.5" hidden="1" customHeight="1" outlineLevel="2" x14ac:dyDescent="0.25">
      <c r="A1327" s="57"/>
      <c r="B1327" s="67" t="s">
        <v>88</v>
      </c>
      <c r="C1327" s="87" t="s">
        <v>10</v>
      </c>
      <c r="D1327" s="49">
        <v>95</v>
      </c>
      <c r="E1327" s="609">
        <f t="shared" si="20"/>
        <v>95</v>
      </c>
      <c r="F1327" s="607"/>
      <c r="G1327" s="882"/>
    </row>
    <row r="1328" spans="1:7" s="14" customFormat="1" ht="34.5" hidden="1" customHeight="1" outlineLevel="2" x14ac:dyDescent="0.25">
      <c r="A1328" s="57"/>
      <c r="B1328" s="67" t="s">
        <v>90</v>
      </c>
      <c r="C1328" s="87" t="s">
        <v>77</v>
      </c>
      <c r="D1328" s="49">
        <v>5.5759999999999997E-2</v>
      </c>
      <c r="E1328" s="609">
        <f t="shared" si="20"/>
        <v>5.5759999999999997E-2</v>
      </c>
      <c r="F1328" s="607"/>
      <c r="G1328" s="882"/>
    </row>
    <row r="1329" spans="1:7" s="14" customFormat="1" ht="34.5" hidden="1" customHeight="1" outlineLevel="2" x14ac:dyDescent="0.25">
      <c r="A1329" s="57"/>
      <c r="B1329" s="67" t="s">
        <v>1125</v>
      </c>
      <c r="C1329" s="66" t="s">
        <v>124</v>
      </c>
      <c r="D1329" s="49">
        <v>60</v>
      </c>
      <c r="E1329" s="609">
        <f t="shared" si="20"/>
        <v>60</v>
      </c>
      <c r="F1329" s="607"/>
      <c r="G1329" s="882"/>
    </row>
    <row r="1330" spans="1:7" s="14" customFormat="1" ht="34.5" hidden="1" customHeight="1" outlineLevel="2" x14ac:dyDescent="0.25">
      <c r="A1330" s="57"/>
      <c r="B1330" s="67" t="s">
        <v>1126</v>
      </c>
      <c r="C1330" s="66" t="s">
        <v>124</v>
      </c>
      <c r="D1330" s="49">
        <v>22</v>
      </c>
      <c r="E1330" s="609">
        <f t="shared" si="20"/>
        <v>22</v>
      </c>
      <c r="F1330" s="607"/>
      <c r="G1330" s="882"/>
    </row>
    <row r="1331" spans="1:7" s="14" customFormat="1" ht="34.5" hidden="1" customHeight="1" outlineLevel="2" x14ac:dyDescent="0.25">
      <c r="A1331" s="57"/>
      <c r="B1331" s="67" t="s">
        <v>296</v>
      </c>
      <c r="C1331" s="66" t="s">
        <v>126</v>
      </c>
      <c r="D1331" s="49">
        <v>9.2692800000000002</v>
      </c>
      <c r="E1331" s="609">
        <f t="shared" si="20"/>
        <v>9.2692800000000002</v>
      </c>
      <c r="F1331" s="607"/>
      <c r="G1331" s="882"/>
    </row>
    <row r="1332" spans="1:7" s="14" customFormat="1" ht="34.5" hidden="1" customHeight="1" outlineLevel="2" x14ac:dyDescent="0.25">
      <c r="A1332" s="57"/>
      <c r="B1332" s="67" t="s">
        <v>1127</v>
      </c>
      <c r="C1332" s="66" t="s">
        <v>139</v>
      </c>
      <c r="D1332" s="49">
        <v>0.97</v>
      </c>
      <c r="E1332" s="609">
        <f t="shared" si="20"/>
        <v>0.97</v>
      </c>
      <c r="F1332" s="607"/>
      <c r="G1332" s="882"/>
    </row>
    <row r="1333" spans="1:7" s="14" customFormat="1" ht="34.5" hidden="1" customHeight="1" outlineLevel="2" x14ac:dyDescent="0.25">
      <c r="A1333" s="57"/>
      <c r="B1333" s="600" t="s">
        <v>298</v>
      </c>
      <c r="C1333" s="66" t="s">
        <v>124</v>
      </c>
      <c r="D1333" s="49">
        <v>12</v>
      </c>
      <c r="E1333" s="609">
        <f t="shared" si="20"/>
        <v>12</v>
      </c>
      <c r="F1333" s="607"/>
      <c r="G1333" s="882"/>
    </row>
    <row r="1334" spans="1:7" s="14" customFormat="1" ht="34.5" hidden="1" customHeight="1" outlineLevel="2" x14ac:dyDescent="0.25">
      <c r="A1334" s="57"/>
      <c r="B1334" s="67" t="s">
        <v>228</v>
      </c>
      <c r="C1334" s="66" t="s">
        <v>57</v>
      </c>
      <c r="D1334" s="49">
        <v>0.12</v>
      </c>
      <c r="E1334" s="609">
        <f t="shared" si="20"/>
        <v>0.12</v>
      </c>
      <c r="F1334" s="607"/>
      <c r="G1334" s="882"/>
    </row>
    <row r="1335" spans="1:7" s="14" customFormat="1" ht="34.5" hidden="1" customHeight="1" outlineLevel="2" x14ac:dyDescent="0.25">
      <c r="A1335" s="57"/>
      <c r="B1335" s="67" t="s">
        <v>276</v>
      </c>
      <c r="C1335" s="66" t="s">
        <v>10</v>
      </c>
      <c r="D1335" s="49">
        <v>108.84</v>
      </c>
      <c r="E1335" s="609">
        <f t="shared" si="20"/>
        <v>108.84</v>
      </c>
      <c r="F1335" s="607"/>
      <c r="G1335" s="882"/>
    </row>
    <row r="1336" spans="1:7" s="14" customFormat="1" ht="34.5" hidden="1" customHeight="1" outlineLevel="1" collapsed="1" x14ac:dyDescent="0.25">
      <c r="A1336" s="57">
        <v>3</v>
      </c>
      <c r="B1336" s="58" t="s">
        <v>1128</v>
      </c>
      <c r="C1336" s="57" t="s">
        <v>334</v>
      </c>
      <c r="D1336" s="52">
        <v>1</v>
      </c>
      <c r="E1336" s="609">
        <f t="shared" si="20"/>
        <v>1</v>
      </c>
      <c r="F1336" s="607"/>
      <c r="G1336" s="882"/>
    </row>
    <row r="1337" spans="1:7" s="14" customFormat="1" ht="34.5" hidden="1" customHeight="1" outlineLevel="1" x14ac:dyDescent="0.25">
      <c r="A1337" s="57"/>
      <c r="B1337" s="76" t="s">
        <v>1129</v>
      </c>
      <c r="C1337" s="62" t="s">
        <v>139</v>
      </c>
      <c r="D1337" s="49">
        <v>4.0790800000000003</v>
      </c>
      <c r="E1337" s="609">
        <f t="shared" si="20"/>
        <v>4.0790800000000003</v>
      </c>
      <c r="F1337" s="607"/>
      <c r="G1337" s="882"/>
    </row>
    <row r="1338" spans="1:7" s="14" customFormat="1" ht="34.5" hidden="1" customHeight="1" outlineLevel="1" x14ac:dyDescent="0.25">
      <c r="A1338" s="57"/>
      <c r="B1338" s="76" t="s">
        <v>1130</v>
      </c>
      <c r="C1338" s="62" t="s">
        <v>139</v>
      </c>
      <c r="D1338" s="49">
        <v>4.0790800000000003</v>
      </c>
      <c r="E1338" s="609">
        <f t="shared" si="20"/>
        <v>4.0790800000000003</v>
      </c>
      <c r="F1338" s="607"/>
      <c r="G1338" s="882"/>
    </row>
    <row r="1339" spans="1:7" s="14" customFormat="1" ht="34.5" hidden="1" customHeight="1" outlineLevel="1" x14ac:dyDescent="0.25">
      <c r="A1339" s="57"/>
      <c r="B1339" s="76" t="s">
        <v>1131</v>
      </c>
      <c r="C1339" s="62" t="s">
        <v>139</v>
      </c>
      <c r="D1339" s="49">
        <v>4.0790800000000003</v>
      </c>
      <c r="E1339" s="609">
        <f t="shared" si="20"/>
        <v>4.0790800000000003</v>
      </c>
      <c r="F1339" s="607"/>
      <c r="G1339" s="882"/>
    </row>
    <row r="1340" spans="1:7" s="14" customFormat="1" ht="34.5" hidden="1" customHeight="1" outlineLevel="1" x14ac:dyDescent="0.25">
      <c r="A1340" s="57"/>
      <c r="B1340" s="76" t="s">
        <v>1132</v>
      </c>
      <c r="C1340" s="62" t="s">
        <v>659</v>
      </c>
      <c r="D1340" s="49">
        <v>358.6</v>
      </c>
      <c r="E1340" s="609">
        <f t="shared" si="20"/>
        <v>358.6</v>
      </c>
      <c r="F1340" s="607"/>
      <c r="G1340" s="882"/>
    </row>
    <row r="1341" spans="1:7" s="14" customFormat="1" ht="34.5" hidden="1" customHeight="1" outlineLevel="1" x14ac:dyDescent="0.25">
      <c r="A1341" s="57"/>
      <c r="B1341" s="601" t="s">
        <v>1133</v>
      </c>
      <c r="C1341" s="62"/>
      <c r="D1341" s="49"/>
      <c r="E1341" s="609">
        <f t="shared" si="20"/>
        <v>0</v>
      </c>
      <c r="F1341" s="607"/>
      <c r="G1341" s="882"/>
    </row>
    <row r="1342" spans="1:7" s="14" customFormat="1" ht="34.5" hidden="1" customHeight="1" outlineLevel="1" x14ac:dyDescent="0.25">
      <c r="A1342" s="57"/>
      <c r="B1342" s="61" t="s">
        <v>1134</v>
      </c>
      <c r="C1342" s="63" t="s">
        <v>10</v>
      </c>
      <c r="D1342" s="49">
        <v>3.08</v>
      </c>
      <c r="E1342" s="609">
        <f t="shared" si="20"/>
        <v>3.08</v>
      </c>
      <c r="F1342" s="607"/>
      <c r="G1342" s="882"/>
    </row>
    <row r="1343" spans="1:7" s="14" customFormat="1" ht="34.5" hidden="1" customHeight="1" outlineLevel="1" x14ac:dyDescent="0.25">
      <c r="A1343" s="57"/>
      <c r="B1343" s="61" t="s">
        <v>1135</v>
      </c>
      <c r="C1343" s="62" t="s">
        <v>77</v>
      </c>
      <c r="D1343" s="49">
        <v>3.1020799999999999</v>
      </c>
      <c r="E1343" s="609">
        <f t="shared" si="20"/>
        <v>3.1020799999999999</v>
      </c>
      <c r="F1343" s="607"/>
      <c r="G1343" s="882"/>
    </row>
    <row r="1344" spans="1:7" s="14" customFormat="1" ht="34.5" hidden="1" customHeight="1" outlineLevel="1" x14ac:dyDescent="0.25">
      <c r="A1344" s="57"/>
      <c r="B1344" s="61" t="s">
        <v>1136</v>
      </c>
      <c r="C1344" s="62" t="s">
        <v>77</v>
      </c>
      <c r="D1344" s="49">
        <v>-2.1714559999999996</v>
      </c>
      <c r="E1344" s="609">
        <f t="shared" si="20"/>
        <v>-2.1714559999999996</v>
      </c>
      <c r="F1344" s="607"/>
      <c r="G1344" s="882"/>
    </row>
    <row r="1345" spans="1:7" s="14" customFormat="1" ht="34.5" customHeight="1" collapsed="1" x14ac:dyDescent="0.25">
      <c r="A1345" s="57" t="s">
        <v>968</v>
      </c>
      <c r="B1345" s="58" t="s">
        <v>1137</v>
      </c>
      <c r="C1345" s="872"/>
      <c r="D1345" s="49"/>
      <c r="E1345" s="609">
        <f t="shared" si="20"/>
        <v>0</v>
      </c>
      <c r="F1345" s="607"/>
      <c r="G1345" s="882"/>
    </row>
    <row r="1346" spans="1:7" s="14" customFormat="1" ht="34.5" customHeight="1" outlineLevel="1" x14ac:dyDescent="0.25">
      <c r="A1346" s="57">
        <v>1</v>
      </c>
      <c r="B1346" s="58" t="s">
        <v>1138</v>
      </c>
      <c r="C1346" s="57" t="s">
        <v>334</v>
      </c>
      <c r="D1346" s="49"/>
      <c r="E1346" s="609">
        <f t="shared" si="20"/>
        <v>0</v>
      </c>
      <c r="F1346" s="607"/>
      <c r="G1346" s="882"/>
    </row>
    <row r="1347" spans="1:7" s="14" customFormat="1" ht="34.5" customHeight="1" outlineLevel="1" x14ac:dyDescent="0.25">
      <c r="A1347" s="57"/>
      <c r="B1347" s="58" t="s">
        <v>1139</v>
      </c>
      <c r="C1347" s="57" t="s">
        <v>124</v>
      </c>
      <c r="D1347" s="52">
        <v>140</v>
      </c>
      <c r="E1347" s="609">
        <f t="shared" si="20"/>
        <v>140</v>
      </c>
      <c r="F1347" s="607" t="s">
        <v>418</v>
      </c>
      <c r="G1347" s="882" t="s">
        <v>1297</v>
      </c>
    </row>
    <row r="1348" spans="1:7" s="14" customFormat="1" ht="34.5" customHeight="1" outlineLevel="1" x14ac:dyDescent="0.25">
      <c r="A1348" s="57"/>
      <c r="B1348" s="76" t="s">
        <v>1112</v>
      </c>
      <c r="C1348" s="62" t="s">
        <v>10</v>
      </c>
      <c r="D1348" s="49">
        <v>96.25</v>
      </c>
      <c r="E1348" s="609">
        <f t="shared" si="20"/>
        <v>96.25</v>
      </c>
      <c r="F1348" s="607" t="s">
        <v>418</v>
      </c>
      <c r="G1348" s="882" t="s">
        <v>1297</v>
      </c>
    </row>
    <row r="1349" spans="1:7" s="14" customFormat="1" ht="34.5" customHeight="1" outlineLevel="1" x14ac:dyDescent="0.25">
      <c r="A1349" s="57"/>
      <c r="B1349" s="58" t="s">
        <v>343</v>
      </c>
      <c r="C1349" s="62"/>
      <c r="D1349" s="49"/>
      <c r="E1349" s="609">
        <f t="shared" si="20"/>
        <v>0</v>
      </c>
      <c r="F1349" s="607" t="s">
        <v>418</v>
      </c>
      <c r="G1349" s="882" t="s">
        <v>1297</v>
      </c>
    </row>
    <row r="1350" spans="1:7" s="14" customFormat="1" ht="34.5" customHeight="1" outlineLevel="1" x14ac:dyDescent="0.25">
      <c r="A1350" s="57"/>
      <c r="B1350" s="61" t="s">
        <v>343</v>
      </c>
      <c r="C1350" s="62" t="s">
        <v>344</v>
      </c>
      <c r="D1350" s="49">
        <v>4</v>
      </c>
      <c r="E1350" s="609">
        <f t="shared" si="20"/>
        <v>4</v>
      </c>
      <c r="F1350" s="607" t="s">
        <v>418</v>
      </c>
      <c r="G1350" s="882" t="s">
        <v>1297</v>
      </c>
    </row>
    <row r="1351" spans="1:7" s="14" customFormat="1" ht="34.5" customHeight="1" outlineLevel="1" x14ac:dyDescent="0.25">
      <c r="A1351" s="57"/>
      <c r="B1351" s="58" t="s">
        <v>1140</v>
      </c>
      <c r="C1351" s="62"/>
      <c r="D1351" s="49"/>
      <c r="E1351" s="609">
        <f t="shared" si="20"/>
        <v>0</v>
      </c>
      <c r="F1351" s="607" t="s">
        <v>418</v>
      </c>
      <c r="G1351" s="882" t="s">
        <v>1297</v>
      </c>
    </row>
    <row r="1352" spans="1:7" s="14" customFormat="1" ht="34.5" customHeight="1" outlineLevel="1" x14ac:dyDescent="0.25">
      <c r="A1352" s="57"/>
      <c r="B1352" s="61" t="s">
        <v>253</v>
      </c>
      <c r="C1352" s="62" t="s">
        <v>10</v>
      </c>
      <c r="D1352" s="49">
        <v>1.5</v>
      </c>
      <c r="E1352" s="609">
        <f t="shared" si="20"/>
        <v>1.5</v>
      </c>
      <c r="F1352" s="607" t="s">
        <v>418</v>
      </c>
      <c r="G1352" s="882" t="s">
        <v>1297</v>
      </c>
    </row>
    <row r="1353" spans="1:7" s="14" customFormat="1" ht="34.5" customHeight="1" outlineLevel="1" x14ac:dyDescent="0.25">
      <c r="A1353" s="57"/>
      <c r="B1353" s="61" t="s">
        <v>355</v>
      </c>
      <c r="C1353" s="62" t="s">
        <v>10</v>
      </c>
      <c r="D1353" s="49">
        <v>6</v>
      </c>
      <c r="E1353" s="609">
        <f t="shared" si="20"/>
        <v>6</v>
      </c>
      <c r="F1353" s="607" t="s">
        <v>418</v>
      </c>
      <c r="G1353" s="882" t="s">
        <v>1297</v>
      </c>
    </row>
    <row r="1354" spans="1:7" s="14" customFormat="1" ht="34.5" customHeight="1" outlineLevel="1" x14ac:dyDescent="0.25">
      <c r="A1354" s="57"/>
      <c r="B1354" s="58" t="s">
        <v>1141</v>
      </c>
      <c r="C1354" s="62"/>
      <c r="D1354" s="49"/>
      <c r="E1354" s="609">
        <f t="shared" si="20"/>
        <v>0</v>
      </c>
      <c r="F1354" s="607" t="s">
        <v>418</v>
      </c>
      <c r="G1354" s="882" t="s">
        <v>1297</v>
      </c>
    </row>
    <row r="1355" spans="1:7" s="14" customFormat="1" ht="34.5" customHeight="1" outlineLevel="1" x14ac:dyDescent="0.25">
      <c r="A1355" s="57"/>
      <c r="B1355" s="61" t="s">
        <v>1142</v>
      </c>
      <c r="C1355" s="62" t="s">
        <v>920</v>
      </c>
      <c r="D1355" s="49">
        <v>20</v>
      </c>
      <c r="E1355" s="609">
        <f t="shared" si="20"/>
        <v>20</v>
      </c>
      <c r="F1355" s="607" t="s">
        <v>418</v>
      </c>
      <c r="G1355" s="882" t="s">
        <v>1297</v>
      </c>
    </row>
    <row r="1356" spans="1:7" s="14" customFormat="1" ht="34.5" customHeight="1" outlineLevel="1" x14ac:dyDescent="0.25">
      <c r="A1356" s="57"/>
      <c r="B1356" s="61" t="s">
        <v>1143</v>
      </c>
      <c r="C1356" s="62" t="s">
        <v>920</v>
      </c>
      <c r="D1356" s="49">
        <v>20</v>
      </c>
      <c r="E1356" s="609">
        <f t="shared" si="20"/>
        <v>20</v>
      </c>
      <c r="F1356" s="607" t="s">
        <v>418</v>
      </c>
      <c r="G1356" s="882" t="s">
        <v>1297</v>
      </c>
    </row>
    <row r="1357" spans="1:7" s="14" customFormat="1" ht="34.5" customHeight="1" outlineLevel="1" x14ac:dyDescent="0.25">
      <c r="A1357" s="57"/>
      <c r="B1357" s="58" t="s">
        <v>1144</v>
      </c>
      <c r="C1357" s="62"/>
      <c r="D1357" s="49"/>
      <c r="E1357" s="609">
        <f t="shared" si="20"/>
        <v>0</v>
      </c>
      <c r="F1357" s="607" t="s">
        <v>418</v>
      </c>
      <c r="G1357" s="882" t="s">
        <v>1297</v>
      </c>
    </row>
    <row r="1358" spans="1:7" s="14" customFormat="1" ht="34.5" customHeight="1" outlineLevel="1" x14ac:dyDescent="0.25">
      <c r="A1358" s="57"/>
      <c r="B1358" s="76" t="s">
        <v>1145</v>
      </c>
      <c r="C1358" s="62" t="s">
        <v>920</v>
      </c>
      <c r="D1358" s="49">
        <v>20</v>
      </c>
      <c r="E1358" s="609">
        <f t="shared" si="20"/>
        <v>20</v>
      </c>
      <c r="F1358" s="607" t="s">
        <v>418</v>
      </c>
      <c r="G1358" s="882" t="s">
        <v>1297</v>
      </c>
    </row>
    <row r="1359" spans="1:7" s="947" customFormat="1" ht="34.5" customHeight="1" x14ac:dyDescent="0.25">
      <c r="A1359" s="907" t="s">
        <v>130</v>
      </c>
      <c r="B1359" s="908" t="s">
        <v>333</v>
      </c>
      <c r="C1359" s="909" t="s">
        <v>334</v>
      </c>
      <c r="D1359" s="910">
        <v>1</v>
      </c>
      <c r="E1359" s="911">
        <f t="shared" si="20"/>
        <v>1</v>
      </c>
      <c r="F1359" s="912"/>
      <c r="G1359" s="912"/>
    </row>
    <row r="1360" spans="1:7" s="14" customFormat="1" ht="34.5" customHeight="1" outlineLevel="1" x14ac:dyDescent="0.25">
      <c r="A1360" s="57"/>
      <c r="B1360" s="61" t="s">
        <v>335</v>
      </c>
      <c r="C1360" s="62" t="s">
        <v>139</v>
      </c>
      <c r="D1360" s="49">
        <v>21.052529999999997</v>
      </c>
      <c r="E1360" s="609">
        <f t="shared" ref="E1360:E1388" si="21">D1360</f>
        <v>21.052529999999997</v>
      </c>
      <c r="F1360" s="607" t="s">
        <v>418</v>
      </c>
      <c r="G1360" s="873" t="s">
        <v>1272</v>
      </c>
    </row>
    <row r="1361" spans="1:7" s="14" customFormat="1" ht="34.5" customHeight="1" outlineLevel="1" x14ac:dyDescent="0.25">
      <c r="A1361" s="57"/>
      <c r="B1361" s="61" t="s">
        <v>291</v>
      </c>
      <c r="C1361" s="62" t="s">
        <v>139</v>
      </c>
      <c r="D1361" s="49">
        <v>21.052529999999997</v>
      </c>
      <c r="E1361" s="609">
        <f t="shared" si="21"/>
        <v>21.052529999999997</v>
      </c>
      <c r="F1361" s="607" t="s">
        <v>418</v>
      </c>
      <c r="G1361" s="873" t="s">
        <v>1272</v>
      </c>
    </row>
    <row r="1362" spans="1:7" s="14" customFormat="1" ht="34.5" customHeight="1" outlineLevel="1" x14ac:dyDescent="0.25">
      <c r="A1362" s="57"/>
      <c r="B1362" s="61" t="s">
        <v>336</v>
      </c>
      <c r="C1362" s="63" t="s">
        <v>139</v>
      </c>
      <c r="D1362" s="49">
        <v>21.052529999999997</v>
      </c>
      <c r="E1362" s="609">
        <f t="shared" si="21"/>
        <v>21.052529999999997</v>
      </c>
      <c r="F1362" s="607" t="s">
        <v>418</v>
      </c>
      <c r="G1362" s="873" t="s">
        <v>1272</v>
      </c>
    </row>
    <row r="1363" spans="1:7" s="14" customFormat="1" ht="34.5" customHeight="1" outlineLevel="1" x14ac:dyDescent="0.25">
      <c r="A1363" s="57"/>
      <c r="B1363" s="61" t="s">
        <v>337</v>
      </c>
      <c r="C1363" s="62" t="s">
        <v>10</v>
      </c>
      <c r="D1363" s="49">
        <v>16.559999999999999</v>
      </c>
      <c r="E1363" s="609">
        <f t="shared" si="21"/>
        <v>16.559999999999999</v>
      </c>
      <c r="F1363" s="607" t="s">
        <v>418</v>
      </c>
      <c r="G1363" s="873" t="s">
        <v>1272</v>
      </c>
    </row>
    <row r="1364" spans="1:7" s="14" customFormat="1" ht="34.5" customHeight="1" outlineLevel="1" x14ac:dyDescent="0.25">
      <c r="A1364" s="57"/>
      <c r="B1364" s="76" t="s">
        <v>338</v>
      </c>
      <c r="C1364" s="62" t="s">
        <v>339</v>
      </c>
      <c r="D1364" s="49">
        <v>33</v>
      </c>
      <c r="E1364" s="609">
        <f t="shared" si="21"/>
        <v>33</v>
      </c>
      <c r="F1364" s="607" t="s">
        <v>418</v>
      </c>
      <c r="G1364" s="873" t="s">
        <v>1272</v>
      </c>
    </row>
    <row r="1365" spans="1:7" s="14" customFormat="1" ht="34.5" customHeight="1" outlineLevel="1" x14ac:dyDescent="0.25">
      <c r="A1365" s="57"/>
      <c r="B1365" s="64" t="s">
        <v>340</v>
      </c>
      <c r="C1365" s="60" t="s">
        <v>76</v>
      </c>
      <c r="D1365" s="49" t="s">
        <v>131</v>
      </c>
      <c r="E1365" s="609" t="str">
        <f t="shared" si="21"/>
        <v>12/359.84</v>
      </c>
      <c r="F1365" s="607" t="s">
        <v>418</v>
      </c>
      <c r="G1365" s="873" t="s">
        <v>1272</v>
      </c>
    </row>
    <row r="1366" spans="1:7" s="14" customFormat="1" ht="34.5" customHeight="1" outlineLevel="1" x14ac:dyDescent="0.25">
      <c r="A1366" s="57"/>
      <c r="B1366" s="64" t="s">
        <v>341</v>
      </c>
      <c r="C1366" s="60" t="s">
        <v>116</v>
      </c>
      <c r="D1366" s="49">
        <v>41.99</v>
      </c>
      <c r="E1366" s="609">
        <f t="shared" si="21"/>
        <v>41.99</v>
      </c>
      <c r="F1366" s="607" t="s">
        <v>418</v>
      </c>
      <c r="G1366" s="873" t="s">
        <v>1272</v>
      </c>
    </row>
    <row r="1367" spans="1:7" s="14" customFormat="1" ht="34.5" customHeight="1" outlineLevel="1" x14ac:dyDescent="0.25">
      <c r="A1367" s="57"/>
      <c r="B1367" s="61" t="s">
        <v>320</v>
      </c>
      <c r="C1367" s="62" t="s">
        <v>57</v>
      </c>
      <c r="D1367" s="49">
        <v>3.5983999999999998</v>
      </c>
      <c r="E1367" s="609">
        <f t="shared" si="21"/>
        <v>3.5983999999999998</v>
      </c>
      <c r="F1367" s="607" t="s">
        <v>418</v>
      </c>
      <c r="G1367" s="873" t="s">
        <v>1272</v>
      </c>
    </row>
    <row r="1368" spans="1:7" s="14" customFormat="1" ht="34.5" customHeight="1" outlineLevel="1" x14ac:dyDescent="0.25">
      <c r="A1368" s="57"/>
      <c r="B1368" s="61" t="s">
        <v>321</v>
      </c>
      <c r="C1368" s="62" t="s">
        <v>57</v>
      </c>
      <c r="D1368" s="49">
        <v>0.72160000000000024</v>
      </c>
      <c r="E1368" s="609">
        <f t="shared" si="21"/>
        <v>0.72160000000000024</v>
      </c>
      <c r="F1368" s="607" t="s">
        <v>418</v>
      </c>
      <c r="G1368" s="873" t="s">
        <v>1272</v>
      </c>
    </row>
    <row r="1369" spans="1:7" s="14" customFormat="1" ht="34.5" customHeight="1" outlineLevel="1" x14ac:dyDescent="0.25">
      <c r="A1369" s="57"/>
      <c r="B1369" s="61" t="s">
        <v>322</v>
      </c>
      <c r="C1369" s="62" t="s">
        <v>57</v>
      </c>
      <c r="D1369" s="49">
        <v>3.5983999999999998</v>
      </c>
      <c r="E1369" s="609">
        <f t="shared" si="21"/>
        <v>3.5983999999999998</v>
      </c>
      <c r="F1369" s="607" t="s">
        <v>418</v>
      </c>
      <c r="G1369" s="873" t="s">
        <v>1272</v>
      </c>
    </row>
    <row r="1370" spans="1:7" s="14" customFormat="1" ht="34.5" customHeight="1" outlineLevel="1" x14ac:dyDescent="0.25">
      <c r="A1370" s="57"/>
      <c r="B1370" s="61" t="s">
        <v>342</v>
      </c>
      <c r="C1370" s="63" t="s">
        <v>77</v>
      </c>
      <c r="D1370" s="49">
        <v>41.99</v>
      </c>
      <c r="E1370" s="609">
        <f t="shared" si="21"/>
        <v>41.99</v>
      </c>
      <c r="F1370" s="607" t="s">
        <v>418</v>
      </c>
      <c r="G1370" s="873" t="s">
        <v>1272</v>
      </c>
    </row>
    <row r="1371" spans="1:7" s="14" customFormat="1" ht="34.5" customHeight="1" outlineLevel="1" x14ac:dyDescent="0.25">
      <c r="A1371" s="57"/>
      <c r="B1371" s="61" t="s">
        <v>343</v>
      </c>
      <c r="C1371" s="62" t="s">
        <v>344</v>
      </c>
      <c r="D1371" s="49">
        <v>2</v>
      </c>
      <c r="E1371" s="609">
        <f t="shared" si="21"/>
        <v>2</v>
      </c>
      <c r="F1371" s="607" t="s">
        <v>418</v>
      </c>
      <c r="G1371" s="873" t="s">
        <v>1272</v>
      </c>
    </row>
    <row r="1372" spans="1:7" s="947" customFormat="1" ht="34.5" customHeight="1" x14ac:dyDescent="0.25">
      <c r="A1372" s="907" t="s">
        <v>132</v>
      </c>
      <c r="B1372" s="908" t="s">
        <v>345</v>
      </c>
      <c r="C1372" s="909" t="s">
        <v>334</v>
      </c>
      <c r="D1372" s="910">
        <v>1</v>
      </c>
      <c r="E1372" s="911">
        <f t="shared" si="21"/>
        <v>1</v>
      </c>
      <c r="F1372" s="912"/>
      <c r="G1372" s="912"/>
    </row>
    <row r="1373" spans="1:7" s="14" customFormat="1" ht="34.5" customHeight="1" outlineLevel="1" x14ac:dyDescent="0.25">
      <c r="A1373" s="57">
        <v>1</v>
      </c>
      <c r="B1373" s="885" t="s">
        <v>346</v>
      </c>
      <c r="C1373" s="91" t="s">
        <v>77</v>
      </c>
      <c r="D1373" s="49">
        <v>63.160000000000004</v>
      </c>
      <c r="E1373" s="609">
        <f t="shared" si="21"/>
        <v>63.160000000000004</v>
      </c>
      <c r="F1373" s="607"/>
      <c r="G1373" s="607"/>
    </row>
    <row r="1374" spans="1:7" s="14" customFormat="1" ht="34.5" customHeight="1" outlineLevel="2" x14ac:dyDescent="0.25">
      <c r="A1374" s="57"/>
      <c r="B1374" s="76" t="s">
        <v>347</v>
      </c>
      <c r="C1374" s="62" t="s">
        <v>116</v>
      </c>
      <c r="D1374" s="49">
        <v>41.99</v>
      </c>
      <c r="E1374" s="609">
        <f t="shared" si="21"/>
        <v>41.99</v>
      </c>
      <c r="F1374" s="607" t="s">
        <v>418</v>
      </c>
      <c r="G1374" s="873" t="s">
        <v>1271</v>
      </c>
    </row>
    <row r="1375" spans="1:7" s="14" customFormat="1" ht="34.5" customHeight="1" outlineLevel="2" x14ac:dyDescent="0.25">
      <c r="A1375" s="57"/>
      <c r="B1375" s="76" t="s">
        <v>348</v>
      </c>
      <c r="C1375" s="62" t="s">
        <v>116</v>
      </c>
      <c r="D1375" s="49">
        <v>16.28</v>
      </c>
      <c r="E1375" s="609">
        <f t="shared" si="21"/>
        <v>16.28</v>
      </c>
      <c r="F1375" s="607" t="s">
        <v>418</v>
      </c>
      <c r="G1375" s="873" t="s">
        <v>1271</v>
      </c>
    </row>
    <row r="1376" spans="1:7" s="14" customFormat="1" ht="34.5" customHeight="1" outlineLevel="2" x14ac:dyDescent="0.25">
      <c r="A1376" s="57"/>
      <c r="B1376" s="76" t="s">
        <v>349</v>
      </c>
      <c r="C1376" s="62" t="s">
        <v>116</v>
      </c>
      <c r="D1376" s="49">
        <v>4.4400000000000004</v>
      </c>
      <c r="E1376" s="609">
        <f t="shared" si="21"/>
        <v>4.4400000000000004</v>
      </c>
      <c r="F1376" s="607" t="s">
        <v>418</v>
      </c>
      <c r="G1376" s="873" t="s">
        <v>1271</v>
      </c>
    </row>
    <row r="1377" spans="1:10" s="14" customFormat="1" ht="34.5" customHeight="1" outlineLevel="2" x14ac:dyDescent="0.25">
      <c r="A1377" s="57"/>
      <c r="B1377" s="76" t="s">
        <v>350</v>
      </c>
      <c r="C1377" s="62" t="s">
        <v>116</v>
      </c>
      <c r="D1377" s="49">
        <v>0.45</v>
      </c>
      <c r="E1377" s="609">
        <f t="shared" si="21"/>
        <v>0.45</v>
      </c>
      <c r="F1377" s="607" t="s">
        <v>418</v>
      </c>
      <c r="G1377" s="873" t="s">
        <v>1271</v>
      </c>
    </row>
    <row r="1378" spans="1:10" s="14" customFormat="1" ht="34.5" customHeight="1" outlineLevel="1" x14ac:dyDescent="0.25">
      <c r="A1378" s="57">
        <v>2</v>
      </c>
      <c r="B1378" s="885" t="s">
        <v>351</v>
      </c>
      <c r="C1378" s="91" t="s">
        <v>116</v>
      </c>
      <c r="D1378" s="49">
        <v>3.6899999999999995</v>
      </c>
      <c r="E1378" s="609">
        <f t="shared" si="21"/>
        <v>3.6899999999999995</v>
      </c>
      <c r="F1378" s="607"/>
      <c r="G1378" s="607"/>
    </row>
    <row r="1379" spans="1:10" s="14" customFormat="1" ht="34.5" customHeight="1" outlineLevel="2" x14ac:dyDescent="0.25">
      <c r="A1379" s="57"/>
      <c r="B1379" s="76" t="s">
        <v>352</v>
      </c>
      <c r="C1379" s="62" t="s">
        <v>139</v>
      </c>
      <c r="D1379" s="49">
        <v>3.6899999999999995</v>
      </c>
      <c r="E1379" s="609">
        <f t="shared" si="21"/>
        <v>3.6899999999999995</v>
      </c>
      <c r="F1379" s="607" t="s">
        <v>418</v>
      </c>
      <c r="G1379" s="873" t="s">
        <v>1271</v>
      </c>
    </row>
    <row r="1380" spans="1:10" s="14" customFormat="1" ht="34.5" customHeight="1" outlineLevel="2" x14ac:dyDescent="0.25">
      <c r="A1380" s="57"/>
      <c r="B1380" s="61" t="s">
        <v>291</v>
      </c>
      <c r="C1380" s="62" t="s">
        <v>139</v>
      </c>
      <c r="D1380" s="49">
        <v>66.850000000000009</v>
      </c>
      <c r="E1380" s="609">
        <f t="shared" si="21"/>
        <v>66.850000000000009</v>
      </c>
      <c r="F1380" s="607" t="s">
        <v>418</v>
      </c>
      <c r="G1380" s="873" t="s">
        <v>1271</v>
      </c>
    </row>
    <row r="1381" spans="1:10" s="14" customFormat="1" ht="34.5" customHeight="1" outlineLevel="2" x14ac:dyDescent="0.25">
      <c r="A1381" s="57"/>
      <c r="B1381" s="61" t="s">
        <v>353</v>
      </c>
      <c r="C1381" s="63" t="s">
        <v>139</v>
      </c>
      <c r="D1381" s="49">
        <v>66.850000000000009</v>
      </c>
      <c r="E1381" s="609">
        <f t="shared" si="21"/>
        <v>66.850000000000009</v>
      </c>
      <c r="F1381" s="607" t="s">
        <v>418</v>
      </c>
      <c r="G1381" s="873" t="s">
        <v>1271</v>
      </c>
    </row>
    <row r="1382" spans="1:10" s="14" customFormat="1" ht="34.5" customHeight="1" outlineLevel="2" x14ac:dyDescent="0.25">
      <c r="A1382" s="57"/>
      <c r="B1382" s="61" t="s">
        <v>354</v>
      </c>
      <c r="C1382" s="62" t="s">
        <v>10</v>
      </c>
      <c r="D1382" s="49">
        <v>4.4000000000000004</v>
      </c>
      <c r="E1382" s="609">
        <f t="shared" si="21"/>
        <v>4.4000000000000004</v>
      </c>
      <c r="F1382" s="607" t="s">
        <v>418</v>
      </c>
      <c r="G1382" s="873" t="s">
        <v>1271</v>
      </c>
    </row>
    <row r="1383" spans="1:10" s="14" customFormat="1" ht="34.5" customHeight="1" outlineLevel="2" x14ac:dyDescent="0.25">
      <c r="A1383" s="57"/>
      <c r="B1383" s="61" t="s">
        <v>355</v>
      </c>
      <c r="C1383" s="62" t="s">
        <v>10</v>
      </c>
      <c r="D1383" s="49">
        <v>4.4000000000000004</v>
      </c>
      <c r="E1383" s="609">
        <f t="shared" si="21"/>
        <v>4.4000000000000004</v>
      </c>
      <c r="F1383" s="607" t="s">
        <v>418</v>
      </c>
      <c r="G1383" s="873" t="s">
        <v>1271</v>
      </c>
    </row>
    <row r="1384" spans="1:10" s="14" customFormat="1" ht="34.5" customHeight="1" outlineLevel="1" x14ac:dyDescent="0.25">
      <c r="A1384" s="57">
        <v>3</v>
      </c>
      <c r="B1384" s="58" t="s">
        <v>356</v>
      </c>
      <c r="C1384" s="60" t="s">
        <v>76</v>
      </c>
      <c r="D1384" s="49" t="s">
        <v>133</v>
      </c>
      <c r="E1384" s="609" t="str">
        <f t="shared" si="21"/>
        <v>24/180</v>
      </c>
      <c r="F1384" s="607"/>
      <c r="G1384" s="607"/>
    </row>
    <row r="1385" spans="1:10" s="14" customFormat="1" ht="34.5" customHeight="1" outlineLevel="1" x14ac:dyDescent="0.25">
      <c r="A1385" s="57"/>
      <c r="B1385" s="61" t="s">
        <v>320</v>
      </c>
      <c r="C1385" s="62" t="s">
        <v>57</v>
      </c>
      <c r="D1385" s="49">
        <v>1.8</v>
      </c>
      <c r="E1385" s="609">
        <f t="shared" si="21"/>
        <v>1.8</v>
      </c>
      <c r="F1385" s="607" t="s">
        <v>418</v>
      </c>
      <c r="G1385" s="873" t="s">
        <v>1271</v>
      </c>
    </row>
    <row r="1386" spans="1:10" s="14" customFormat="1" ht="34.5" customHeight="1" outlineLevel="1" x14ac:dyDescent="0.25">
      <c r="A1386" s="57"/>
      <c r="B1386" s="61" t="s">
        <v>321</v>
      </c>
      <c r="C1386" s="62" t="s">
        <v>57</v>
      </c>
      <c r="D1386" s="49">
        <v>2.52</v>
      </c>
      <c r="E1386" s="609">
        <f t="shared" si="21"/>
        <v>2.52</v>
      </c>
      <c r="F1386" s="607" t="s">
        <v>418</v>
      </c>
      <c r="G1386" s="873" t="s">
        <v>1271</v>
      </c>
    </row>
    <row r="1387" spans="1:10" s="14" customFormat="1" ht="34.5" customHeight="1" outlineLevel="1" x14ac:dyDescent="0.25">
      <c r="A1387" s="57"/>
      <c r="B1387" s="61" t="s">
        <v>322</v>
      </c>
      <c r="C1387" s="62" t="s">
        <v>57</v>
      </c>
      <c r="D1387" s="49">
        <v>1.8</v>
      </c>
      <c r="E1387" s="609">
        <f t="shared" si="21"/>
        <v>1.8</v>
      </c>
      <c r="F1387" s="607" t="s">
        <v>418</v>
      </c>
      <c r="G1387" s="873" t="s">
        <v>1271</v>
      </c>
    </row>
    <row r="1388" spans="1:10" s="14" customFormat="1" ht="34.5" customHeight="1" x14ac:dyDescent="0.25">
      <c r="A1388" s="886" t="s">
        <v>969</v>
      </c>
      <c r="B1388" s="887" t="s">
        <v>1146</v>
      </c>
      <c r="C1388" s="888"/>
      <c r="D1388" s="587"/>
      <c r="E1388" s="867">
        <f t="shared" si="21"/>
        <v>0</v>
      </c>
      <c r="F1388" s="630"/>
      <c r="G1388" s="630"/>
    </row>
    <row r="1389" spans="1:10" s="14" customFormat="1" ht="15" customHeight="1" x14ac:dyDescent="0.25">
      <c r="A1389" s="623"/>
      <c r="B1389" s="624"/>
      <c r="C1389" s="625"/>
      <c r="D1389" s="626"/>
      <c r="E1389" s="627"/>
      <c r="F1389" s="628"/>
      <c r="G1389" s="628"/>
    </row>
    <row r="1390" spans="1:10" ht="32.25" customHeight="1" x14ac:dyDescent="0.25">
      <c r="D1390" s="889"/>
      <c r="E1390" s="889"/>
      <c r="F1390" s="1160" t="s">
        <v>1416</v>
      </c>
      <c r="G1390" s="1160"/>
    </row>
    <row r="1391" spans="1:10" ht="9" customHeight="1" x14ac:dyDescent="0.25"/>
    <row r="1392" spans="1:10" ht="16.5" x14ac:dyDescent="0.25">
      <c r="A1392" s="133"/>
      <c r="B1392" s="133" t="s">
        <v>3</v>
      </c>
      <c r="D1392" s="133"/>
      <c r="F1392" s="42" t="s">
        <v>34</v>
      </c>
      <c r="G1392" s="890" t="s">
        <v>11</v>
      </c>
      <c r="H1392" s="133"/>
      <c r="I1392" s="133"/>
      <c r="J1392" s="133"/>
    </row>
    <row r="1393" spans="1:10" x14ac:dyDescent="0.25">
      <c r="A1393" s="9"/>
      <c r="B1393" s="9"/>
      <c r="C1393" s="12"/>
      <c r="D1393" s="9"/>
      <c r="E1393" s="9"/>
      <c r="F1393" s="12"/>
      <c r="G1393" s="9"/>
      <c r="H1393" s="10"/>
      <c r="I1393" s="10"/>
      <c r="J1393" s="10"/>
    </row>
    <row r="1396" spans="1:10" x14ac:dyDescent="0.25">
      <c r="F1396" s="891"/>
      <c r="G1396" s="892"/>
    </row>
    <row r="1397" spans="1:10" x14ac:dyDescent="0.25">
      <c r="F1397" s="20"/>
      <c r="G1397" s="5"/>
    </row>
    <row r="1398" spans="1:10" x14ac:dyDescent="0.25">
      <c r="B1398" s="893"/>
      <c r="G1398" s="8"/>
    </row>
    <row r="1399" spans="1:10" ht="16.5" x14ac:dyDescent="0.25">
      <c r="B1399" s="894"/>
      <c r="C1399" s="894"/>
      <c r="D1399" s="1158"/>
      <c r="E1399" s="1158"/>
      <c r="F1399" s="1158"/>
      <c r="G1399" s="1158"/>
    </row>
  </sheetData>
  <mergeCells count="16">
    <mergeCell ref="H8:N8"/>
    <mergeCell ref="F11:F13"/>
    <mergeCell ref="H2:N2"/>
    <mergeCell ref="H3:N3"/>
    <mergeCell ref="H5:N5"/>
    <mergeCell ref="H6:N6"/>
    <mergeCell ref="H7:N7"/>
    <mergeCell ref="A1:G1"/>
    <mergeCell ref="A10:G10"/>
    <mergeCell ref="D1399:G1399"/>
    <mergeCell ref="D11:E12"/>
    <mergeCell ref="A11:A13"/>
    <mergeCell ref="B11:B13"/>
    <mergeCell ref="C11:C13"/>
    <mergeCell ref="G11:G13"/>
    <mergeCell ref="F1390:G1390"/>
  </mergeCells>
  <hyperlinks>
    <hyperlink ref="G767" location="'CKN T4 '!A1" display="Bangdiengiai"/>
    <hyperlink ref="G776" location="'CKN T4 '!A1" display="'CKN T4 '!A1"/>
    <hyperlink ref="G777:G781" location="'CKN T4 '!A1" display="'CKN T4 '!A1"/>
    <hyperlink ref="G768:G772" location="'CKN T4 '!A1" display="Bangdiengiai"/>
    <hyperlink ref="G784:G785" location="'CKN T4 '!A1" display="'CKN T4 '!A1"/>
    <hyperlink ref="G787" location="TruT4!A1" display="TruT4!A1"/>
    <hyperlink ref="G788:G789" location="TruT4!A1" display="TruT4!A1"/>
    <hyperlink ref="G794:G795" location="TruT4!A1" display="TruT4!A1"/>
    <hyperlink ref="G799:G804" location="TruT4!A1" display="TruT4!A1"/>
    <hyperlink ref="G951:G958" location="'CKN M0'!A1" display="'CKN M0'!A1"/>
    <hyperlink ref="G961:G965" location="'CKN M0'!A1" display="'CKN M0'!A1"/>
    <hyperlink ref="G968:G969" location="'CKN M0'!A1" display="'CKN M0'!A1"/>
    <hyperlink ref="G971" location="'Mo M0'!A1" display="'Mo M0'!A1"/>
    <hyperlink ref="G972:G974" location="'Mo M0'!A1" display="'Mo M0'!A1"/>
    <hyperlink ref="G980:G984" location="'Mo M0'!A1" display="'Mo M0'!A1"/>
    <hyperlink ref="G989:G992" location="'Mo M0'!A1" display="'Mo M0'!A1"/>
    <hyperlink ref="G998:G999" location="'Mo M0'!A1" display="'Mo M0'!A1"/>
    <hyperlink ref="G975:G978" location="'Mo M0'!A1" display="'Mo M0'!A1"/>
    <hyperlink ref="G815" location="'CKN T1-T3'!A1" display="'CKN T1-T3'!A1"/>
    <hyperlink ref="G816:G821" location="'CKN T1-T3'!A1" display="'CKN T1-T3'!A1"/>
    <hyperlink ref="G824:G828" location="'CKN T1-T3'!A1" display="'CKN T1-T3'!A1"/>
    <hyperlink ref="G831:G832" location="'CKN T1-T3'!A1" display="'CKN T1-T3'!A1"/>
    <hyperlink ref="G834" location="'Tru T1-T3'!A1" display="'Tru T1-T3'!A1"/>
    <hyperlink ref="G835:G838" location="'Tru T1-T3'!A1" display="'Tru T1-T3'!A1"/>
    <hyperlink ref="G844:G846" location="'Tru T1-T3'!A1" display="'Tru T1-T3'!A1"/>
    <hyperlink ref="G847:G848" location="'Tru T1-T3'!A1" display="'Tru T1-T3'!A1"/>
    <hyperlink ref="G850:G857" location="'Tru T1-T3'!A1" display="'Tru T1-T3'!A1"/>
    <hyperlink ref="G924" location="'Tru T1-T3'!A1" display="'Tru T1-T3'!A1"/>
    <hyperlink ref="G925:G928" location="'Tru T1-T3'!A1" display="'Tru T1-T3'!A1"/>
    <hyperlink ref="G929:G932" location="'Tru T1-T3'!A1" display="'Tru T1-T3'!A1"/>
    <hyperlink ref="G934:G939" location="'Tru T1-T3'!A1" display="'Tru T1-T3'!A1"/>
    <hyperlink ref="G941:G948" location="'Tru T1-T3'!A1" display="'Tru T1-T3'!A1"/>
    <hyperlink ref="G879" location="'Tru T1-T3'!A1" display="'Tru T1-T3'!A1"/>
    <hyperlink ref="G880:G887" location="'Tru T1-T3'!A1" display="'Tru T1-T3'!A1"/>
    <hyperlink ref="G889:G893" location="'Tru T1-T3'!A1" display="'Tru T1-T3'!A1"/>
    <hyperlink ref="G895:G902" location="'Tru T1-T3'!A1" display="'Tru T1-T3'!A1"/>
    <hyperlink ref="G860" location="'CKN T1-T3'!A1" display="'CKN T1-T3'!A1"/>
    <hyperlink ref="G861:G866" location="'CKN T1-T3'!A1" display="'CKN T1-T3'!A1"/>
    <hyperlink ref="G869:G873" location="'CKN T1-T3'!A1" display="'CKN T1-T3'!A1"/>
    <hyperlink ref="G876:G877" location="'CKN T1-T3'!A1" display="'CKN T1-T3'!A1"/>
    <hyperlink ref="G905:G911" location="'CKN T1-T3'!A1" display="'CKN T1-T3'!A1"/>
    <hyperlink ref="G914:G918" location="'CKN T1-T3'!A1" display="'CKN T1-T3'!A1"/>
    <hyperlink ref="G921:G922" location="'CKN T1-T3'!A1" display="'CKN T1-T3'!A1"/>
    <hyperlink ref="G1078" location="'CKN T5'!A1" display="'CKN T5'!A1"/>
    <hyperlink ref="G1115:G1117" location="'CKN T5'!A1" display="'CKN T5'!A1"/>
    <hyperlink ref="G1137" location="'TC T4'!A1" display="'TC T4'!A1"/>
    <hyperlink ref="G1138:G1149" location="'TC T4'!A1" display="'TC T4'!A1"/>
    <hyperlink ref="G1151:G1168" location="'TC T4'!A1" display="'TC T4'!A1"/>
    <hyperlink ref="G1178:G1192" location="'TC T1-T3'!A1" display="'TC T1-T3'!A1"/>
    <hyperlink ref="G1199" location="'TC T1-T3'!Print_Area" display="'TC T1-T3'!Print_Area"/>
    <hyperlink ref="G1200:G1213" location="'TC T1-T3'!Print_Area" display="'TC T1-T3'!Print_Area"/>
    <hyperlink ref="G1227" location="'TC T1-T3'!A1" display="'TC T1-T3'!A1"/>
    <hyperlink ref="G1228:G1241" location="'TC T1-T3'!A1" display="'TC T1-T3'!A1"/>
    <hyperlink ref="G1247" location="'TC mo M0'!A1" display="'TC mo M0'!A1"/>
    <hyperlink ref="G1248:G1257" location="'TC mo M0'!A1" display="'TC mo M0'!A1"/>
    <hyperlink ref="G1263:G1285" location="'TC mo M0'!A1" display="'TC mo M0'!A1"/>
    <hyperlink ref="G557" r:id="rId1"/>
    <hyperlink ref="G651" location="Golancan_Tayvin!A1" display="Golancan_Tayvin!A1"/>
    <hyperlink ref="G652:G654" location="Golancan_Tayvin!A1" display="Golancan_Tayvin!A1"/>
    <hyperlink ref="G1374" location="Caucongvu!A1" display="Caucongvu!A1"/>
    <hyperlink ref="G1375:G1377" location="Caucongvu!A1" display="Caucongvu!A1"/>
    <hyperlink ref="G1379:G1383" location="Caucongvu!A1" display="Caucongvu!A1"/>
    <hyperlink ref="G1385:G1387" location="Caucongvu!A1" display="Caucongvu!A1"/>
    <hyperlink ref="G1360" location="Monho!A1" display="Monho!A1"/>
    <hyperlink ref="G1361:G1371" location="Monho!A1" display="Monho!A1"/>
    <hyperlink ref="G1347" location="Thicongnhip!A1" display="Thicongnhip!A1"/>
    <hyperlink ref="G1348:G1358" location="Thicongnhip!A1" display="Thicongnhip!A1"/>
    <hyperlink ref="G1007" location="Khoichongchuyenvi!A1" display="Khoichongchuyenvi!A1"/>
    <hyperlink ref="G1008:G1017" location="Khoichongchuyenvi!A1" display="Khoichongchuyenvi!A1"/>
    <hyperlink ref="G1020" location="Thanglendam!A1" display="Thanglendam!A1"/>
    <hyperlink ref="G1021:G1024" location="Thanglendam!A1" display="Thanglendam!A1"/>
    <hyperlink ref="G1026:G1031" location="Thanglendam!A1" display="Thanglendam!A1"/>
    <hyperlink ref="G1119:G1128" location="'CKN T5'!A1" display="'CKN T5'!A1"/>
    <hyperlink ref="G656" location="Golancan_Tayvin!A1" display="Golancan_Tayvin!A1"/>
    <hyperlink ref="G644:G648" r:id="rId2" display="Khe co gian - Quy Cao.xls"/>
    <hyperlink ref="G558:G568" r:id="rId3" display="THKL-I35.xlsx"/>
    <hyperlink ref="G570:G580" r:id="rId4" display="THKL-I35.xlsx"/>
    <hyperlink ref="G582:G592" r:id="rId5" display="THKL-I35.xlsx"/>
    <hyperlink ref="G594:G604" r:id="rId6" display="THKL-I35.xlsx"/>
    <hyperlink ref="G606:G607" r:id="rId7" display="THKL-I35.xlsx"/>
    <hyperlink ref="G612:G617" r:id="rId8" display="THKL-I35.xlsx"/>
    <hyperlink ref="G619:G622" r:id="rId9" display="THKL-I35.xlsx"/>
    <hyperlink ref="G625:G630" r:id="rId10" display="THKL-I35.xlsx"/>
    <hyperlink ref="G632:G638" r:id="rId11" display="THKL-I35.xlsx"/>
    <hyperlink ref="G708" location="'CKN T5(KC)'!A1" display="'CKN T5(KC)'!A1"/>
    <hyperlink ref="G709:G713" location="'CKN T5(KC)'!A1" display="'CKN T5(KC)'!A1"/>
    <hyperlink ref="G717:G727" location="'CKN T5(KC)'!A1" display="'CKN T5(KC)'!A1"/>
    <hyperlink ref="G761" location="Phatsinh!A1" display="Phatsinh!A1"/>
    <hyperlink ref="G762:G764" location="Phatsinh!A1" display="Phatsinh!A1"/>
    <hyperlink ref="G809" location="Phatsinh!A1" display="Phatsinh!A1"/>
    <hyperlink ref="G810:G812" location="Phatsinh!A1" display="Phatsinh!A1"/>
    <hyperlink ref="G1002" location="Phatsinh!A1" display="Phatsinh!A1"/>
    <hyperlink ref="G1003:G1005" location="Phatsinh!A1" display="Phatsinh!A1"/>
    <hyperlink ref="G1131" location="Phatsinh!A1" display="Phatsinh!A1"/>
    <hyperlink ref="G1132:G1135" location="Phatsinh!A1" display="Phatsinh!A1"/>
    <hyperlink ref="G1171" location="Phatsinh!A1" display="Phatsinh!A1"/>
    <hyperlink ref="G1172:G1175" location="Phatsinh!A1" display="Phatsinh!A1"/>
    <hyperlink ref="G1215" location="Phatsinh!A1" display="Phatsinh!A1"/>
    <hyperlink ref="G1216:G1220" location="Phatsinh!A1" display="Phatsinh!A1"/>
    <hyperlink ref="G1048" r:id="rId12"/>
    <hyperlink ref="G1049:G1050" r:id="rId13" display="Mat bang cong truong, duong cong vu.xlsx"/>
    <hyperlink ref="G1052:G1056" r:id="rId14" display="Mat bang cong truong, duong cong vu.xlsx"/>
    <hyperlink ref="G1058:G1062" r:id="rId15" display="Mat bang cong truong, duong cong vu.xlsx"/>
    <hyperlink ref="G1065:G1067" r:id="rId16" display="Mat bang cong truong, duong cong vu.xlsx"/>
    <hyperlink ref="G1069:G1070" r:id="rId17" display="Mat bang cong truong, duong cong vu.xlsx"/>
    <hyperlink ref="G1072:G1073" r:id="rId18" display="Mat bang cong truong, duong cong vu.xlsx"/>
    <hyperlink ref="G1080:G1081" location="'CKN T5'!A1" display="'CKN T5'!A1"/>
  </hyperlinks>
  <printOptions horizontalCentered="1"/>
  <pageMargins left="7.874015748031496E-2" right="7.874015748031496E-2" top="0.59055118110236227" bottom="0.39370078740157483" header="0.31496062992125984" footer="0.19685039370078741"/>
  <pageSetup paperSize="9" scale="77" orientation="landscape" r:id="rId19"/>
  <headerFooter>
    <oddFooter>&amp;C&amp;"Times New Roman,thường"[&amp;P/&amp;N]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view="pageBreakPreview" topLeftCell="A4" zoomScaleNormal="100" zoomScaleSheetLayoutView="100" workbookViewId="0">
      <selection activeCell="K48" sqref="K48"/>
    </sheetView>
  </sheetViews>
  <sheetFormatPr defaultRowHeight="15" x14ac:dyDescent="0.25"/>
  <cols>
    <col min="1" max="1" width="6.140625" customWidth="1"/>
    <col min="2" max="2" width="10.5703125" customWidth="1"/>
    <col min="3" max="3" width="11.140625" customWidth="1"/>
    <col min="4" max="4" width="13.140625" customWidth="1"/>
    <col min="5" max="5" width="15" customWidth="1"/>
    <col min="6" max="6" width="11.28515625" customWidth="1"/>
    <col min="7" max="7" width="9.42578125" customWidth="1"/>
    <col min="8" max="8" width="11.7109375" customWidth="1"/>
    <col min="13" max="13" width="17.28515625" customWidth="1"/>
    <col min="14" max="14" width="17" customWidth="1"/>
  </cols>
  <sheetData>
    <row r="1" spans="1:14" x14ac:dyDescent="0.25">
      <c r="A1" s="1162" t="s">
        <v>417</v>
      </c>
      <c r="B1" s="1162"/>
      <c r="C1" s="1162"/>
      <c r="D1" s="1162"/>
      <c r="E1" s="1162"/>
      <c r="F1" s="1162"/>
      <c r="G1" s="1162"/>
      <c r="H1" s="1162"/>
    </row>
    <row r="3" spans="1:14" ht="30" x14ac:dyDescent="0.25">
      <c r="A3" s="1167" t="s">
        <v>377</v>
      </c>
      <c r="B3" s="1167" t="s">
        <v>383</v>
      </c>
      <c r="C3" s="1167" t="s">
        <v>384</v>
      </c>
      <c r="D3" s="930" t="s">
        <v>378</v>
      </c>
      <c r="E3" s="930" t="s">
        <v>385</v>
      </c>
      <c r="F3" s="930" t="s">
        <v>380</v>
      </c>
      <c r="G3" s="930" t="s">
        <v>381</v>
      </c>
      <c r="H3" s="931" t="s">
        <v>386</v>
      </c>
      <c r="I3" s="1163" t="s">
        <v>419</v>
      </c>
      <c r="J3" s="1164"/>
      <c r="L3" s="119" t="s">
        <v>377</v>
      </c>
      <c r="M3" s="119" t="s">
        <v>397</v>
      </c>
      <c r="N3" s="119" t="s">
        <v>396</v>
      </c>
    </row>
    <row r="4" spans="1:14" x14ac:dyDescent="0.25">
      <c r="A4" s="1172"/>
      <c r="B4" s="1172"/>
      <c r="C4" s="1172"/>
      <c r="D4" s="932" t="s">
        <v>556</v>
      </c>
      <c r="E4" s="932" t="s">
        <v>556</v>
      </c>
      <c r="F4" s="932" t="s">
        <v>585</v>
      </c>
      <c r="G4" s="932" t="s">
        <v>416</v>
      </c>
      <c r="H4" s="933" t="s">
        <v>410</v>
      </c>
      <c r="I4" s="817"/>
      <c r="J4" s="817"/>
      <c r="L4" s="121"/>
      <c r="M4" s="121"/>
      <c r="N4" s="121"/>
    </row>
    <row r="5" spans="1:14" x14ac:dyDescent="0.25">
      <c r="A5" s="116">
        <v>1</v>
      </c>
      <c r="B5" s="116" t="s">
        <v>387</v>
      </c>
      <c r="C5" s="116" t="s">
        <v>357</v>
      </c>
      <c r="D5" s="116">
        <v>32</v>
      </c>
      <c r="E5" s="116">
        <v>10420</v>
      </c>
      <c r="F5" s="116">
        <v>14</v>
      </c>
      <c r="G5" s="116">
        <f>VLOOKUP(D5,$M$5:$N$14,2,0)</f>
        <v>6.31</v>
      </c>
      <c r="H5" s="116">
        <f>ROUND(E5*F5*G5/1000,2)</f>
        <v>920.5</v>
      </c>
      <c r="L5" s="122">
        <v>1</v>
      </c>
      <c r="M5" s="122">
        <v>10</v>
      </c>
      <c r="N5" s="122">
        <v>0.61699999999999999</v>
      </c>
    </row>
    <row r="6" spans="1:14" x14ac:dyDescent="0.25">
      <c r="A6" s="114">
        <v>2</v>
      </c>
      <c r="B6" s="114"/>
      <c r="C6" s="114" t="s">
        <v>358</v>
      </c>
      <c r="D6" s="114">
        <v>32</v>
      </c>
      <c r="E6" s="114">
        <v>11700</v>
      </c>
      <c r="F6" s="114">
        <v>14</v>
      </c>
      <c r="G6" s="114">
        <f t="shared" ref="G6:G30" si="0">VLOOKUP(D6,$M$5:$N$14,2,0)</f>
        <v>6.31</v>
      </c>
      <c r="H6" s="114">
        <f t="shared" ref="H6:H31" si="1">ROUND(E6*F6*G6/1000,2)</f>
        <v>1033.58</v>
      </c>
      <c r="L6" s="122">
        <v>2</v>
      </c>
      <c r="M6" s="122">
        <v>12</v>
      </c>
      <c r="N6" s="122">
        <v>0.88800000000000001</v>
      </c>
    </row>
    <row r="7" spans="1:14" x14ac:dyDescent="0.25">
      <c r="A7" s="114">
        <v>3</v>
      </c>
      <c r="B7" s="114"/>
      <c r="C7" s="114" t="s">
        <v>359</v>
      </c>
      <c r="D7" s="114">
        <v>25</v>
      </c>
      <c r="E7" s="114">
        <v>3899</v>
      </c>
      <c r="F7" s="114">
        <v>5</v>
      </c>
      <c r="G7" s="114">
        <f t="shared" si="0"/>
        <v>3.85</v>
      </c>
      <c r="H7" s="114">
        <f t="shared" si="1"/>
        <v>75.06</v>
      </c>
      <c r="L7" s="122">
        <v>3</v>
      </c>
      <c r="M7" s="122">
        <v>14</v>
      </c>
      <c r="N7" s="122">
        <v>1.21</v>
      </c>
    </row>
    <row r="8" spans="1:14" x14ac:dyDescent="0.25">
      <c r="A8" s="114">
        <v>4</v>
      </c>
      <c r="B8" s="114"/>
      <c r="C8" s="114" t="s">
        <v>360</v>
      </c>
      <c r="D8" s="114">
        <v>25</v>
      </c>
      <c r="E8" s="114">
        <v>600</v>
      </c>
      <c r="F8" s="114">
        <v>40</v>
      </c>
      <c r="G8" s="114">
        <f t="shared" si="0"/>
        <v>3.85</v>
      </c>
      <c r="H8" s="114">
        <f t="shared" si="1"/>
        <v>92.4</v>
      </c>
      <c r="L8" s="122">
        <v>4</v>
      </c>
      <c r="M8" s="122">
        <v>16</v>
      </c>
      <c r="N8" s="122">
        <v>1.58</v>
      </c>
    </row>
    <row r="9" spans="1:14" x14ac:dyDescent="0.25">
      <c r="A9" s="114">
        <v>5</v>
      </c>
      <c r="B9" s="114" t="s">
        <v>388</v>
      </c>
      <c r="C9" s="114" t="s">
        <v>361</v>
      </c>
      <c r="D9" s="114">
        <v>28</v>
      </c>
      <c r="E9" s="114">
        <v>11700</v>
      </c>
      <c r="F9" s="114">
        <v>28</v>
      </c>
      <c r="G9" s="114">
        <f t="shared" si="0"/>
        <v>4.83</v>
      </c>
      <c r="H9" s="114">
        <f t="shared" si="1"/>
        <v>1582.31</v>
      </c>
      <c r="L9" s="122">
        <v>5</v>
      </c>
      <c r="M9" s="122">
        <v>18</v>
      </c>
      <c r="N9" s="122">
        <v>2</v>
      </c>
    </row>
    <row r="10" spans="1:14" x14ac:dyDescent="0.25">
      <c r="A10" s="114">
        <v>6</v>
      </c>
      <c r="B10" s="114"/>
      <c r="C10" s="114" t="s">
        <v>362</v>
      </c>
      <c r="D10" s="114">
        <v>25</v>
      </c>
      <c r="E10" s="114">
        <v>3924</v>
      </c>
      <c r="F10" s="114">
        <v>5</v>
      </c>
      <c r="G10" s="114">
        <f t="shared" si="0"/>
        <v>3.85</v>
      </c>
      <c r="H10" s="114">
        <f t="shared" si="1"/>
        <v>75.540000000000006</v>
      </c>
      <c r="L10" s="122">
        <v>6</v>
      </c>
      <c r="M10" s="122">
        <v>20</v>
      </c>
      <c r="N10" s="122">
        <v>2.4700000000000002</v>
      </c>
    </row>
    <row r="11" spans="1:14" x14ac:dyDescent="0.25">
      <c r="A11" s="114">
        <v>7</v>
      </c>
      <c r="B11" s="114"/>
      <c r="C11" s="114" t="s">
        <v>360</v>
      </c>
      <c r="D11" s="114">
        <v>25</v>
      </c>
      <c r="E11" s="114">
        <v>600</v>
      </c>
      <c r="F11" s="114">
        <v>40</v>
      </c>
      <c r="G11" s="114">
        <f t="shared" si="0"/>
        <v>3.85</v>
      </c>
      <c r="H11" s="114">
        <f t="shared" si="1"/>
        <v>92.4</v>
      </c>
      <c r="L11" s="122">
        <v>7</v>
      </c>
      <c r="M11" s="122">
        <v>22</v>
      </c>
      <c r="N11" s="122">
        <v>2.98</v>
      </c>
    </row>
    <row r="12" spans="1:14" x14ac:dyDescent="0.25">
      <c r="A12" s="114">
        <v>8</v>
      </c>
      <c r="B12" s="114" t="s">
        <v>389</v>
      </c>
      <c r="C12" s="114" t="s">
        <v>363</v>
      </c>
      <c r="D12" s="114">
        <v>25</v>
      </c>
      <c r="E12" s="114">
        <v>11700</v>
      </c>
      <c r="F12" s="114">
        <v>28</v>
      </c>
      <c r="G12" s="114">
        <f t="shared" si="0"/>
        <v>3.85</v>
      </c>
      <c r="H12" s="114">
        <f t="shared" si="1"/>
        <v>1261.26</v>
      </c>
      <c r="L12" s="122">
        <v>8</v>
      </c>
      <c r="M12" s="122">
        <v>25</v>
      </c>
      <c r="N12" s="122">
        <v>3.85</v>
      </c>
    </row>
    <row r="13" spans="1:14" x14ac:dyDescent="0.25">
      <c r="A13" s="114">
        <v>9</v>
      </c>
      <c r="B13" s="114"/>
      <c r="C13" s="114" t="s">
        <v>364</v>
      </c>
      <c r="D13" s="114">
        <v>25</v>
      </c>
      <c r="E13" s="114">
        <v>3943</v>
      </c>
      <c r="F13" s="114">
        <v>6</v>
      </c>
      <c r="G13" s="114">
        <f t="shared" si="0"/>
        <v>3.85</v>
      </c>
      <c r="H13" s="114">
        <f t="shared" si="1"/>
        <v>91.08</v>
      </c>
      <c r="L13" s="122">
        <v>9</v>
      </c>
      <c r="M13" s="122">
        <v>28</v>
      </c>
      <c r="N13" s="122">
        <v>4.83</v>
      </c>
    </row>
    <row r="14" spans="1:14" x14ac:dyDescent="0.25">
      <c r="A14" s="114">
        <v>10</v>
      </c>
      <c r="B14" s="114"/>
      <c r="C14" s="114" t="s">
        <v>360</v>
      </c>
      <c r="D14" s="114">
        <v>25</v>
      </c>
      <c r="E14" s="114">
        <v>600</v>
      </c>
      <c r="F14" s="114">
        <v>48</v>
      </c>
      <c r="G14" s="114">
        <f t="shared" si="0"/>
        <v>3.85</v>
      </c>
      <c r="H14" s="114">
        <f t="shared" si="1"/>
        <v>110.88</v>
      </c>
      <c r="L14" s="122">
        <v>10</v>
      </c>
      <c r="M14" s="122">
        <v>32</v>
      </c>
      <c r="N14" s="122">
        <v>6.31</v>
      </c>
    </row>
    <row r="15" spans="1:14" x14ac:dyDescent="0.25">
      <c r="A15" s="114">
        <v>11</v>
      </c>
      <c r="B15" s="114" t="s">
        <v>390</v>
      </c>
      <c r="C15" s="114" t="s">
        <v>365</v>
      </c>
      <c r="D15" s="114">
        <v>22</v>
      </c>
      <c r="E15" s="114">
        <v>11700</v>
      </c>
      <c r="F15" s="114">
        <v>28</v>
      </c>
      <c r="G15" s="114">
        <f t="shared" si="0"/>
        <v>2.98</v>
      </c>
      <c r="H15" s="114">
        <f t="shared" si="1"/>
        <v>976.25</v>
      </c>
    </row>
    <row r="16" spans="1:14" x14ac:dyDescent="0.25">
      <c r="A16" s="114">
        <v>12</v>
      </c>
      <c r="B16" s="114"/>
      <c r="C16" s="114" t="s">
        <v>366</v>
      </c>
      <c r="D16" s="114">
        <v>25</v>
      </c>
      <c r="E16" s="114">
        <v>3962</v>
      </c>
      <c r="F16" s="114">
        <v>5</v>
      </c>
      <c r="G16" s="114">
        <f t="shared" si="0"/>
        <v>3.85</v>
      </c>
      <c r="H16" s="114">
        <f t="shared" si="1"/>
        <v>76.27</v>
      </c>
      <c r="M16">
        <v>4</v>
      </c>
    </row>
    <row r="17" spans="1:14" x14ac:dyDescent="0.25">
      <c r="A17" s="114">
        <v>13</v>
      </c>
      <c r="B17" s="114"/>
      <c r="C17" s="114" t="s">
        <v>360</v>
      </c>
      <c r="D17" s="114">
        <v>25</v>
      </c>
      <c r="E17" s="114">
        <v>600</v>
      </c>
      <c r="F17" s="114">
        <v>40</v>
      </c>
      <c r="G17" s="114">
        <f t="shared" si="0"/>
        <v>3.85</v>
      </c>
      <c r="H17" s="114">
        <f t="shared" si="1"/>
        <v>92.4</v>
      </c>
      <c r="M17">
        <v>6</v>
      </c>
      <c r="N17">
        <v>0.222</v>
      </c>
    </row>
    <row r="18" spans="1:14" x14ac:dyDescent="0.25">
      <c r="A18" s="114">
        <v>14</v>
      </c>
      <c r="B18" s="114" t="s">
        <v>391</v>
      </c>
      <c r="C18" s="114" t="s">
        <v>367</v>
      </c>
      <c r="D18" s="114">
        <v>20</v>
      </c>
      <c r="E18" s="114">
        <v>11700</v>
      </c>
      <c r="F18" s="114">
        <v>28</v>
      </c>
      <c r="G18" s="114">
        <f t="shared" si="0"/>
        <v>2.4700000000000002</v>
      </c>
      <c r="H18" s="114">
        <f t="shared" si="1"/>
        <v>809.17</v>
      </c>
      <c r="M18">
        <v>8</v>
      </c>
      <c r="N18">
        <v>0.39500000000000002</v>
      </c>
    </row>
    <row r="19" spans="1:14" x14ac:dyDescent="0.25">
      <c r="A19" s="114">
        <v>15</v>
      </c>
      <c r="B19" s="114"/>
      <c r="C19" s="114" t="s">
        <v>368</v>
      </c>
      <c r="D19" s="114">
        <v>25</v>
      </c>
      <c r="E19" s="114">
        <v>3974</v>
      </c>
      <c r="F19" s="114">
        <v>5</v>
      </c>
      <c r="G19" s="114">
        <f t="shared" si="0"/>
        <v>3.85</v>
      </c>
      <c r="H19" s="114">
        <f t="shared" si="1"/>
        <v>76.5</v>
      </c>
      <c r="M19">
        <v>10</v>
      </c>
      <c r="N19">
        <v>0.61699999999999999</v>
      </c>
    </row>
    <row r="20" spans="1:14" x14ac:dyDescent="0.25">
      <c r="A20" s="114">
        <v>16</v>
      </c>
      <c r="B20" s="114"/>
      <c r="C20" s="114" t="s">
        <v>360</v>
      </c>
      <c r="D20" s="114">
        <v>25</v>
      </c>
      <c r="E20" s="114">
        <v>600</v>
      </c>
      <c r="F20" s="114">
        <v>40</v>
      </c>
      <c r="G20" s="114">
        <f t="shared" si="0"/>
        <v>3.85</v>
      </c>
      <c r="H20" s="114">
        <f t="shared" si="1"/>
        <v>92.4</v>
      </c>
    </row>
    <row r="21" spans="1:14" x14ac:dyDescent="0.25">
      <c r="A21" s="114">
        <v>17</v>
      </c>
      <c r="B21" s="114" t="s">
        <v>392</v>
      </c>
      <c r="C21" s="114" t="s">
        <v>369</v>
      </c>
      <c r="D21" s="114">
        <v>20</v>
      </c>
      <c r="E21" s="114">
        <v>5850</v>
      </c>
      <c r="F21" s="114">
        <v>28</v>
      </c>
      <c r="G21" s="114">
        <f t="shared" si="0"/>
        <v>2.4700000000000002</v>
      </c>
      <c r="H21" s="114">
        <f t="shared" si="1"/>
        <v>404.59</v>
      </c>
    </row>
    <row r="22" spans="1:14" x14ac:dyDescent="0.25">
      <c r="A22" s="114">
        <v>18</v>
      </c>
      <c r="B22" s="114"/>
      <c r="C22" s="114" t="s">
        <v>368</v>
      </c>
      <c r="D22" s="114">
        <v>25</v>
      </c>
      <c r="E22" s="114">
        <v>3974</v>
      </c>
      <c r="F22" s="114">
        <v>3</v>
      </c>
      <c r="G22" s="114">
        <f t="shared" si="0"/>
        <v>3.85</v>
      </c>
      <c r="H22" s="114">
        <f t="shared" si="1"/>
        <v>45.9</v>
      </c>
    </row>
    <row r="23" spans="1:14" x14ac:dyDescent="0.25">
      <c r="A23" s="114">
        <v>19</v>
      </c>
      <c r="B23" s="114"/>
      <c r="C23" s="114" t="s">
        <v>360</v>
      </c>
      <c r="D23" s="114">
        <v>25</v>
      </c>
      <c r="E23" s="114">
        <v>600</v>
      </c>
      <c r="F23" s="114">
        <v>24</v>
      </c>
      <c r="G23" s="114">
        <f t="shared" si="0"/>
        <v>3.85</v>
      </c>
      <c r="H23" s="114">
        <f t="shared" si="1"/>
        <v>55.44</v>
      </c>
    </row>
    <row r="24" spans="1:14" x14ac:dyDescent="0.25">
      <c r="A24" s="114">
        <v>20</v>
      </c>
      <c r="B24" s="114" t="s">
        <v>393</v>
      </c>
      <c r="C24" s="114" t="s">
        <v>370</v>
      </c>
      <c r="D24" s="114">
        <v>20</v>
      </c>
      <c r="E24" s="114">
        <v>7036</v>
      </c>
      <c r="F24" s="114">
        <v>14</v>
      </c>
      <c r="G24" s="114">
        <f t="shared" si="0"/>
        <v>2.4700000000000002</v>
      </c>
      <c r="H24" s="114">
        <f t="shared" si="1"/>
        <v>243.3</v>
      </c>
    </row>
    <row r="25" spans="1:14" x14ac:dyDescent="0.25">
      <c r="A25" s="114">
        <v>21</v>
      </c>
      <c r="B25" s="114"/>
      <c r="C25" s="114" t="s">
        <v>371</v>
      </c>
      <c r="D25" s="114">
        <v>20</v>
      </c>
      <c r="E25" s="114">
        <v>8316</v>
      </c>
      <c r="F25" s="114">
        <v>14</v>
      </c>
      <c r="G25" s="114">
        <f t="shared" si="0"/>
        <v>2.4700000000000002</v>
      </c>
      <c r="H25" s="114">
        <f t="shared" si="1"/>
        <v>287.57</v>
      </c>
    </row>
    <row r="26" spans="1:14" x14ac:dyDescent="0.25">
      <c r="A26" s="114">
        <v>22</v>
      </c>
      <c r="B26" s="114"/>
      <c r="C26" s="114" t="s">
        <v>368</v>
      </c>
      <c r="D26" s="114">
        <v>25</v>
      </c>
      <c r="E26" s="114">
        <v>3974</v>
      </c>
      <c r="F26" s="114">
        <v>3</v>
      </c>
      <c r="G26" s="114">
        <f t="shared" si="0"/>
        <v>3.85</v>
      </c>
      <c r="H26" s="114">
        <f t="shared" si="1"/>
        <v>45.9</v>
      </c>
    </row>
    <row r="27" spans="1:14" x14ac:dyDescent="0.25">
      <c r="A27" s="114">
        <v>23</v>
      </c>
      <c r="B27" s="114"/>
      <c r="C27" s="114" t="s">
        <v>360</v>
      </c>
      <c r="D27" s="114">
        <v>25</v>
      </c>
      <c r="E27" s="114">
        <v>600</v>
      </c>
      <c r="F27" s="114">
        <v>24</v>
      </c>
      <c r="G27" s="114">
        <f t="shared" si="0"/>
        <v>3.85</v>
      </c>
      <c r="H27" s="114">
        <f t="shared" si="1"/>
        <v>55.44</v>
      </c>
    </row>
    <row r="28" spans="1:14" x14ac:dyDescent="0.25">
      <c r="A28" s="114">
        <v>24</v>
      </c>
      <c r="B28" s="114"/>
      <c r="C28" s="114" t="s">
        <v>372</v>
      </c>
      <c r="D28" s="114">
        <v>25</v>
      </c>
      <c r="E28" s="114">
        <v>2827</v>
      </c>
      <c r="F28" s="114">
        <v>1</v>
      </c>
      <c r="G28" s="114">
        <f t="shared" si="0"/>
        <v>3.85</v>
      </c>
      <c r="H28" s="114">
        <f t="shared" si="1"/>
        <v>10.88</v>
      </c>
    </row>
    <row r="29" spans="1:14" x14ac:dyDescent="0.25">
      <c r="A29" s="114">
        <v>25</v>
      </c>
      <c r="B29" s="114" t="s">
        <v>394</v>
      </c>
      <c r="C29" s="114" t="s">
        <v>373</v>
      </c>
      <c r="D29" s="114">
        <v>25</v>
      </c>
      <c r="E29" s="114">
        <v>1250</v>
      </c>
      <c r="F29" s="114">
        <v>28</v>
      </c>
      <c r="G29" s="114">
        <f t="shared" si="0"/>
        <v>3.85</v>
      </c>
      <c r="H29" s="114">
        <f t="shared" si="1"/>
        <v>134.75</v>
      </c>
    </row>
    <row r="30" spans="1:14" x14ac:dyDescent="0.25">
      <c r="A30" s="114">
        <v>26</v>
      </c>
      <c r="B30" s="114" t="s">
        <v>395</v>
      </c>
      <c r="C30" s="114" t="s">
        <v>374</v>
      </c>
      <c r="D30" s="114">
        <v>10</v>
      </c>
      <c r="E30" s="114">
        <v>1676831</v>
      </c>
      <c r="F30" s="114">
        <v>1</v>
      </c>
      <c r="G30" s="114">
        <f t="shared" si="0"/>
        <v>0.61699999999999999</v>
      </c>
      <c r="H30" s="114">
        <f t="shared" si="1"/>
        <v>1034.5999999999999</v>
      </c>
    </row>
    <row r="31" spans="1:14" x14ac:dyDescent="0.25">
      <c r="A31" s="115">
        <v>27</v>
      </c>
      <c r="B31" s="115" t="s">
        <v>90</v>
      </c>
      <c r="C31" s="115" t="s">
        <v>376</v>
      </c>
      <c r="D31" s="115"/>
      <c r="E31" s="115">
        <v>100</v>
      </c>
      <c r="F31" s="115">
        <v>420</v>
      </c>
      <c r="G31" s="115">
        <v>3.9249999999999998</v>
      </c>
      <c r="H31" s="115">
        <f t="shared" si="1"/>
        <v>164.85</v>
      </c>
    </row>
    <row r="33" spans="1:8" x14ac:dyDescent="0.25">
      <c r="A33" s="1173" t="s">
        <v>401</v>
      </c>
      <c r="B33" s="1173"/>
      <c r="C33" s="1173"/>
      <c r="D33" s="1173"/>
      <c r="E33" s="1173"/>
      <c r="F33" s="1173"/>
      <c r="G33" s="1173"/>
      <c r="H33" s="1173"/>
    </row>
    <row r="35" spans="1:8" x14ac:dyDescent="0.25">
      <c r="A35" s="1167" t="s">
        <v>377</v>
      </c>
      <c r="B35" s="1168" t="s">
        <v>402</v>
      </c>
      <c r="C35" s="1169"/>
      <c r="D35" s="1033" t="s">
        <v>379</v>
      </c>
      <c r="E35" s="1033" t="s">
        <v>380</v>
      </c>
      <c r="F35" s="1033" t="s">
        <v>381</v>
      </c>
      <c r="G35" s="1167" t="s">
        <v>403</v>
      </c>
      <c r="H35" s="1167"/>
    </row>
    <row r="36" spans="1:8" x14ac:dyDescent="0.25">
      <c r="A36" s="1172"/>
      <c r="B36" s="1170"/>
      <c r="C36" s="1171"/>
      <c r="D36" s="1034" t="s">
        <v>415</v>
      </c>
      <c r="E36" s="1034"/>
      <c r="F36" s="1034" t="s">
        <v>416</v>
      </c>
      <c r="G36" s="1034" t="s">
        <v>124</v>
      </c>
      <c r="H36" s="1034" t="s">
        <v>410</v>
      </c>
    </row>
    <row r="37" spans="1:8" x14ac:dyDescent="0.25">
      <c r="A37" s="116">
        <v>1</v>
      </c>
      <c r="B37" s="116" t="s">
        <v>404</v>
      </c>
      <c r="C37" s="116"/>
      <c r="D37" s="116">
        <v>65230</v>
      </c>
      <c r="E37" s="116">
        <v>3</v>
      </c>
      <c r="F37" s="116"/>
      <c r="G37" s="116">
        <f>D37*E37/1000</f>
        <v>195.69</v>
      </c>
      <c r="H37" s="120"/>
    </row>
    <row r="38" spans="1:8" x14ac:dyDescent="0.25">
      <c r="A38" s="114">
        <v>2</v>
      </c>
      <c r="B38" s="114" t="s">
        <v>405</v>
      </c>
      <c r="C38" s="114"/>
      <c r="D38" s="114">
        <v>64430</v>
      </c>
      <c r="E38" s="114">
        <v>1</v>
      </c>
      <c r="F38" s="114"/>
      <c r="G38" s="114">
        <f>D38*E38/1000</f>
        <v>64.430000000000007</v>
      </c>
      <c r="H38" s="117"/>
    </row>
    <row r="39" spans="1:8" x14ac:dyDescent="0.25">
      <c r="A39" s="114">
        <v>3</v>
      </c>
      <c r="B39" s="114" t="s">
        <v>406</v>
      </c>
      <c r="C39" s="114"/>
      <c r="D39" s="114">
        <v>205</v>
      </c>
      <c r="E39" s="114">
        <v>66</v>
      </c>
      <c r="F39" s="114">
        <v>4.6319999999999997</v>
      </c>
      <c r="G39" s="114"/>
      <c r="H39" s="117">
        <f>D39*E39*F39/1000</f>
        <v>62.670960000000001</v>
      </c>
    </row>
    <row r="40" spans="1:8" x14ac:dyDescent="0.25">
      <c r="A40" s="114">
        <v>4</v>
      </c>
      <c r="B40" s="114" t="s">
        <v>407</v>
      </c>
      <c r="C40" s="114"/>
      <c r="D40" s="114">
        <v>205</v>
      </c>
      <c r="E40" s="114">
        <v>22</v>
      </c>
      <c r="F40" s="114">
        <v>7.0650000000000004</v>
      </c>
      <c r="G40" s="114"/>
      <c r="H40" s="117">
        <f>D40*E40*F40/1000</f>
        <v>31.863150000000001</v>
      </c>
    </row>
    <row r="41" spans="1:8" x14ac:dyDescent="0.25">
      <c r="A41" s="114">
        <v>5</v>
      </c>
      <c r="B41" s="114" t="s">
        <v>408</v>
      </c>
      <c r="C41" s="114"/>
      <c r="D41" s="114"/>
      <c r="E41" s="114">
        <v>6</v>
      </c>
      <c r="F41" s="114"/>
      <c r="G41" s="114"/>
      <c r="H41" s="117"/>
    </row>
    <row r="42" spans="1:8" x14ac:dyDescent="0.25">
      <c r="A42" s="114">
        <v>6</v>
      </c>
      <c r="B42" s="114" t="s">
        <v>409</v>
      </c>
      <c r="C42" s="114"/>
      <c r="D42" s="114"/>
      <c r="E42" s="114">
        <v>2</v>
      </c>
      <c r="F42" s="114"/>
      <c r="G42" s="114"/>
      <c r="H42" s="117"/>
    </row>
    <row r="43" spans="1:8" x14ac:dyDescent="0.25">
      <c r="A43" s="1165">
        <v>7</v>
      </c>
      <c r="B43" s="1165" t="s">
        <v>375</v>
      </c>
      <c r="C43" s="1165"/>
      <c r="D43" s="114">
        <v>330</v>
      </c>
      <c r="E43" s="114">
        <v>96</v>
      </c>
      <c r="F43" s="114">
        <v>0.61699999999999999</v>
      </c>
      <c r="G43" s="114"/>
      <c r="H43" s="117">
        <f>F43*E43*D43/1000</f>
        <v>19.546560000000003</v>
      </c>
    </row>
    <row r="44" spans="1:8" x14ac:dyDescent="0.25">
      <c r="A44" s="1166"/>
      <c r="B44" s="1166" t="s">
        <v>375</v>
      </c>
      <c r="C44" s="1166"/>
      <c r="D44" s="115">
        <v>340</v>
      </c>
      <c r="E44" s="115">
        <v>32</v>
      </c>
      <c r="F44" s="115">
        <v>0.61699999999999999</v>
      </c>
      <c r="G44" s="115"/>
      <c r="H44" s="118">
        <f>F44*E44*D44/1000</f>
        <v>6.7129599999999998</v>
      </c>
    </row>
    <row r="47" spans="1:8" x14ac:dyDescent="0.25">
      <c r="B47" s="123" t="s">
        <v>398</v>
      </c>
    </row>
    <row r="49" spans="3:7" ht="30" x14ac:dyDescent="0.25">
      <c r="C49" s="1061" t="s">
        <v>377</v>
      </c>
      <c r="D49" s="1061" t="s">
        <v>378</v>
      </c>
      <c r="E49" s="1062" t="s">
        <v>399</v>
      </c>
      <c r="F49" s="1062" t="s">
        <v>400</v>
      </c>
      <c r="G49" s="1061" t="s">
        <v>0</v>
      </c>
    </row>
    <row r="50" spans="3:7" x14ac:dyDescent="0.25">
      <c r="C50" s="1063">
        <v>1</v>
      </c>
      <c r="D50" s="1063">
        <v>32</v>
      </c>
      <c r="E50" s="1063">
        <f>SUMIF($D$5:$D$30,D50,$H$5:$H$30)</f>
        <v>1954.08</v>
      </c>
      <c r="F50" s="1064">
        <f>ROUND(E50*6/1000,2)</f>
        <v>11.72</v>
      </c>
      <c r="G50" s="1063"/>
    </row>
    <row r="51" spans="3:7" x14ac:dyDescent="0.25">
      <c r="C51" s="1065">
        <v>2</v>
      </c>
      <c r="D51" s="1065">
        <v>28</v>
      </c>
      <c r="E51" s="1065">
        <f t="shared" ref="E51:E54" si="2">SUMIF($D$5:$D$30,D51,$H$5:$H$30)</f>
        <v>1582.31</v>
      </c>
      <c r="F51" s="1066">
        <f t="shared" ref="F51:F56" si="3">ROUND(E51*6/1000,2)</f>
        <v>9.49</v>
      </c>
      <c r="G51" s="1065"/>
    </row>
    <row r="52" spans="3:7" x14ac:dyDescent="0.25">
      <c r="C52" s="1065">
        <v>3</v>
      </c>
      <c r="D52" s="1065">
        <v>25</v>
      </c>
      <c r="E52" s="1065">
        <f t="shared" si="2"/>
        <v>2484.5000000000005</v>
      </c>
      <c r="F52" s="1066">
        <f t="shared" si="3"/>
        <v>14.91</v>
      </c>
      <c r="G52" s="1065"/>
    </row>
    <row r="53" spans="3:7" x14ac:dyDescent="0.25">
      <c r="C53" s="1065">
        <v>4</v>
      </c>
      <c r="D53" s="1065">
        <v>22</v>
      </c>
      <c r="E53" s="1065">
        <f t="shared" si="2"/>
        <v>976.25</v>
      </c>
      <c r="F53" s="1066">
        <f t="shared" si="3"/>
        <v>5.86</v>
      </c>
      <c r="G53" s="1065"/>
    </row>
    <row r="54" spans="3:7" x14ac:dyDescent="0.25">
      <c r="C54" s="1065">
        <v>5</v>
      </c>
      <c r="D54" s="1065">
        <v>20</v>
      </c>
      <c r="E54" s="1065">
        <f t="shared" si="2"/>
        <v>1744.6299999999999</v>
      </c>
      <c r="F54" s="1066">
        <f t="shared" si="3"/>
        <v>10.47</v>
      </c>
      <c r="G54" s="1065"/>
    </row>
    <row r="55" spans="3:7" x14ac:dyDescent="0.25">
      <c r="C55" s="1065">
        <v>6</v>
      </c>
      <c r="D55" s="1065">
        <v>10</v>
      </c>
      <c r="E55" s="1067">
        <f>SUMIF($D$5:$D$30,D55,$H$5:$H$30)+H43+H44</f>
        <v>1060.85952</v>
      </c>
      <c r="F55" s="1066">
        <f t="shared" si="3"/>
        <v>6.37</v>
      </c>
      <c r="G55" s="1065"/>
    </row>
    <row r="56" spans="3:7" x14ac:dyDescent="0.25">
      <c r="C56" s="1065">
        <v>7</v>
      </c>
      <c r="D56" s="1065" t="s">
        <v>90</v>
      </c>
      <c r="E56" s="1067">
        <f>H31+H39+H40</f>
        <v>259.38411000000002</v>
      </c>
      <c r="F56" s="1066">
        <f t="shared" si="3"/>
        <v>1.56</v>
      </c>
      <c r="G56" s="1065"/>
    </row>
    <row r="57" spans="3:7" x14ac:dyDescent="0.25">
      <c r="C57" s="1068">
        <v>8</v>
      </c>
      <c r="D57" s="1068"/>
      <c r="E57" s="1068"/>
      <c r="F57" s="1069"/>
      <c r="G57" s="1068"/>
    </row>
  </sheetData>
  <mergeCells count="12">
    <mergeCell ref="A1:H1"/>
    <mergeCell ref="I3:J3"/>
    <mergeCell ref="B43:C43"/>
    <mergeCell ref="B44:C44"/>
    <mergeCell ref="A43:A44"/>
    <mergeCell ref="G35:H35"/>
    <mergeCell ref="B35:C36"/>
    <mergeCell ref="A35:A36"/>
    <mergeCell ref="A3:A4"/>
    <mergeCell ref="B3:B4"/>
    <mergeCell ref="C3:C4"/>
    <mergeCell ref="A33:H33"/>
  </mergeCells>
  <hyperlinks>
    <hyperlink ref="I3" location="'Bảng dien giai KL hoan cong'!A1" display="Về sheet diễn giải"/>
  </hyperlinks>
  <pageMargins left="0.7" right="0.7" top="0.75" bottom="0.75" header="0.3" footer="0.3"/>
  <pageSetup paperSize="256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6"/>
  <sheetViews>
    <sheetView view="pageBreakPreview" topLeftCell="A4" zoomScale="115" zoomScaleNormal="100" zoomScaleSheetLayoutView="115" workbookViewId="0">
      <selection activeCell="D8" sqref="D8"/>
    </sheetView>
  </sheetViews>
  <sheetFormatPr defaultColWidth="9" defaultRowHeight="12.75" x14ac:dyDescent="0.2"/>
  <cols>
    <col min="1" max="1" width="4" style="325" bestFit="1" customWidth="1"/>
    <col min="2" max="2" width="60.5703125" style="325" bestFit="1" customWidth="1"/>
    <col min="3" max="3" width="9" style="325"/>
    <col min="4" max="4" width="13.28515625" style="325" customWidth="1"/>
    <col min="5" max="5" width="13.85546875" style="325" hidden="1" customWidth="1"/>
    <col min="6" max="256" width="9" style="325"/>
    <col min="257" max="257" width="4" style="325" bestFit="1" customWidth="1"/>
    <col min="258" max="258" width="60.5703125" style="325" bestFit="1" customWidth="1"/>
    <col min="259" max="259" width="9" style="325"/>
    <col min="260" max="260" width="13.28515625" style="325" customWidth="1"/>
    <col min="261" max="261" width="13.85546875" style="325" customWidth="1"/>
    <col min="262" max="512" width="9" style="325"/>
    <col min="513" max="513" width="4" style="325" bestFit="1" customWidth="1"/>
    <col min="514" max="514" width="60.5703125" style="325" bestFit="1" customWidth="1"/>
    <col min="515" max="515" width="9" style="325"/>
    <col min="516" max="516" width="13.28515625" style="325" customWidth="1"/>
    <col min="517" max="517" width="13.85546875" style="325" customWidth="1"/>
    <col min="518" max="768" width="9" style="325"/>
    <col min="769" max="769" width="4" style="325" bestFit="1" customWidth="1"/>
    <col min="770" max="770" width="60.5703125" style="325" bestFit="1" customWidth="1"/>
    <col min="771" max="771" width="9" style="325"/>
    <col min="772" max="772" width="13.28515625" style="325" customWidth="1"/>
    <col min="773" max="773" width="13.85546875" style="325" customWidth="1"/>
    <col min="774" max="1024" width="9" style="325"/>
    <col min="1025" max="1025" width="4" style="325" bestFit="1" customWidth="1"/>
    <col min="1026" max="1026" width="60.5703125" style="325" bestFit="1" customWidth="1"/>
    <col min="1027" max="1027" width="9" style="325"/>
    <col min="1028" max="1028" width="13.28515625" style="325" customWidth="1"/>
    <col min="1029" max="1029" width="13.85546875" style="325" customWidth="1"/>
    <col min="1030" max="1280" width="9" style="325"/>
    <col min="1281" max="1281" width="4" style="325" bestFit="1" customWidth="1"/>
    <col min="1282" max="1282" width="60.5703125" style="325" bestFit="1" customWidth="1"/>
    <col min="1283" max="1283" width="9" style="325"/>
    <col min="1284" max="1284" width="13.28515625" style="325" customWidth="1"/>
    <col min="1285" max="1285" width="13.85546875" style="325" customWidth="1"/>
    <col min="1286" max="1536" width="9" style="325"/>
    <col min="1537" max="1537" width="4" style="325" bestFit="1" customWidth="1"/>
    <col min="1538" max="1538" width="60.5703125" style="325" bestFit="1" customWidth="1"/>
    <col min="1539" max="1539" width="9" style="325"/>
    <col min="1540" max="1540" width="13.28515625" style="325" customWidth="1"/>
    <col min="1541" max="1541" width="13.85546875" style="325" customWidth="1"/>
    <col min="1542" max="1792" width="9" style="325"/>
    <col min="1793" max="1793" width="4" style="325" bestFit="1" customWidth="1"/>
    <col min="1794" max="1794" width="60.5703125" style="325" bestFit="1" customWidth="1"/>
    <col min="1795" max="1795" width="9" style="325"/>
    <col min="1796" max="1796" width="13.28515625" style="325" customWidth="1"/>
    <col min="1797" max="1797" width="13.85546875" style="325" customWidth="1"/>
    <col min="1798" max="2048" width="9" style="325"/>
    <col min="2049" max="2049" width="4" style="325" bestFit="1" customWidth="1"/>
    <col min="2050" max="2050" width="60.5703125" style="325" bestFit="1" customWidth="1"/>
    <col min="2051" max="2051" width="9" style="325"/>
    <col min="2052" max="2052" width="13.28515625" style="325" customWidth="1"/>
    <col min="2053" max="2053" width="13.85546875" style="325" customWidth="1"/>
    <col min="2054" max="2304" width="9" style="325"/>
    <col min="2305" max="2305" width="4" style="325" bestFit="1" customWidth="1"/>
    <col min="2306" max="2306" width="60.5703125" style="325" bestFit="1" customWidth="1"/>
    <col min="2307" max="2307" width="9" style="325"/>
    <col min="2308" max="2308" width="13.28515625" style="325" customWidth="1"/>
    <col min="2309" max="2309" width="13.85546875" style="325" customWidth="1"/>
    <col min="2310" max="2560" width="9" style="325"/>
    <col min="2561" max="2561" width="4" style="325" bestFit="1" customWidth="1"/>
    <col min="2562" max="2562" width="60.5703125" style="325" bestFit="1" customWidth="1"/>
    <col min="2563" max="2563" width="9" style="325"/>
    <col min="2564" max="2564" width="13.28515625" style="325" customWidth="1"/>
    <col min="2565" max="2565" width="13.85546875" style="325" customWidth="1"/>
    <col min="2566" max="2816" width="9" style="325"/>
    <col min="2817" max="2817" width="4" style="325" bestFit="1" customWidth="1"/>
    <col min="2818" max="2818" width="60.5703125" style="325" bestFit="1" customWidth="1"/>
    <col min="2819" max="2819" width="9" style="325"/>
    <col min="2820" max="2820" width="13.28515625" style="325" customWidth="1"/>
    <col min="2821" max="2821" width="13.85546875" style="325" customWidth="1"/>
    <col min="2822" max="3072" width="9" style="325"/>
    <col min="3073" max="3073" width="4" style="325" bestFit="1" customWidth="1"/>
    <col min="3074" max="3074" width="60.5703125" style="325" bestFit="1" customWidth="1"/>
    <col min="3075" max="3075" width="9" style="325"/>
    <col min="3076" max="3076" width="13.28515625" style="325" customWidth="1"/>
    <col min="3077" max="3077" width="13.85546875" style="325" customWidth="1"/>
    <col min="3078" max="3328" width="9" style="325"/>
    <col min="3329" max="3329" width="4" style="325" bestFit="1" customWidth="1"/>
    <col min="3330" max="3330" width="60.5703125" style="325" bestFit="1" customWidth="1"/>
    <col min="3331" max="3331" width="9" style="325"/>
    <col min="3332" max="3332" width="13.28515625" style="325" customWidth="1"/>
    <col min="3333" max="3333" width="13.85546875" style="325" customWidth="1"/>
    <col min="3334" max="3584" width="9" style="325"/>
    <col min="3585" max="3585" width="4" style="325" bestFit="1" customWidth="1"/>
    <col min="3586" max="3586" width="60.5703125" style="325" bestFit="1" customWidth="1"/>
    <col min="3587" max="3587" width="9" style="325"/>
    <col min="3588" max="3588" width="13.28515625" style="325" customWidth="1"/>
    <col min="3589" max="3589" width="13.85546875" style="325" customWidth="1"/>
    <col min="3590" max="3840" width="9" style="325"/>
    <col min="3841" max="3841" width="4" style="325" bestFit="1" customWidth="1"/>
    <col min="3842" max="3842" width="60.5703125" style="325" bestFit="1" customWidth="1"/>
    <col min="3843" max="3843" width="9" style="325"/>
    <col min="3844" max="3844" width="13.28515625" style="325" customWidth="1"/>
    <col min="3845" max="3845" width="13.85546875" style="325" customWidth="1"/>
    <col min="3846" max="4096" width="9" style="325"/>
    <col min="4097" max="4097" width="4" style="325" bestFit="1" customWidth="1"/>
    <col min="4098" max="4098" width="60.5703125" style="325" bestFit="1" customWidth="1"/>
    <col min="4099" max="4099" width="9" style="325"/>
    <col min="4100" max="4100" width="13.28515625" style="325" customWidth="1"/>
    <col min="4101" max="4101" width="13.85546875" style="325" customWidth="1"/>
    <col min="4102" max="4352" width="9" style="325"/>
    <col min="4353" max="4353" width="4" style="325" bestFit="1" customWidth="1"/>
    <col min="4354" max="4354" width="60.5703125" style="325" bestFit="1" customWidth="1"/>
    <col min="4355" max="4355" width="9" style="325"/>
    <col min="4356" max="4356" width="13.28515625" style="325" customWidth="1"/>
    <col min="4357" max="4357" width="13.85546875" style="325" customWidth="1"/>
    <col min="4358" max="4608" width="9" style="325"/>
    <col min="4609" max="4609" width="4" style="325" bestFit="1" customWidth="1"/>
    <col min="4610" max="4610" width="60.5703125" style="325" bestFit="1" customWidth="1"/>
    <col min="4611" max="4611" width="9" style="325"/>
    <col min="4612" max="4612" width="13.28515625" style="325" customWidth="1"/>
    <col min="4613" max="4613" width="13.85546875" style="325" customWidth="1"/>
    <col min="4614" max="4864" width="9" style="325"/>
    <col min="4865" max="4865" width="4" style="325" bestFit="1" customWidth="1"/>
    <col min="4866" max="4866" width="60.5703125" style="325" bestFit="1" customWidth="1"/>
    <col min="4867" max="4867" width="9" style="325"/>
    <col min="4868" max="4868" width="13.28515625" style="325" customWidth="1"/>
    <col min="4869" max="4869" width="13.85546875" style="325" customWidth="1"/>
    <col min="4870" max="5120" width="9" style="325"/>
    <col min="5121" max="5121" width="4" style="325" bestFit="1" customWidth="1"/>
    <col min="5122" max="5122" width="60.5703125" style="325" bestFit="1" customWidth="1"/>
    <col min="5123" max="5123" width="9" style="325"/>
    <col min="5124" max="5124" width="13.28515625" style="325" customWidth="1"/>
    <col min="5125" max="5125" width="13.85546875" style="325" customWidth="1"/>
    <col min="5126" max="5376" width="9" style="325"/>
    <col min="5377" max="5377" width="4" style="325" bestFit="1" customWidth="1"/>
    <col min="5378" max="5378" width="60.5703125" style="325" bestFit="1" customWidth="1"/>
    <col min="5379" max="5379" width="9" style="325"/>
    <col min="5380" max="5380" width="13.28515625" style="325" customWidth="1"/>
    <col min="5381" max="5381" width="13.85546875" style="325" customWidth="1"/>
    <col min="5382" max="5632" width="9" style="325"/>
    <col min="5633" max="5633" width="4" style="325" bestFit="1" customWidth="1"/>
    <col min="5634" max="5634" width="60.5703125" style="325" bestFit="1" customWidth="1"/>
    <col min="5635" max="5635" width="9" style="325"/>
    <col min="5636" max="5636" width="13.28515625" style="325" customWidth="1"/>
    <col min="5637" max="5637" width="13.85546875" style="325" customWidth="1"/>
    <col min="5638" max="5888" width="9" style="325"/>
    <col min="5889" max="5889" width="4" style="325" bestFit="1" customWidth="1"/>
    <col min="5890" max="5890" width="60.5703125" style="325" bestFit="1" customWidth="1"/>
    <col min="5891" max="5891" width="9" style="325"/>
    <col min="5892" max="5892" width="13.28515625" style="325" customWidth="1"/>
    <col min="5893" max="5893" width="13.85546875" style="325" customWidth="1"/>
    <col min="5894" max="6144" width="9" style="325"/>
    <col min="6145" max="6145" width="4" style="325" bestFit="1" customWidth="1"/>
    <col min="6146" max="6146" width="60.5703125" style="325" bestFit="1" customWidth="1"/>
    <col min="6147" max="6147" width="9" style="325"/>
    <col min="6148" max="6148" width="13.28515625" style="325" customWidth="1"/>
    <col min="6149" max="6149" width="13.85546875" style="325" customWidth="1"/>
    <col min="6150" max="6400" width="9" style="325"/>
    <col min="6401" max="6401" width="4" style="325" bestFit="1" customWidth="1"/>
    <col min="6402" max="6402" width="60.5703125" style="325" bestFit="1" customWidth="1"/>
    <col min="6403" max="6403" width="9" style="325"/>
    <col min="6404" max="6404" width="13.28515625" style="325" customWidth="1"/>
    <col min="6405" max="6405" width="13.85546875" style="325" customWidth="1"/>
    <col min="6406" max="6656" width="9" style="325"/>
    <col min="6657" max="6657" width="4" style="325" bestFit="1" customWidth="1"/>
    <col min="6658" max="6658" width="60.5703125" style="325" bestFit="1" customWidth="1"/>
    <col min="6659" max="6659" width="9" style="325"/>
    <col min="6660" max="6660" width="13.28515625" style="325" customWidth="1"/>
    <col min="6661" max="6661" width="13.85546875" style="325" customWidth="1"/>
    <col min="6662" max="6912" width="9" style="325"/>
    <col min="6913" max="6913" width="4" style="325" bestFit="1" customWidth="1"/>
    <col min="6914" max="6914" width="60.5703125" style="325" bestFit="1" customWidth="1"/>
    <col min="6915" max="6915" width="9" style="325"/>
    <col min="6916" max="6916" width="13.28515625" style="325" customWidth="1"/>
    <col min="6917" max="6917" width="13.85546875" style="325" customWidth="1"/>
    <col min="6918" max="7168" width="9" style="325"/>
    <col min="7169" max="7169" width="4" style="325" bestFit="1" customWidth="1"/>
    <col min="7170" max="7170" width="60.5703125" style="325" bestFit="1" customWidth="1"/>
    <col min="7171" max="7171" width="9" style="325"/>
    <col min="7172" max="7172" width="13.28515625" style="325" customWidth="1"/>
    <col min="7173" max="7173" width="13.85546875" style="325" customWidth="1"/>
    <col min="7174" max="7424" width="9" style="325"/>
    <col min="7425" max="7425" width="4" style="325" bestFit="1" customWidth="1"/>
    <col min="7426" max="7426" width="60.5703125" style="325" bestFit="1" customWidth="1"/>
    <col min="7427" max="7427" width="9" style="325"/>
    <col min="7428" max="7428" width="13.28515625" style="325" customWidth="1"/>
    <col min="7429" max="7429" width="13.85546875" style="325" customWidth="1"/>
    <col min="7430" max="7680" width="9" style="325"/>
    <col min="7681" max="7681" width="4" style="325" bestFit="1" customWidth="1"/>
    <col min="7682" max="7682" width="60.5703125" style="325" bestFit="1" customWidth="1"/>
    <col min="7683" max="7683" width="9" style="325"/>
    <col min="7684" max="7684" width="13.28515625" style="325" customWidth="1"/>
    <col min="7685" max="7685" width="13.85546875" style="325" customWidth="1"/>
    <col min="7686" max="7936" width="9" style="325"/>
    <col min="7937" max="7937" width="4" style="325" bestFit="1" customWidth="1"/>
    <col min="7938" max="7938" width="60.5703125" style="325" bestFit="1" customWidth="1"/>
    <col min="7939" max="7939" width="9" style="325"/>
    <col min="7940" max="7940" width="13.28515625" style="325" customWidth="1"/>
    <col min="7941" max="7941" width="13.85546875" style="325" customWidth="1"/>
    <col min="7942" max="8192" width="9" style="325"/>
    <col min="8193" max="8193" width="4" style="325" bestFit="1" customWidth="1"/>
    <col min="8194" max="8194" width="60.5703125" style="325" bestFit="1" customWidth="1"/>
    <col min="8195" max="8195" width="9" style="325"/>
    <col min="8196" max="8196" width="13.28515625" style="325" customWidth="1"/>
    <col min="8197" max="8197" width="13.85546875" style="325" customWidth="1"/>
    <col min="8198" max="8448" width="9" style="325"/>
    <col min="8449" max="8449" width="4" style="325" bestFit="1" customWidth="1"/>
    <col min="8450" max="8450" width="60.5703125" style="325" bestFit="1" customWidth="1"/>
    <col min="8451" max="8451" width="9" style="325"/>
    <col min="8452" max="8452" width="13.28515625" style="325" customWidth="1"/>
    <col min="8453" max="8453" width="13.85546875" style="325" customWidth="1"/>
    <col min="8454" max="8704" width="9" style="325"/>
    <col min="8705" max="8705" width="4" style="325" bestFit="1" customWidth="1"/>
    <col min="8706" max="8706" width="60.5703125" style="325" bestFit="1" customWidth="1"/>
    <col min="8707" max="8707" width="9" style="325"/>
    <col min="8708" max="8708" width="13.28515625" style="325" customWidth="1"/>
    <col min="8709" max="8709" width="13.85546875" style="325" customWidth="1"/>
    <col min="8710" max="8960" width="9" style="325"/>
    <col min="8961" max="8961" width="4" style="325" bestFit="1" customWidth="1"/>
    <col min="8962" max="8962" width="60.5703125" style="325" bestFit="1" customWidth="1"/>
    <col min="8963" max="8963" width="9" style="325"/>
    <col min="8964" max="8964" width="13.28515625" style="325" customWidth="1"/>
    <col min="8965" max="8965" width="13.85546875" style="325" customWidth="1"/>
    <col min="8966" max="9216" width="9" style="325"/>
    <col min="9217" max="9217" width="4" style="325" bestFit="1" customWidth="1"/>
    <col min="9218" max="9218" width="60.5703125" style="325" bestFit="1" customWidth="1"/>
    <col min="9219" max="9219" width="9" style="325"/>
    <col min="9220" max="9220" width="13.28515625" style="325" customWidth="1"/>
    <col min="9221" max="9221" width="13.85546875" style="325" customWidth="1"/>
    <col min="9222" max="9472" width="9" style="325"/>
    <col min="9473" max="9473" width="4" style="325" bestFit="1" customWidth="1"/>
    <col min="9474" max="9474" width="60.5703125" style="325" bestFit="1" customWidth="1"/>
    <col min="9475" max="9475" width="9" style="325"/>
    <col min="9476" max="9476" width="13.28515625" style="325" customWidth="1"/>
    <col min="9477" max="9477" width="13.85546875" style="325" customWidth="1"/>
    <col min="9478" max="9728" width="9" style="325"/>
    <col min="9729" max="9729" width="4" style="325" bestFit="1" customWidth="1"/>
    <col min="9730" max="9730" width="60.5703125" style="325" bestFit="1" customWidth="1"/>
    <col min="9731" max="9731" width="9" style="325"/>
    <col min="9732" max="9732" width="13.28515625" style="325" customWidth="1"/>
    <col min="9733" max="9733" width="13.85546875" style="325" customWidth="1"/>
    <col min="9734" max="9984" width="9" style="325"/>
    <col min="9985" max="9985" width="4" style="325" bestFit="1" customWidth="1"/>
    <col min="9986" max="9986" width="60.5703125" style="325" bestFit="1" customWidth="1"/>
    <col min="9987" max="9987" width="9" style="325"/>
    <col min="9988" max="9988" width="13.28515625" style="325" customWidth="1"/>
    <col min="9989" max="9989" width="13.85546875" style="325" customWidth="1"/>
    <col min="9990" max="10240" width="9" style="325"/>
    <col min="10241" max="10241" width="4" style="325" bestFit="1" customWidth="1"/>
    <col min="10242" max="10242" width="60.5703125" style="325" bestFit="1" customWidth="1"/>
    <col min="10243" max="10243" width="9" style="325"/>
    <col min="10244" max="10244" width="13.28515625" style="325" customWidth="1"/>
    <col min="10245" max="10245" width="13.85546875" style="325" customWidth="1"/>
    <col min="10246" max="10496" width="9" style="325"/>
    <col min="10497" max="10497" width="4" style="325" bestFit="1" customWidth="1"/>
    <col min="10498" max="10498" width="60.5703125" style="325" bestFit="1" customWidth="1"/>
    <col min="10499" max="10499" width="9" style="325"/>
    <col min="10500" max="10500" width="13.28515625" style="325" customWidth="1"/>
    <col min="10501" max="10501" width="13.85546875" style="325" customWidth="1"/>
    <col min="10502" max="10752" width="9" style="325"/>
    <col min="10753" max="10753" width="4" style="325" bestFit="1" customWidth="1"/>
    <col min="10754" max="10754" width="60.5703125" style="325" bestFit="1" customWidth="1"/>
    <col min="10755" max="10755" width="9" style="325"/>
    <col min="10756" max="10756" width="13.28515625" style="325" customWidth="1"/>
    <col min="10757" max="10757" width="13.85546875" style="325" customWidth="1"/>
    <col min="10758" max="11008" width="9" style="325"/>
    <col min="11009" max="11009" width="4" style="325" bestFit="1" customWidth="1"/>
    <col min="11010" max="11010" width="60.5703125" style="325" bestFit="1" customWidth="1"/>
    <col min="11011" max="11011" width="9" style="325"/>
    <col min="11012" max="11012" width="13.28515625" style="325" customWidth="1"/>
    <col min="11013" max="11013" width="13.85546875" style="325" customWidth="1"/>
    <col min="11014" max="11264" width="9" style="325"/>
    <col min="11265" max="11265" width="4" style="325" bestFit="1" customWidth="1"/>
    <col min="11266" max="11266" width="60.5703125" style="325" bestFit="1" customWidth="1"/>
    <col min="11267" max="11267" width="9" style="325"/>
    <col min="11268" max="11268" width="13.28515625" style="325" customWidth="1"/>
    <col min="11269" max="11269" width="13.85546875" style="325" customWidth="1"/>
    <col min="11270" max="11520" width="9" style="325"/>
    <col min="11521" max="11521" width="4" style="325" bestFit="1" customWidth="1"/>
    <col min="11522" max="11522" width="60.5703125" style="325" bestFit="1" customWidth="1"/>
    <col min="11523" max="11523" width="9" style="325"/>
    <col min="11524" max="11524" width="13.28515625" style="325" customWidth="1"/>
    <col min="11525" max="11525" width="13.85546875" style="325" customWidth="1"/>
    <col min="11526" max="11776" width="9" style="325"/>
    <col min="11777" max="11777" width="4" style="325" bestFit="1" customWidth="1"/>
    <col min="11778" max="11778" width="60.5703125" style="325" bestFit="1" customWidth="1"/>
    <col min="11779" max="11779" width="9" style="325"/>
    <col min="11780" max="11780" width="13.28515625" style="325" customWidth="1"/>
    <col min="11781" max="11781" width="13.85546875" style="325" customWidth="1"/>
    <col min="11782" max="12032" width="9" style="325"/>
    <col min="12033" max="12033" width="4" style="325" bestFit="1" customWidth="1"/>
    <col min="12034" max="12034" width="60.5703125" style="325" bestFit="1" customWidth="1"/>
    <col min="12035" max="12035" width="9" style="325"/>
    <col min="12036" max="12036" width="13.28515625" style="325" customWidth="1"/>
    <col min="12037" max="12037" width="13.85546875" style="325" customWidth="1"/>
    <col min="12038" max="12288" width="9" style="325"/>
    <col min="12289" max="12289" width="4" style="325" bestFit="1" customWidth="1"/>
    <col min="12290" max="12290" width="60.5703125" style="325" bestFit="1" customWidth="1"/>
    <col min="12291" max="12291" width="9" style="325"/>
    <col min="12292" max="12292" width="13.28515625" style="325" customWidth="1"/>
    <col min="12293" max="12293" width="13.85546875" style="325" customWidth="1"/>
    <col min="12294" max="12544" width="9" style="325"/>
    <col min="12545" max="12545" width="4" style="325" bestFit="1" customWidth="1"/>
    <col min="12546" max="12546" width="60.5703125" style="325" bestFit="1" customWidth="1"/>
    <col min="12547" max="12547" width="9" style="325"/>
    <col min="12548" max="12548" width="13.28515625" style="325" customWidth="1"/>
    <col min="12549" max="12549" width="13.85546875" style="325" customWidth="1"/>
    <col min="12550" max="12800" width="9" style="325"/>
    <col min="12801" max="12801" width="4" style="325" bestFit="1" customWidth="1"/>
    <col min="12802" max="12802" width="60.5703125" style="325" bestFit="1" customWidth="1"/>
    <col min="12803" max="12803" width="9" style="325"/>
    <col min="12804" max="12804" width="13.28515625" style="325" customWidth="1"/>
    <col min="12805" max="12805" width="13.85546875" style="325" customWidth="1"/>
    <col min="12806" max="13056" width="9" style="325"/>
    <col min="13057" max="13057" width="4" style="325" bestFit="1" customWidth="1"/>
    <col min="13058" max="13058" width="60.5703125" style="325" bestFit="1" customWidth="1"/>
    <col min="13059" max="13059" width="9" style="325"/>
    <col min="13060" max="13060" width="13.28515625" style="325" customWidth="1"/>
    <col min="13061" max="13061" width="13.85546875" style="325" customWidth="1"/>
    <col min="13062" max="13312" width="9" style="325"/>
    <col min="13313" max="13313" width="4" style="325" bestFit="1" customWidth="1"/>
    <col min="13314" max="13314" width="60.5703125" style="325" bestFit="1" customWidth="1"/>
    <col min="13315" max="13315" width="9" style="325"/>
    <col min="13316" max="13316" width="13.28515625" style="325" customWidth="1"/>
    <col min="13317" max="13317" width="13.85546875" style="325" customWidth="1"/>
    <col min="13318" max="13568" width="9" style="325"/>
    <col min="13569" max="13569" width="4" style="325" bestFit="1" customWidth="1"/>
    <col min="13570" max="13570" width="60.5703125" style="325" bestFit="1" customWidth="1"/>
    <col min="13571" max="13571" width="9" style="325"/>
    <col min="13572" max="13572" width="13.28515625" style="325" customWidth="1"/>
    <col min="13573" max="13573" width="13.85546875" style="325" customWidth="1"/>
    <col min="13574" max="13824" width="9" style="325"/>
    <col min="13825" max="13825" width="4" style="325" bestFit="1" customWidth="1"/>
    <col min="13826" max="13826" width="60.5703125" style="325" bestFit="1" customWidth="1"/>
    <col min="13827" max="13827" width="9" style="325"/>
    <col min="13828" max="13828" width="13.28515625" style="325" customWidth="1"/>
    <col min="13829" max="13829" width="13.85546875" style="325" customWidth="1"/>
    <col min="13830" max="14080" width="9" style="325"/>
    <col min="14081" max="14081" width="4" style="325" bestFit="1" customWidth="1"/>
    <col min="14082" max="14082" width="60.5703125" style="325" bestFit="1" customWidth="1"/>
    <col min="14083" max="14083" width="9" style="325"/>
    <col min="14084" max="14084" width="13.28515625" style="325" customWidth="1"/>
    <col min="14085" max="14085" width="13.85546875" style="325" customWidth="1"/>
    <col min="14086" max="14336" width="9" style="325"/>
    <col min="14337" max="14337" width="4" style="325" bestFit="1" customWidth="1"/>
    <col min="14338" max="14338" width="60.5703125" style="325" bestFit="1" customWidth="1"/>
    <col min="14339" max="14339" width="9" style="325"/>
    <col min="14340" max="14340" width="13.28515625" style="325" customWidth="1"/>
    <col min="14341" max="14341" width="13.85546875" style="325" customWidth="1"/>
    <col min="14342" max="14592" width="9" style="325"/>
    <col min="14593" max="14593" width="4" style="325" bestFit="1" customWidth="1"/>
    <col min="14594" max="14594" width="60.5703125" style="325" bestFit="1" customWidth="1"/>
    <col min="14595" max="14595" width="9" style="325"/>
    <col min="14596" max="14596" width="13.28515625" style="325" customWidth="1"/>
    <col min="14597" max="14597" width="13.85546875" style="325" customWidth="1"/>
    <col min="14598" max="14848" width="9" style="325"/>
    <col min="14849" max="14849" width="4" style="325" bestFit="1" customWidth="1"/>
    <col min="14850" max="14850" width="60.5703125" style="325" bestFit="1" customWidth="1"/>
    <col min="14851" max="14851" width="9" style="325"/>
    <col min="14852" max="14852" width="13.28515625" style="325" customWidth="1"/>
    <col min="14853" max="14853" width="13.85546875" style="325" customWidth="1"/>
    <col min="14854" max="15104" width="9" style="325"/>
    <col min="15105" max="15105" width="4" style="325" bestFit="1" customWidth="1"/>
    <col min="15106" max="15106" width="60.5703125" style="325" bestFit="1" customWidth="1"/>
    <col min="15107" max="15107" width="9" style="325"/>
    <col min="15108" max="15108" width="13.28515625" style="325" customWidth="1"/>
    <col min="15109" max="15109" width="13.85546875" style="325" customWidth="1"/>
    <col min="15110" max="15360" width="9" style="325"/>
    <col min="15361" max="15361" width="4" style="325" bestFit="1" customWidth="1"/>
    <col min="15362" max="15362" width="60.5703125" style="325" bestFit="1" customWidth="1"/>
    <col min="15363" max="15363" width="9" style="325"/>
    <col min="15364" max="15364" width="13.28515625" style="325" customWidth="1"/>
    <col min="15365" max="15365" width="13.85546875" style="325" customWidth="1"/>
    <col min="15366" max="15616" width="9" style="325"/>
    <col min="15617" max="15617" width="4" style="325" bestFit="1" customWidth="1"/>
    <col min="15618" max="15618" width="60.5703125" style="325" bestFit="1" customWidth="1"/>
    <col min="15619" max="15619" width="9" style="325"/>
    <col min="15620" max="15620" width="13.28515625" style="325" customWidth="1"/>
    <col min="15621" max="15621" width="13.85546875" style="325" customWidth="1"/>
    <col min="15622" max="15872" width="9" style="325"/>
    <col min="15873" max="15873" width="4" style="325" bestFit="1" customWidth="1"/>
    <col min="15874" max="15874" width="60.5703125" style="325" bestFit="1" customWidth="1"/>
    <col min="15875" max="15875" width="9" style="325"/>
    <col min="15876" max="15876" width="13.28515625" style="325" customWidth="1"/>
    <col min="15877" max="15877" width="13.85546875" style="325" customWidth="1"/>
    <col min="15878" max="16128" width="9" style="325"/>
    <col min="16129" max="16129" width="4" style="325" bestFit="1" customWidth="1"/>
    <col min="16130" max="16130" width="60.5703125" style="325" bestFit="1" customWidth="1"/>
    <col min="16131" max="16131" width="9" style="325"/>
    <col min="16132" max="16132" width="13.28515625" style="325" customWidth="1"/>
    <col min="16133" max="16133" width="13.85546875" style="325" customWidth="1"/>
    <col min="16134" max="16384" width="9" style="325"/>
  </cols>
  <sheetData>
    <row r="1" spans="1:5" ht="22.5" customHeight="1" thickTop="1" x14ac:dyDescent="0.2">
      <c r="A1" s="1028" t="s">
        <v>377</v>
      </c>
      <c r="B1" s="1029" t="s">
        <v>547</v>
      </c>
      <c r="C1" s="1030" t="s">
        <v>668</v>
      </c>
      <c r="D1" s="1031" t="s">
        <v>777</v>
      </c>
      <c r="E1" s="318" t="s">
        <v>778</v>
      </c>
    </row>
    <row r="2" spans="1:5" ht="12.75" customHeight="1" x14ac:dyDescent="0.2">
      <c r="A2" s="326">
        <v>1</v>
      </c>
      <c r="B2" s="327" t="s">
        <v>675</v>
      </c>
      <c r="C2" s="328" t="s">
        <v>124</v>
      </c>
      <c r="D2" s="329">
        <f>+'[2]Bang cao do T4, T7'!H5</f>
        <v>1.732</v>
      </c>
      <c r="E2" s="329">
        <f>+'[2]Bang cao do T4, T7'!H6</f>
        <v>0.23100000000000001</v>
      </c>
    </row>
    <row r="3" spans="1:5" x14ac:dyDescent="0.2">
      <c r="A3" s="326">
        <v>2</v>
      </c>
      <c r="B3" s="327" t="s">
        <v>677</v>
      </c>
      <c r="C3" s="328" t="s">
        <v>124</v>
      </c>
      <c r="D3" s="329">
        <f>+'[2]Bang cao do T4, T7'!I5</f>
        <v>-0.76800000000000002</v>
      </c>
      <c r="E3" s="329">
        <f>+'[2]Bang cao do T4, T7'!I6</f>
        <v>-2.2690000000000001</v>
      </c>
    </row>
    <row r="4" spans="1:5" ht="15" x14ac:dyDescent="0.25">
      <c r="A4" s="326">
        <v>3</v>
      </c>
      <c r="B4" s="403" t="s">
        <v>779</v>
      </c>
      <c r="C4" s="404" t="s">
        <v>124</v>
      </c>
      <c r="D4" s="405">
        <v>2.7</v>
      </c>
      <c r="E4" s="405">
        <v>2.7</v>
      </c>
    </row>
    <row r="5" spans="1:5" x14ac:dyDescent="0.2">
      <c r="A5" s="326">
        <v>4</v>
      </c>
      <c r="B5" s="327" t="s">
        <v>679</v>
      </c>
      <c r="C5" s="328" t="s">
        <v>124</v>
      </c>
      <c r="D5" s="329">
        <f>+D3-D6</f>
        <v>-64.768000000000001</v>
      </c>
      <c r="E5" s="329">
        <f>+E3-E6</f>
        <v>-65.269000000000005</v>
      </c>
    </row>
    <row r="6" spans="1:5" x14ac:dyDescent="0.2">
      <c r="A6" s="326">
        <v>5</v>
      </c>
      <c r="B6" s="327" t="s">
        <v>681</v>
      </c>
      <c r="C6" s="328" t="s">
        <v>124</v>
      </c>
      <c r="D6" s="329">
        <f>+'[2]Bang cao do T4, T7'!L5</f>
        <v>64</v>
      </c>
      <c r="E6" s="329">
        <f>+'[2]Bang cao do T4, T7'!L6</f>
        <v>63</v>
      </c>
    </row>
    <row r="7" spans="1:5" x14ac:dyDescent="0.2">
      <c r="A7" s="326">
        <v>6</v>
      </c>
      <c r="B7" s="327" t="s">
        <v>683</v>
      </c>
      <c r="C7" s="328" t="s">
        <v>124</v>
      </c>
      <c r="D7" s="329">
        <v>2.14</v>
      </c>
      <c r="E7" s="329">
        <f>+'[2]Bang cao do T4, T7'!G6</f>
        <v>2</v>
      </c>
    </row>
    <row r="8" spans="1:5" x14ac:dyDescent="0.2">
      <c r="A8" s="326">
        <v>7</v>
      </c>
      <c r="B8" s="327" t="s">
        <v>685</v>
      </c>
      <c r="C8" s="328" t="s">
        <v>576</v>
      </c>
      <c r="D8" s="329">
        <v>6</v>
      </c>
      <c r="E8" s="329">
        <v>6</v>
      </c>
    </row>
    <row r="9" spans="1:5" x14ac:dyDescent="0.2">
      <c r="A9" s="352"/>
      <c r="B9" s="327" t="s">
        <v>687</v>
      </c>
      <c r="C9" s="328" t="s">
        <v>124</v>
      </c>
      <c r="D9" s="942">
        <f>+D4-D3+D10</f>
        <v>3.968</v>
      </c>
      <c r="E9" s="337">
        <f>+E4-E3+0.5</f>
        <v>5.4690000000000003</v>
      </c>
    </row>
    <row r="10" spans="1:5" x14ac:dyDescent="0.2">
      <c r="A10" s="327"/>
      <c r="B10" s="327" t="s">
        <v>688</v>
      </c>
      <c r="C10" s="352" t="s">
        <v>124</v>
      </c>
      <c r="D10" s="352">
        <v>0.5</v>
      </c>
      <c r="E10" s="339">
        <v>0.5</v>
      </c>
    </row>
    <row r="11" spans="1:5" x14ac:dyDescent="0.2">
      <c r="A11" s="326">
        <v>7</v>
      </c>
      <c r="B11" s="340" t="s">
        <v>780</v>
      </c>
      <c r="C11" s="328" t="s">
        <v>124</v>
      </c>
      <c r="D11" s="329">
        <v>-61.42</v>
      </c>
      <c r="E11" s="329"/>
    </row>
    <row r="12" spans="1:5" x14ac:dyDescent="0.2">
      <c r="A12" s="326">
        <v>7</v>
      </c>
      <c r="B12" s="340" t="s">
        <v>692</v>
      </c>
      <c r="C12" s="328" t="s">
        <v>124</v>
      </c>
      <c r="D12" s="329">
        <v>2.7</v>
      </c>
      <c r="E12" s="329">
        <v>2.7</v>
      </c>
    </row>
    <row r="13" spans="1:5" x14ac:dyDescent="0.2">
      <c r="A13" s="326">
        <v>8</v>
      </c>
      <c r="B13" s="348" t="s">
        <v>694</v>
      </c>
      <c r="C13" s="349" t="s">
        <v>124</v>
      </c>
      <c r="D13" s="350">
        <v>0</v>
      </c>
      <c r="E13" s="350">
        <v>1</v>
      </c>
    </row>
    <row r="14" spans="1:5" ht="15" x14ac:dyDescent="0.25">
      <c r="A14" s="326"/>
      <c r="B14" s="327" t="s">
        <v>695</v>
      </c>
      <c r="C14" s="352" t="s">
        <v>124</v>
      </c>
      <c r="D14" s="406">
        <f>11+1.18*2</f>
        <v>13.36</v>
      </c>
      <c r="E14" s="406">
        <f>11+1.18*2</f>
        <v>13.36</v>
      </c>
    </row>
    <row r="15" spans="1:5" ht="15" x14ac:dyDescent="0.25">
      <c r="A15" s="326"/>
      <c r="B15" s="327" t="s">
        <v>696</v>
      </c>
      <c r="C15" s="352" t="s">
        <v>124</v>
      </c>
      <c r="D15" s="407">
        <f>7.5+1.18*2</f>
        <v>9.86</v>
      </c>
      <c r="E15" s="407">
        <f>7.5+1.18*2</f>
        <v>9.86</v>
      </c>
    </row>
    <row r="16" spans="1:5" x14ac:dyDescent="0.2">
      <c r="A16" s="354"/>
      <c r="B16" s="355" t="s">
        <v>697</v>
      </c>
      <c r="C16" s="356" t="s">
        <v>68</v>
      </c>
      <c r="D16" s="408">
        <f>+D15*D14</f>
        <v>131.72959999999998</v>
      </c>
      <c r="E16" s="408">
        <f>+E15*E14</f>
        <v>131.72959999999998</v>
      </c>
    </row>
    <row r="17" spans="1:5" ht="15" x14ac:dyDescent="0.25">
      <c r="A17" s="326"/>
      <c r="B17" s="327" t="s">
        <v>698</v>
      </c>
      <c r="C17" s="352" t="s">
        <v>124</v>
      </c>
      <c r="D17" s="406">
        <f>11+1.18*2</f>
        <v>13.36</v>
      </c>
      <c r="E17" s="406">
        <f>11+1.18*2</f>
        <v>13.36</v>
      </c>
    </row>
    <row r="18" spans="1:5" ht="15" x14ac:dyDescent="0.25">
      <c r="A18" s="326"/>
      <c r="B18" s="327" t="s">
        <v>699</v>
      </c>
      <c r="C18" s="352" t="s">
        <v>124</v>
      </c>
      <c r="D18" s="407">
        <f>7.5+1.18*2</f>
        <v>9.86</v>
      </c>
      <c r="E18" s="407">
        <f>7.5+1.18*2</f>
        <v>9.86</v>
      </c>
    </row>
    <row r="19" spans="1:5" ht="15" x14ac:dyDescent="0.25">
      <c r="A19" s="354"/>
      <c r="B19" s="355" t="s">
        <v>700</v>
      </c>
      <c r="C19" s="356" t="s">
        <v>68</v>
      </c>
      <c r="D19" s="409">
        <f>+D18*D17</f>
        <v>131.72959999999998</v>
      </c>
      <c r="E19" s="409">
        <f>+E18*E17</f>
        <v>131.72959999999998</v>
      </c>
    </row>
    <row r="20" spans="1:5" ht="15" x14ac:dyDescent="0.25">
      <c r="A20" s="326"/>
      <c r="B20" s="327" t="s">
        <v>701</v>
      </c>
      <c r="C20" s="352" t="s">
        <v>124</v>
      </c>
      <c r="D20" s="406">
        <f>11+1.18*2</f>
        <v>13.36</v>
      </c>
      <c r="E20" s="406">
        <f>11+1.18*2</f>
        <v>13.36</v>
      </c>
    </row>
    <row r="21" spans="1:5" ht="15" x14ac:dyDescent="0.25">
      <c r="A21" s="326"/>
      <c r="B21" s="327" t="s">
        <v>702</v>
      </c>
      <c r="C21" s="352" t="s">
        <v>124</v>
      </c>
      <c r="D21" s="407">
        <f>7.5+1.18*2</f>
        <v>9.86</v>
      </c>
      <c r="E21" s="407">
        <f>7.5+1.18*2</f>
        <v>9.86</v>
      </c>
    </row>
    <row r="22" spans="1:5" s="410" customFormat="1" ht="15" x14ac:dyDescent="0.25">
      <c r="A22" s="354"/>
      <c r="B22" s="355" t="s">
        <v>703</v>
      </c>
      <c r="C22" s="356" t="s">
        <v>68</v>
      </c>
      <c r="D22" s="409">
        <f>+D21*D20</f>
        <v>131.72959999999998</v>
      </c>
      <c r="E22" s="409">
        <f>+E21*E20</f>
        <v>131.72959999999998</v>
      </c>
    </row>
    <row r="23" spans="1:5" ht="15" x14ac:dyDescent="0.25">
      <c r="A23" s="411"/>
      <c r="B23" s="390" t="s">
        <v>781</v>
      </c>
      <c r="C23" s="391" t="s">
        <v>124</v>
      </c>
      <c r="D23" s="412">
        <v>17.295999999999999</v>
      </c>
      <c r="E23" s="412">
        <v>17.295999999999999</v>
      </c>
    </row>
    <row r="24" spans="1:5" ht="15" x14ac:dyDescent="0.25">
      <c r="A24" s="411"/>
      <c r="B24" s="390" t="s">
        <v>782</v>
      </c>
      <c r="C24" s="391" t="s">
        <v>124</v>
      </c>
      <c r="D24" s="412">
        <v>16.771999999999998</v>
      </c>
      <c r="E24" s="412">
        <v>16.771999999999998</v>
      </c>
    </row>
    <row r="25" spans="1:5" s="410" customFormat="1" ht="15" x14ac:dyDescent="0.25">
      <c r="A25" s="413"/>
      <c r="B25" s="414" t="s">
        <v>783</v>
      </c>
      <c r="C25" s="415" t="s">
        <v>124</v>
      </c>
      <c r="D25" s="416">
        <f>+ROUND(D24*D23,2)</f>
        <v>290.08999999999997</v>
      </c>
      <c r="E25" s="416">
        <f>+ROUND(E24*E23,2)</f>
        <v>290.08999999999997</v>
      </c>
    </row>
    <row r="26" spans="1:5" x14ac:dyDescent="0.2">
      <c r="A26" s="326"/>
      <c r="B26" s="359" t="s">
        <v>704</v>
      </c>
      <c r="C26" s="352" t="s">
        <v>124</v>
      </c>
      <c r="D26" s="360">
        <f>+D4-D5-D27</f>
        <v>64.12</v>
      </c>
      <c r="E26" s="360">
        <f>+E4-E5</f>
        <v>67.969000000000008</v>
      </c>
    </row>
    <row r="27" spans="1:5" x14ac:dyDescent="0.2">
      <c r="A27" s="326"/>
      <c r="B27" s="359" t="s">
        <v>705</v>
      </c>
      <c r="C27" s="352" t="s">
        <v>124</v>
      </c>
      <c r="D27" s="360">
        <f>+D11-D5</f>
        <v>3.347999999999999</v>
      </c>
      <c r="E27" s="360"/>
    </row>
    <row r="28" spans="1:5" x14ac:dyDescent="0.2">
      <c r="A28" s="326"/>
      <c r="B28" s="359"/>
      <c r="C28" s="352" t="s">
        <v>124</v>
      </c>
      <c r="D28" s="361">
        <v>0</v>
      </c>
      <c r="E28" s="361">
        <v>0</v>
      </c>
    </row>
    <row r="29" spans="1:5" x14ac:dyDescent="0.2">
      <c r="A29" s="326"/>
      <c r="B29" s="327" t="s">
        <v>707</v>
      </c>
      <c r="C29" s="328" t="s">
        <v>124</v>
      </c>
      <c r="D29" s="362">
        <v>6</v>
      </c>
      <c r="E29" s="362">
        <v>6</v>
      </c>
    </row>
    <row r="30" spans="1:5" x14ac:dyDescent="0.2">
      <c r="A30" s="326"/>
      <c r="B30" s="340" t="s">
        <v>708</v>
      </c>
      <c r="C30" s="328" t="s">
        <v>60</v>
      </c>
      <c r="D30" s="362">
        <f>+(23+31)*2+4</f>
        <v>112</v>
      </c>
      <c r="E30" s="362">
        <f>+(23+31)*2+4</f>
        <v>112</v>
      </c>
    </row>
    <row r="31" spans="1:5" x14ac:dyDescent="0.2">
      <c r="A31" s="326"/>
      <c r="B31" s="340" t="s">
        <v>709</v>
      </c>
      <c r="C31" s="328" t="s">
        <v>124</v>
      </c>
      <c r="D31" s="329">
        <v>5.7</v>
      </c>
      <c r="E31" s="329">
        <v>5.7</v>
      </c>
    </row>
    <row r="32" spans="1:5" x14ac:dyDescent="0.2">
      <c r="A32" s="326"/>
      <c r="B32" s="340" t="s">
        <v>710</v>
      </c>
      <c r="C32" s="328" t="s">
        <v>60</v>
      </c>
      <c r="D32" s="362">
        <f>3*2+2*2</f>
        <v>10</v>
      </c>
      <c r="E32" s="362">
        <f>3*2+2*2</f>
        <v>10</v>
      </c>
    </row>
    <row r="33" spans="1:5" x14ac:dyDescent="0.2">
      <c r="A33" s="326"/>
      <c r="B33" s="340" t="s">
        <v>711</v>
      </c>
      <c r="C33" s="328" t="s">
        <v>124</v>
      </c>
      <c r="D33" s="329">
        <f>D31</f>
        <v>5.7</v>
      </c>
      <c r="E33" s="329">
        <f>E31</f>
        <v>5.7</v>
      </c>
    </row>
    <row r="34" spans="1:5" x14ac:dyDescent="0.2">
      <c r="A34" s="326"/>
      <c r="B34" s="340" t="s">
        <v>712</v>
      </c>
      <c r="C34" s="328" t="s">
        <v>124</v>
      </c>
      <c r="D34" s="362">
        <v>10</v>
      </c>
      <c r="E34" s="362">
        <v>10</v>
      </c>
    </row>
    <row r="35" spans="1:5" ht="13.5" thickBot="1" x14ac:dyDescent="0.25">
      <c r="A35" s="326"/>
      <c r="B35" s="363" t="s">
        <v>713</v>
      </c>
      <c r="C35" s="364" t="s">
        <v>124</v>
      </c>
      <c r="D35" s="417">
        <f>+D34</f>
        <v>10</v>
      </c>
      <c r="E35" s="417">
        <f>+E34</f>
        <v>10</v>
      </c>
    </row>
    <row r="36" spans="1:5" ht="14.25" thickTop="1" thickBot="1" x14ac:dyDescent="0.25">
      <c r="A36" s="365"/>
    </row>
    <row r="37" spans="1:5" ht="14.25" thickTop="1" thickBot="1" x14ac:dyDescent="0.25">
      <c r="A37" s="338"/>
      <c r="B37" s="366"/>
      <c r="C37" s="320"/>
      <c r="D37" s="320"/>
      <c r="E37" s="320"/>
    </row>
    <row r="38" spans="1:5" ht="13.5" thickBot="1" x14ac:dyDescent="0.25">
      <c r="A38" s="1174" t="s">
        <v>714</v>
      </c>
      <c r="B38" s="1174"/>
      <c r="C38" s="1174"/>
      <c r="D38" s="428"/>
      <c r="E38" s="367"/>
    </row>
    <row r="39" spans="1:5" ht="15.95" customHeight="1" x14ac:dyDescent="0.2">
      <c r="A39" s="1175" t="s">
        <v>377</v>
      </c>
      <c r="B39" s="1177" t="s">
        <v>547</v>
      </c>
      <c r="C39" s="1179" t="s">
        <v>715</v>
      </c>
      <c r="D39" s="1181" t="s">
        <v>555</v>
      </c>
      <c r="E39" s="1182"/>
    </row>
    <row r="40" spans="1:5" ht="15.95" customHeight="1" x14ac:dyDescent="0.2">
      <c r="A40" s="1176"/>
      <c r="B40" s="1178"/>
      <c r="C40" s="1180"/>
      <c r="D40" s="1026" t="s">
        <v>784</v>
      </c>
      <c r="E40" s="1027" t="s">
        <v>785</v>
      </c>
    </row>
    <row r="41" spans="1:5" ht="15.95" customHeight="1" x14ac:dyDescent="0.2">
      <c r="A41" s="368">
        <v>1</v>
      </c>
      <c r="B41" s="369" t="s">
        <v>786</v>
      </c>
      <c r="C41" s="370" t="s">
        <v>10</v>
      </c>
      <c r="D41" s="352">
        <f>+ROUND(1/3*ABS(D4-D7)*(D22+D25+SQRT(D22*D25)),2)</f>
        <v>115.23</v>
      </c>
      <c r="E41" s="372">
        <f>+ROUND(1/3*ABS(E4-E7)*(E22+E25+SQRT(E22*E25)),2)</f>
        <v>144.04</v>
      </c>
    </row>
    <row r="42" spans="1:5" ht="15.95" customHeight="1" x14ac:dyDescent="0.2">
      <c r="A42" s="368">
        <f>+A41+1</f>
        <v>2</v>
      </c>
      <c r="B42" s="369" t="s">
        <v>719</v>
      </c>
      <c r="C42" s="370"/>
      <c r="D42" s="371"/>
      <c r="E42" s="418"/>
    </row>
    <row r="43" spans="1:5" ht="15.95" customHeight="1" x14ac:dyDescent="0.2">
      <c r="A43" s="368" t="s">
        <v>720</v>
      </c>
      <c r="B43" s="375" t="s">
        <v>787</v>
      </c>
      <c r="C43" s="376" t="s">
        <v>124</v>
      </c>
      <c r="D43" s="352">
        <f>+ROUND($D$8*D26,2)</f>
        <v>384.72</v>
      </c>
      <c r="E43" s="372">
        <f>+ROUND($D$8*E26,2)</f>
        <v>407.81</v>
      </c>
    </row>
    <row r="44" spans="1:5" ht="15.95" customHeight="1" x14ac:dyDescent="0.2">
      <c r="A44" s="368" t="s">
        <v>720</v>
      </c>
      <c r="B44" s="375" t="s">
        <v>788</v>
      </c>
      <c r="C44" s="376" t="s">
        <v>124</v>
      </c>
      <c r="D44" s="352">
        <f>+ROUND($D$8*D27,2)</f>
        <v>20.09</v>
      </c>
      <c r="E44" s="372">
        <f>+ROUND($D$8*E27,2)</f>
        <v>0</v>
      </c>
    </row>
    <row r="45" spans="1:5" ht="25.5" x14ac:dyDescent="0.2">
      <c r="A45" s="368" t="s">
        <v>720</v>
      </c>
      <c r="B45" s="419" t="s">
        <v>789</v>
      </c>
      <c r="C45" s="380" t="s">
        <v>116</v>
      </c>
      <c r="D45" s="381">
        <f>+PI()*(0.8^2-0.79^2)*7850/1000*D34</f>
        <v>3.9211788705781063</v>
      </c>
      <c r="E45" s="420">
        <f>+PI()*(0.8^2-0.79^2)*7850/1000*E34</f>
        <v>3.9211788705781063</v>
      </c>
    </row>
    <row r="46" spans="1:5" ht="15.95" customHeight="1" x14ac:dyDescent="0.2">
      <c r="A46" s="384" t="s">
        <v>720</v>
      </c>
      <c r="B46" s="379" t="s">
        <v>790</v>
      </c>
      <c r="C46" s="376" t="s">
        <v>725</v>
      </c>
      <c r="D46" s="385" t="str">
        <f>D8&amp;"/"&amp;D8*D35</f>
        <v>6/60</v>
      </c>
      <c r="E46" s="386" t="str">
        <f>E8&amp;"/"&amp;E8*E35</f>
        <v>6/60</v>
      </c>
    </row>
    <row r="47" spans="1:5" ht="15.95" customHeight="1" x14ac:dyDescent="0.2">
      <c r="A47" s="368" t="s">
        <v>720</v>
      </c>
      <c r="B47" s="379" t="s">
        <v>727</v>
      </c>
      <c r="C47" s="376" t="s">
        <v>40</v>
      </c>
      <c r="D47" s="385" t="str">
        <f>D8&amp;"/"&amp;D8*1</f>
        <v>6/6</v>
      </c>
      <c r="E47" s="386" t="str">
        <f>E8&amp;"/"&amp;E8*1</f>
        <v>6/6</v>
      </c>
    </row>
    <row r="48" spans="1:5" ht="15.95" customHeight="1" x14ac:dyDescent="0.2">
      <c r="A48" s="368" t="s">
        <v>720</v>
      </c>
      <c r="B48" s="379" t="s">
        <v>729</v>
      </c>
      <c r="C48" s="376" t="s">
        <v>40</v>
      </c>
      <c r="D48" s="388" t="str">
        <f>D8&amp;"/"&amp;D8*(D6+1.43)</f>
        <v>6/392,58</v>
      </c>
      <c r="E48" s="389" t="str">
        <f>E8&amp;"/"&amp;E8*(E6+1.43)</f>
        <v>6/386,58</v>
      </c>
    </row>
    <row r="49" spans="1:5" ht="15.95" customHeight="1" x14ac:dyDescent="0.2">
      <c r="A49" s="368" t="s">
        <v>720</v>
      </c>
      <c r="B49" s="379" t="s">
        <v>730</v>
      </c>
      <c r="C49" s="376" t="s">
        <v>10</v>
      </c>
      <c r="D49" s="388">
        <f>ROUND(PI()*0.75^2*1.28*D8,2)</f>
        <v>13.57</v>
      </c>
      <c r="E49" s="389">
        <f>ROUND(PI()*0.75^2*1.28*E8,2)</f>
        <v>13.57</v>
      </c>
    </row>
    <row r="50" spans="1:5" ht="15.95" customHeight="1" x14ac:dyDescent="0.2">
      <c r="A50" s="368" t="s">
        <v>720</v>
      </c>
      <c r="B50" s="379" t="s">
        <v>731</v>
      </c>
      <c r="C50" s="376" t="s">
        <v>10</v>
      </c>
      <c r="D50" s="388">
        <f>ROUND(0.75^2*PI()*(D12-D5)*D8,2)</f>
        <v>715.35</v>
      </c>
      <c r="E50" s="389">
        <f>ROUND(0.75^2*PI()*(E12-E5)*E8,2)</f>
        <v>720.67</v>
      </c>
    </row>
    <row r="51" spans="1:5" ht="15.95" customHeight="1" x14ac:dyDescent="0.2">
      <c r="A51" s="368" t="s">
        <v>720</v>
      </c>
      <c r="B51" s="379" t="s">
        <v>732</v>
      </c>
      <c r="C51" s="376" t="s">
        <v>576</v>
      </c>
      <c r="D51" s="388">
        <v>1</v>
      </c>
      <c r="E51" s="389">
        <v>1</v>
      </c>
    </row>
    <row r="52" spans="1:5" ht="15.95" customHeight="1" x14ac:dyDescent="0.2">
      <c r="A52" s="368">
        <f>+A42+1</f>
        <v>3</v>
      </c>
      <c r="B52" s="379" t="s">
        <v>733</v>
      </c>
      <c r="C52" s="376"/>
      <c r="D52" s="388"/>
      <c r="E52" s="389"/>
    </row>
    <row r="53" spans="1:5" ht="15.95" customHeight="1" x14ac:dyDescent="0.2">
      <c r="A53" s="368" t="s">
        <v>720</v>
      </c>
      <c r="B53" s="369" t="s">
        <v>791</v>
      </c>
      <c r="C53" s="376"/>
      <c r="D53" s="352">
        <f>+ROUND(1/3*D9*(D16+D22+SQRT(D16*D22))-PI()*0.75^2*D8*D9,2)</f>
        <v>480.63</v>
      </c>
      <c r="E53" s="372">
        <f>+ROUND(1/3*E9*(E16+E22+SQRT(E16*E22))-PI()*0.75^2*E8*E9,2)</f>
        <v>662.44</v>
      </c>
    </row>
    <row r="54" spans="1:5" ht="15.95" customHeight="1" x14ac:dyDescent="0.2">
      <c r="A54" s="368" t="s">
        <v>720</v>
      </c>
      <c r="B54" s="403" t="s">
        <v>792</v>
      </c>
      <c r="C54" s="376" t="s">
        <v>10</v>
      </c>
      <c r="D54" s="352">
        <f>ROUND(D19*3-7.5*11*2.5,2)</f>
        <v>188.94</v>
      </c>
      <c r="E54" s="372">
        <f>ROUND(E19*3-7.5*11*2.5,2)</f>
        <v>188.94</v>
      </c>
    </row>
    <row r="55" spans="1:5" ht="15.95" customHeight="1" x14ac:dyDescent="0.2">
      <c r="A55" s="368" t="s">
        <v>720</v>
      </c>
      <c r="B55" s="379" t="s">
        <v>793</v>
      </c>
      <c r="C55" s="376" t="s">
        <v>10</v>
      </c>
      <c r="D55" s="352">
        <f>+ROUND(D22*D10-PI()*0.75^2*D8*D10,2)</f>
        <v>60.56</v>
      </c>
      <c r="E55" s="372">
        <f>+ROUND(E22*E10-PI()*0.75^2*E8*E10,2)</f>
        <v>60.56</v>
      </c>
    </row>
    <row r="56" spans="1:5" ht="15.95" customHeight="1" x14ac:dyDescent="0.2">
      <c r="A56" s="368" t="s">
        <v>720</v>
      </c>
      <c r="B56" s="379" t="s">
        <v>794</v>
      </c>
      <c r="C56" s="376" t="s">
        <v>764</v>
      </c>
      <c r="D56" s="421" t="str">
        <f>D30&amp;"/"&amp;ROUND(D30*D29,2)&amp;"/"&amp;ROUND(D30*0.074*D29,2)</f>
        <v>112/672/49,73</v>
      </c>
      <c r="E56" s="422" t="str">
        <f>E30&amp;"/"&amp;ROUND(E30*E29,2)&amp;"/"&amp;ROUND(E30*0.074*E29,2)</f>
        <v>112/672/49,73</v>
      </c>
    </row>
    <row r="57" spans="1:5" ht="15.95" customHeight="1" x14ac:dyDescent="0.2">
      <c r="A57" s="368" t="s">
        <v>720</v>
      </c>
      <c r="B57" s="423" t="s">
        <v>795</v>
      </c>
      <c r="C57" s="376" t="s">
        <v>40</v>
      </c>
      <c r="D57" s="388" t="str">
        <f>D30&amp;"/"&amp;ROUND(D30*D31,2)</f>
        <v>112/638,4</v>
      </c>
      <c r="E57" s="389" t="str">
        <f>E30&amp;"/"&amp;ROUND(E30*E31,2)</f>
        <v>112/638,4</v>
      </c>
    </row>
    <row r="58" spans="1:5" ht="15.95" customHeight="1" x14ac:dyDescent="0.2">
      <c r="A58" s="368" t="s">
        <v>720</v>
      </c>
      <c r="B58" s="379" t="s">
        <v>796</v>
      </c>
      <c r="C58" s="376" t="s">
        <v>764</v>
      </c>
      <c r="D58" s="421" t="str">
        <f>D32&amp;"/"&amp;ROUND(D32*D29,2)&amp;"/"&amp;ROUND(D32*D29*2*67.6/1000,2)</f>
        <v>10/60/8,11</v>
      </c>
      <c r="E58" s="422" t="str">
        <f>E32&amp;"/"&amp;ROUND(E32*E29,2)&amp;"/"&amp;ROUND(E32*E29*2*67.6/1000,2)</f>
        <v>10/60/8,11</v>
      </c>
    </row>
    <row r="59" spans="1:5" ht="15.95" customHeight="1" x14ac:dyDescent="0.2">
      <c r="A59" s="368" t="s">
        <v>720</v>
      </c>
      <c r="B59" s="423" t="s">
        <v>797</v>
      </c>
      <c r="C59" s="376" t="s">
        <v>40</v>
      </c>
      <c r="D59" s="388" t="str">
        <f>D32&amp;"/"&amp;D32*D33</f>
        <v>10/57</v>
      </c>
      <c r="E59" s="389" t="str">
        <f>E32&amp;"/"&amp;E32*E33</f>
        <v>10/57</v>
      </c>
    </row>
    <row r="60" spans="1:5" ht="15.95" customHeight="1" x14ac:dyDescent="0.2">
      <c r="A60" s="368" t="s">
        <v>720</v>
      </c>
      <c r="B60" s="379" t="s">
        <v>798</v>
      </c>
      <c r="C60" s="376" t="s">
        <v>116</v>
      </c>
      <c r="D60" s="396">
        <f>ROUND((7+4)*2*(2.2+1.6)*6.85/1000,2)</f>
        <v>0.56999999999999995</v>
      </c>
      <c r="E60" s="377">
        <f>ROUND((7+4)*2*(2.2+1.6)*6.85/1000,2)</f>
        <v>0.56999999999999995</v>
      </c>
    </row>
    <row r="61" spans="1:5" ht="15.95" customHeight="1" x14ac:dyDescent="0.2">
      <c r="A61" s="368" t="s">
        <v>720</v>
      </c>
      <c r="B61" s="379" t="s">
        <v>799</v>
      </c>
      <c r="C61" s="376" t="s">
        <v>116</v>
      </c>
      <c r="D61" s="424">
        <f>ROUND((7+4)*2*2.5*10.3*2/1000,2)</f>
        <v>1.1299999999999999</v>
      </c>
      <c r="E61" s="425">
        <f>ROUND((7+4)*2*2.5*10.3*2/1000,2)</f>
        <v>1.1299999999999999</v>
      </c>
    </row>
    <row r="62" spans="1:5" s="395" customFormat="1" ht="15.95" customHeight="1" x14ac:dyDescent="0.2">
      <c r="A62" s="368" t="s">
        <v>720</v>
      </c>
      <c r="B62" s="379" t="s">
        <v>754</v>
      </c>
      <c r="C62" s="376" t="s">
        <v>127</v>
      </c>
      <c r="D62" s="388">
        <v>5</v>
      </c>
      <c r="E62" s="389">
        <v>5</v>
      </c>
    </row>
    <row r="63" spans="1:5" s="395" customFormat="1" ht="15.95" customHeight="1" x14ac:dyDescent="0.2">
      <c r="A63" s="368" t="s">
        <v>720</v>
      </c>
      <c r="B63" s="379" t="s">
        <v>800</v>
      </c>
      <c r="C63" s="376" t="s">
        <v>10</v>
      </c>
      <c r="D63" s="421">
        <v>1</v>
      </c>
      <c r="E63" s="422">
        <v>1</v>
      </c>
    </row>
    <row r="64" spans="1:5" ht="15.95" customHeight="1" x14ac:dyDescent="0.2">
      <c r="A64" s="368">
        <f>+A52+1</f>
        <v>4</v>
      </c>
      <c r="B64" s="397" t="s">
        <v>801</v>
      </c>
      <c r="C64" s="376"/>
      <c r="D64" s="388"/>
      <c r="E64" s="389"/>
    </row>
    <row r="65" spans="1:10" ht="15.95" customHeight="1" x14ac:dyDescent="0.2">
      <c r="A65" s="368" t="s">
        <v>720</v>
      </c>
      <c r="B65" s="379" t="s">
        <v>802</v>
      </c>
      <c r="C65" s="376" t="s">
        <v>746</v>
      </c>
      <c r="D65" s="388" t="str">
        <f>6*(8.5+4)*2&amp;"/"&amp;ROUND(6*(8.5+4)*2*27.2/1000,2)</f>
        <v>150/4,08</v>
      </c>
      <c r="E65" s="388" t="str">
        <f>7*(8.5+4)*2&amp;"/"&amp;ROUND(7*(8.5+4)*2*27.2/1000,2)</f>
        <v>175/4,76</v>
      </c>
      <c r="J65" s="325">
        <f>9/1.5</f>
        <v>6</v>
      </c>
    </row>
    <row r="66" spans="1:10" ht="15.95" customHeight="1" x14ac:dyDescent="0.2">
      <c r="A66" s="368" t="s">
        <v>720</v>
      </c>
      <c r="B66" s="379" t="s">
        <v>803</v>
      </c>
      <c r="C66" s="376" t="s">
        <v>746</v>
      </c>
      <c r="D66" s="396" t="str">
        <f>(3+4)*2*7.5&amp;"/"&amp;ROUND((3+4)*2*7.5*31.8*2/1000,2)</f>
        <v>105/6,68</v>
      </c>
      <c r="E66" s="377" t="str">
        <f>(3+4)*2*9&amp;"/"&amp;ROUND((3+4)*2*9*31.8*2/1000,2)</f>
        <v>126/8,01</v>
      </c>
    </row>
    <row r="67" spans="1:10" ht="15.95" customHeight="1" x14ac:dyDescent="0.2">
      <c r="A67" s="368" t="s">
        <v>720</v>
      </c>
      <c r="B67" s="379" t="s">
        <v>804</v>
      </c>
      <c r="C67" s="376" t="s">
        <v>116</v>
      </c>
      <c r="D67" s="396">
        <f>ROUND(10*8*0.5*27.2/1000,2)</f>
        <v>1.0900000000000001</v>
      </c>
      <c r="E67" s="377">
        <f>ROUND(10*8*0.5*27.2/1000,2)</f>
        <v>1.0900000000000001</v>
      </c>
    </row>
    <row r="68" spans="1:10" ht="15.95" customHeight="1" x14ac:dyDescent="0.2">
      <c r="A68" s="368" t="s">
        <v>720</v>
      </c>
      <c r="B68" s="379" t="s">
        <v>805</v>
      </c>
      <c r="C68" s="376" t="s">
        <v>116</v>
      </c>
      <c r="D68" s="396">
        <f>ROUND(10*7.5*10.3*2/1000,2)</f>
        <v>1.55</v>
      </c>
      <c r="E68" s="396">
        <f>ROUND(10*9*10.3*2/1000,2)</f>
        <v>1.85</v>
      </c>
    </row>
    <row r="69" spans="1:10" ht="15.95" customHeight="1" x14ac:dyDescent="0.2">
      <c r="A69" s="368" t="s">
        <v>720</v>
      </c>
      <c r="B69" s="379" t="s">
        <v>806</v>
      </c>
      <c r="C69" s="376" t="s">
        <v>116</v>
      </c>
      <c r="D69" s="396">
        <v>6.7</v>
      </c>
      <c r="E69" s="377">
        <v>6.7</v>
      </c>
    </row>
    <row r="70" spans="1:10" ht="15.95" customHeight="1" x14ac:dyDescent="0.2">
      <c r="A70" s="368" t="s">
        <v>720</v>
      </c>
      <c r="B70" s="379" t="s">
        <v>807</v>
      </c>
      <c r="C70" s="376" t="s">
        <v>116</v>
      </c>
      <c r="D70" s="388">
        <v>3.1</v>
      </c>
      <c r="E70" s="389">
        <v>3.1</v>
      </c>
    </row>
    <row r="71" spans="1:10" ht="15.95" customHeight="1" x14ac:dyDescent="0.2">
      <c r="A71" s="368" t="s">
        <v>720</v>
      </c>
      <c r="B71" s="379" t="s">
        <v>773</v>
      </c>
      <c r="C71" s="376" t="s">
        <v>116</v>
      </c>
      <c r="D71" s="388">
        <f>+ROUND([2]T5!I34/1000,2)</f>
        <v>0.71</v>
      </c>
      <c r="E71" s="389">
        <f>+D71</f>
        <v>0.71</v>
      </c>
    </row>
    <row r="72" spans="1:10" ht="15.95" customHeight="1" x14ac:dyDescent="0.2">
      <c r="A72" s="368" t="s">
        <v>720</v>
      </c>
      <c r="B72" s="379" t="s">
        <v>808</v>
      </c>
      <c r="C72" s="376" t="s">
        <v>659</v>
      </c>
      <c r="D72" s="396">
        <f>+ROUND((4*3+7.5*1)*1.58*8,2)</f>
        <v>246.48</v>
      </c>
      <c r="E72" s="377">
        <f>+ROUND((4*3+7.5*1)*1.58*9,2)</f>
        <v>277.29000000000002</v>
      </c>
    </row>
    <row r="73" spans="1:10" ht="15.95" customHeight="1" thickBot="1" x14ac:dyDescent="0.25">
      <c r="A73" s="398" t="s">
        <v>720</v>
      </c>
      <c r="B73" s="399" t="s">
        <v>809</v>
      </c>
      <c r="C73" s="400" t="s">
        <v>10</v>
      </c>
      <c r="D73" s="426">
        <v>2</v>
      </c>
      <c r="E73" s="427">
        <v>2</v>
      </c>
    </row>
    <row r="74" spans="1:10" ht="30" customHeight="1" x14ac:dyDescent="0.2"/>
    <row r="76" spans="1:10" x14ac:dyDescent="0.2">
      <c r="B76" s="325" t="s">
        <v>612</v>
      </c>
    </row>
  </sheetData>
  <mergeCells count="5">
    <mergeCell ref="A38:C38"/>
    <mergeCell ref="A39:A40"/>
    <mergeCell ref="B39:B40"/>
    <mergeCell ref="C39:C40"/>
    <mergeCell ref="D39:E39"/>
  </mergeCells>
  <pageMargins left="0.7" right="0.7" top="0.75" bottom="0.75" header="0.3" footer="0.3"/>
  <pageSetup paperSize="256" scale="89" orientation="portrait" r:id="rId1"/>
  <colBreaks count="1" manualBreakCount="1">
    <brk id="5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3"/>
  <sheetViews>
    <sheetView showGridLines="0" workbookViewId="0"/>
  </sheetViews>
  <sheetFormatPr defaultRowHeight="15" x14ac:dyDescent="0.25"/>
  <cols>
    <col min="1" max="1" width="11.85546875" customWidth="1"/>
    <col min="2" max="2" width="22.140625" customWidth="1"/>
    <col min="3" max="3" width="12.85546875" customWidth="1"/>
    <col min="4" max="4" width="11.28515625" customWidth="1"/>
    <col min="5" max="5" width="14.85546875" customWidth="1"/>
    <col min="6" max="6" width="13.42578125" customWidth="1"/>
    <col min="7" max="7" width="14.42578125" customWidth="1"/>
    <col min="8" max="8" width="16.140625" customWidth="1"/>
    <col min="9" max="9" width="10.42578125" customWidth="1"/>
  </cols>
  <sheetData>
    <row r="2" spans="1:12" ht="15.75" x14ac:dyDescent="0.25">
      <c r="A2" s="1183" t="s">
        <v>1474</v>
      </c>
      <c r="B2" s="1183"/>
      <c r="C2" s="1183"/>
      <c r="D2" s="1183"/>
      <c r="E2" s="1183"/>
      <c r="F2" s="1183"/>
      <c r="G2" s="1183"/>
      <c r="H2" s="1183"/>
      <c r="I2" s="1183"/>
    </row>
    <row r="3" spans="1:12" ht="10.5" customHeight="1" x14ac:dyDescent="0.25"/>
    <row r="4" spans="1:12" x14ac:dyDescent="0.25">
      <c r="A4" s="1033" t="s">
        <v>383</v>
      </c>
      <c r="B4" s="1033" t="s">
        <v>384</v>
      </c>
      <c r="C4" s="1033" t="s">
        <v>378</v>
      </c>
      <c r="D4" s="1033" t="s">
        <v>477</v>
      </c>
      <c r="E4" s="1033" t="s">
        <v>478</v>
      </c>
      <c r="F4" s="1033" t="s">
        <v>381</v>
      </c>
      <c r="G4" s="1033" t="s">
        <v>479</v>
      </c>
      <c r="H4" s="1033" t="s">
        <v>386</v>
      </c>
      <c r="I4" s="1033" t="s">
        <v>0</v>
      </c>
      <c r="K4" s="1188" t="s">
        <v>1383</v>
      </c>
      <c r="L4" s="1189"/>
    </row>
    <row r="5" spans="1:12" x14ac:dyDescent="0.25">
      <c r="A5" s="1034"/>
      <c r="B5" s="1034"/>
      <c r="C5" s="1034" t="s">
        <v>556</v>
      </c>
      <c r="D5" s="1034" t="s">
        <v>556</v>
      </c>
      <c r="E5" s="1034"/>
      <c r="F5" s="1034" t="s">
        <v>416</v>
      </c>
      <c r="G5" s="1034" t="s">
        <v>124</v>
      </c>
      <c r="H5" s="1034" t="s">
        <v>410</v>
      </c>
      <c r="I5" s="1034"/>
      <c r="K5" s="1032"/>
    </row>
    <row r="6" spans="1:12" x14ac:dyDescent="0.25">
      <c r="A6" s="1184" t="s">
        <v>1473</v>
      </c>
      <c r="B6" s="116" t="s">
        <v>357</v>
      </c>
      <c r="C6" s="116">
        <v>28</v>
      </c>
      <c r="D6" s="116">
        <v>11700</v>
      </c>
      <c r="E6" s="116">
        <v>12</v>
      </c>
      <c r="F6" s="116">
        <f>VLOOKUP(C6,'CKN T4 '!$M$5:$N$14,2,0)</f>
        <v>4.83</v>
      </c>
      <c r="G6" s="116">
        <f>D6*E6/1000</f>
        <v>140.4</v>
      </c>
      <c r="H6" s="116">
        <f>ROUND(F6*G6,2)</f>
        <v>678.13</v>
      </c>
      <c r="I6" s="116"/>
    </row>
    <row r="7" spans="1:12" x14ac:dyDescent="0.25">
      <c r="A7" s="1185"/>
      <c r="B7" s="114" t="s">
        <v>358</v>
      </c>
      <c r="C7" s="114">
        <v>28</v>
      </c>
      <c r="D7" s="114">
        <v>10580</v>
      </c>
      <c r="E7" s="114">
        <v>12</v>
      </c>
      <c r="F7" s="114">
        <f>VLOOKUP(C7,'CKN T4 '!$M$5:$N$14,2,0)</f>
        <v>4.83</v>
      </c>
      <c r="G7" s="114">
        <f t="shared" ref="G7:G21" si="0">D7*E7/1000</f>
        <v>126.96</v>
      </c>
      <c r="H7" s="114">
        <f t="shared" ref="H7:H21" si="1">ROUND(F7*G7,2)</f>
        <v>613.22</v>
      </c>
      <c r="I7" s="114"/>
    </row>
    <row r="8" spans="1:12" x14ac:dyDescent="0.25">
      <c r="A8" s="1185"/>
      <c r="B8" s="114" t="s">
        <v>361</v>
      </c>
      <c r="C8" s="114">
        <v>25</v>
      </c>
      <c r="D8" s="114">
        <v>11700</v>
      </c>
      <c r="E8" s="114">
        <v>24</v>
      </c>
      <c r="F8" s="114">
        <f>VLOOKUP(C8,'CKN T4 '!$M$5:$N$14,2,0)</f>
        <v>3.85</v>
      </c>
      <c r="G8" s="114">
        <f t="shared" si="0"/>
        <v>280.8</v>
      </c>
      <c r="H8" s="114">
        <f t="shared" si="1"/>
        <v>1081.08</v>
      </c>
      <c r="I8" s="114"/>
    </row>
    <row r="9" spans="1:12" x14ac:dyDescent="0.25">
      <c r="A9" s="1185"/>
      <c r="B9" s="114" t="s">
        <v>363</v>
      </c>
      <c r="C9" s="114">
        <v>22</v>
      </c>
      <c r="D9" s="114">
        <v>11700</v>
      </c>
      <c r="E9" s="114">
        <v>24</v>
      </c>
      <c r="F9" s="114">
        <f>VLOOKUP(C9,'CKN T4 '!$M$5:$N$14,2,0)</f>
        <v>2.98</v>
      </c>
      <c r="G9" s="114">
        <f t="shared" si="0"/>
        <v>280.8</v>
      </c>
      <c r="H9" s="114">
        <f t="shared" si="1"/>
        <v>836.78</v>
      </c>
      <c r="I9" s="114"/>
    </row>
    <row r="10" spans="1:12" x14ac:dyDescent="0.25">
      <c r="A10" s="1185"/>
      <c r="B10" s="114" t="s">
        <v>365</v>
      </c>
      <c r="C10" s="114">
        <v>20</v>
      </c>
      <c r="D10" s="114">
        <v>11700</v>
      </c>
      <c r="E10" s="114">
        <v>48</v>
      </c>
      <c r="F10" s="114">
        <f>VLOOKUP(C10,'CKN T4 '!$M$5:$N$14,2,0)</f>
        <v>2.4700000000000002</v>
      </c>
      <c r="G10" s="114">
        <f t="shared" si="0"/>
        <v>561.6</v>
      </c>
      <c r="H10" s="114">
        <f t="shared" si="1"/>
        <v>1387.15</v>
      </c>
      <c r="I10" s="114"/>
    </row>
    <row r="11" spans="1:12" x14ac:dyDescent="0.25">
      <c r="A11" s="1185"/>
      <c r="B11" s="114" t="s">
        <v>370</v>
      </c>
      <c r="C11" s="114">
        <v>20</v>
      </c>
      <c r="D11" s="114">
        <v>9240</v>
      </c>
      <c r="E11" s="114">
        <v>12</v>
      </c>
      <c r="F11" s="114">
        <f>VLOOKUP(C11,'CKN T4 '!$M$5:$N$14,2,0)</f>
        <v>2.4700000000000002</v>
      </c>
      <c r="G11" s="114">
        <f t="shared" si="0"/>
        <v>110.88</v>
      </c>
      <c r="H11" s="114">
        <f t="shared" si="1"/>
        <v>273.87</v>
      </c>
      <c r="I11" s="114"/>
    </row>
    <row r="12" spans="1:12" x14ac:dyDescent="0.25">
      <c r="A12" s="1185"/>
      <c r="B12" s="114" t="s">
        <v>371</v>
      </c>
      <c r="C12" s="114">
        <v>20</v>
      </c>
      <c r="D12" s="114">
        <v>10360</v>
      </c>
      <c r="E12" s="114">
        <v>12</v>
      </c>
      <c r="F12" s="114">
        <f>VLOOKUP(C12,'CKN T4 '!$M$5:$N$14,2,0)</f>
        <v>2.4700000000000002</v>
      </c>
      <c r="G12" s="114">
        <f t="shared" si="0"/>
        <v>124.32</v>
      </c>
      <c r="H12" s="114">
        <f t="shared" si="1"/>
        <v>307.07</v>
      </c>
      <c r="I12" s="114"/>
    </row>
    <row r="13" spans="1:12" x14ac:dyDescent="0.25">
      <c r="A13" s="1185"/>
      <c r="B13" s="114" t="s">
        <v>480</v>
      </c>
      <c r="C13" s="114">
        <v>18</v>
      </c>
      <c r="D13" s="114">
        <v>1455</v>
      </c>
      <c r="E13" s="114">
        <v>4</v>
      </c>
      <c r="F13" s="114">
        <f>VLOOKUP(C13,'CKN T4 '!$M$5:$N$14,2,0)</f>
        <v>2</v>
      </c>
      <c r="G13" s="114">
        <f t="shared" si="0"/>
        <v>5.82</v>
      </c>
      <c r="H13" s="114">
        <f t="shared" si="1"/>
        <v>11.64</v>
      </c>
      <c r="I13" s="114"/>
    </row>
    <row r="14" spans="1:12" x14ac:dyDescent="0.25">
      <c r="A14" s="1185"/>
      <c r="B14" s="114" t="s">
        <v>481</v>
      </c>
      <c r="C14" s="114">
        <v>10</v>
      </c>
      <c r="D14" s="114">
        <v>1207250</v>
      </c>
      <c r="E14" s="114">
        <v>1</v>
      </c>
      <c r="F14" s="114">
        <f>VLOOKUP(C14,'CKN T4 '!$M$5:$N$14,2,0)</f>
        <v>0.61699999999999999</v>
      </c>
      <c r="G14" s="114">
        <f t="shared" si="0"/>
        <v>1207.25</v>
      </c>
      <c r="H14" s="114">
        <f t="shared" si="1"/>
        <v>744.87</v>
      </c>
      <c r="I14" s="114"/>
    </row>
    <row r="15" spans="1:12" x14ac:dyDescent="0.25">
      <c r="A15" s="1185"/>
      <c r="B15" s="114" t="s">
        <v>482</v>
      </c>
      <c r="C15" s="114">
        <v>25</v>
      </c>
      <c r="D15" s="114">
        <v>3125</v>
      </c>
      <c r="E15" s="114">
        <v>5</v>
      </c>
      <c r="F15" s="114">
        <f>VLOOKUP(C15,'CKN T4 '!$M$5:$N$14,2,0)</f>
        <v>3.85</v>
      </c>
      <c r="G15" s="114">
        <f t="shared" si="0"/>
        <v>15.625</v>
      </c>
      <c r="H15" s="114">
        <f t="shared" si="1"/>
        <v>60.16</v>
      </c>
      <c r="I15" s="114"/>
    </row>
    <row r="16" spans="1:12" x14ac:dyDescent="0.25">
      <c r="A16" s="1185"/>
      <c r="B16" s="114" t="s">
        <v>483</v>
      </c>
      <c r="C16" s="114">
        <v>25</v>
      </c>
      <c r="D16" s="114">
        <v>3135</v>
      </c>
      <c r="E16" s="114">
        <v>5</v>
      </c>
      <c r="F16" s="114">
        <f>VLOOKUP(C16,'CKN T4 '!$M$5:$N$14,2,0)</f>
        <v>3.85</v>
      </c>
      <c r="G16" s="114">
        <f t="shared" si="0"/>
        <v>15.675000000000001</v>
      </c>
      <c r="H16" s="114">
        <f t="shared" si="1"/>
        <v>60.35</v>
      </c>
      <c r="I16" s="114"/>
    </row>
    <row r="17" spans="1:10" x14ac:dyDescent="0.25">
      <c r="A17" s="1185"/>
      <c r="B17" s="114" t="s">
        <v>484</v>
      </c>
      <c r="C17" s="114">
        <v>25</v>
      </c>
      <c r="D17" s="114">
        <v>3145</v>
      </c>
      <c r="E17" s="114">
        <v>6</v>
      </c>
      <c r="F17" s="114">
        <f>VLOOKUP(C17,'CKN T4 '!$M$5:$N$14,2,0)</f>
        <v>3.85</v>
      </c>
      <c r="G17" s="114">
        <f t="shared" si="0"/>
        <v>18.87</v>
      </c>
      <c r="H17" s="114">
        <f t="shared" si="1"/>
        <v>72.650000000000006</v>
      </c>
      <c r="I17" s="114"/>
    </row>
    <row r="18" spans="1:10" x14ac:dyDescent="0.25">
      <c r="A18" s="1185"/>
      <c r="B18" s="114" t="s">
        <v>485</v>
      </c>
      <c r="C18" s="114">
        <v>25</v>
      </c>
      <c r="D18" s="114">
        <v>3155</v>
      </c>
      <c r="E18" s="114">
        <v>13</v>
      </c>
      <c r="F18" s="114">
        <f>VLOOKUP(C18,'CKN T4 '!$M$5:$N$14,2,0)</f>
        <v>3.85</v>
      </c>
      <c r="G18" s="114">
        <f t="shared" si="0"/>
        <v>41.015000000000001</v>
      </c>
      <c r="H18" s="114">
        <f t="shared" si="1"/>
        <v>157.91</v>
      </c>
      <c r="I18" s="114"/>
    </row>
    <row r="19" spans="1:10" x14ac:dyDescent="0.25">
      <c r="A19" s="1185"/>
      <c r="B19" s="114" t="s">
        <v>486</v>
      </c>
      <c r="C19" s="114">
        <v>16</v>
      </c>
      <c r="D19" s="114">
        <v>2192</v>
      </c>
      <c r="E19" s="114">
        <v>1</v>
      </c>
      <c r="F19" s="114">
        <f>VLOOKUP(C19,'CKN T4 '!$M$5:$N$14,2,0)</f>
        <v>1.58</v>
      </c>
      <c r="G19" s="114">
        <f t="shared" si="0"/>
        <v>2.1920000000000002</v>
      </c>
      <c r="H19" s="114">
        <f t="shared" si="1"/>
        <v>3.46</v>
      </c>
      <c r="I19" s="114"/>
    </row>
    <row r="20" spans="1:10" x14ac:dyDescent="0.25">
      <c r="A20" s="1185"/>
      <c r="B20" s="114" t="s">
        <v>365</v>
      </c>
      <c r="C20" s="114">
        <v>12</v>
      </c>
      <c r="D20" s="114">
        <v>500</v>
      </c>
      <c r="E20" s="114">
        <v>29</v>
      </c>
      <c r="F20" s="114">
        <f>VLOOKUP(C20,'CKN T4 '!$M$5:$N$14,2,0)</f>
        <v>0.88800000000000001</v>
      </c>
      <c r="G20" s="114">
        <f t="shared" si="0"/>
        <v>14.5</v>
      </c>
      <c r="H20" s="114">
        <f t="shared" si="1"/>
        <v>12.88</v>
      </c>
      <c r="I20" s="114"/>
    </row>
    <row r="21" spans="1:10" x14ac:dyDescent="0.25">
      <c r="A21" s="1185"/>
      <c r="B21" s="114" t="s">
        <v>367</v>
      </c>
      <c r="C21" s="114">
        <v>12</v>
      </c>
      <c r="D21" s="114">
        <v>420</v>
      </c>
      <c r="E21" s="114">
        <v>87</v>
      </c>
      <c r="F21" s="114">
        <f>VLOOKUP(C21,'CKN T4 '!$M$5:$N$14,2,0)</f>
        <v>0.88800000000000001</v>
      </c>
      <c r="G21" s="114">
        <f t="shared" si="0"/>
        <v>36.54</v>
      </c>
      <c r="H21" s="114">
        <f t="shared" si="1"/>
        <v>32.450000000000003</v>
      </c>
      <c r="I21" s="114"/>
    </row>
    <row r="22" spans="1:10" x14ac:dyDescent="0.25">
      <c r="A22" s="1186"/>
      <c r="B22" s="115" t="s">
        <v>487</v>
      </c>
      <c r="C22" s="115" t="s">
        <v>488</v>
      </c>
      <c r="D22" s="115"/>
      <c r="E22" s="115">
        <v>116</v>
      </c>
      <c r="F22" s="115">
        <v>1.3939999999999999</v>
      </c>
      <c r="G22" s="115"/>
      <c r="H22" s="115">
        <f>E22*F22</f>
        <v>161.70399999999998</v>
      </c>
      <c r="I22" s="115"/>
    </row>
    <row r="24" spans="1:10" x14ac:dyDescent="0.25">
      <c r="A24" s="123" t="s">
        <v>398</v>
      </c>
      <c r="B24" s="123"/>
      <c r="C24" s="869" t="s">
        <v>506</v>
      </c>
      <c r="D24" s="869" t="s">
        <v>507</v>
      </c>
    </row>
    <row r="25" spans="1:10" x14ac:dyDescent="0.25">
      <c r="A25" s="1187" t="s">
        <v>1475</v>
      </c>
      <c r="B25" s="122" t="s">
        <v>489</v>
      </c>
      <c r="C25" s="122">
        <f>(62-0.2+1.5)*3</f>
        <v>189.89999999999998</v>
      </c>
      <c r="D25" s="1060">
        <f>ROUND(C25*5,2)</f>
        <v>949.5</v>
      </c>
      <c r="E25" s="122"/>
      <c r="I25" t="s">
        <v>414</v>
      </c>
      <c r="J25">
        <v>62</v>
      </c>
    </row>
    <row r="26" spans="1:10" x14ac:dyDescent="0.25">
      <c r="A26" s="1187"/>
      <c r="B26" s="122" t="s">
        <v>490</v>
      </c>
      <c r="C26" s="122">
        <f>(62-1+1.5)</f>
        <v>62.5</v>
      </c>
      <c r="D26" s="1060">
        <f t="shared" ref="D26:D43" si="2">ROUND(C26*5,2)</f>
        <v>312.5</v>
      </c>
      <c r="E26" s="122"/>
    </row>
    <row r="27" spans="1:10" x14ac:dyDescent="0.25">
      <c r="A27" s="1187"/>
      <c r="B27" s="122" t="s">
        <v>491</v>
      </c>
      <c r="C27" s="122">
        <v>72</v>
      </c>
      <c r="D27" s="1060">
        <f t="shared" si="2"/>
        <v>360</v>
      </c>
      <c r="E27" s="122"/>
    </row>
    <row r="28" spans="1:10" x14ac:dyDescent="0.25">
      <c r="A28" s="1187"/>
      <c r="B28" s="122" t="s">
        <v>492</v>
      </c>
      <c r="C28" s="122">
        <v>72</v>
      </c>
      <c r="D28" s="1060">
        <f t="shared" si="2"/>
        <v>360</v>
      </c>
      <c r="E28" s="122"/>
    </row>
    <row r="29" spans="1:10" x14ac:dyDescent="0.25">
      <c r="A29" s="1187"/>
      <c r="B29" s="122" t="s">
        <v>493</v>
      </c>
      <c r="C29" s="122">
        <v>216</v>
      </c>
      <c r="D29" s="1060">
        <f t="shared" si="2"/>
        <v>1080</v>
      </c>
      <c r="E29" s="122"/>
    </row>
    <row r="30" spans="1:10" x14ac:dyDescent="0.25">
      <c r="A30" s="1187"/>
      <c r="B30" s="122" t="s">
        <v>494</v>
      </c>
      <c r="C30" s="122">
        <v>50.33</v>
      </c>
      <c r="D30" s="1060">
        <f t="shared" si="2"/>
        <v>251.65</v>
      </c>
      <c r="E30" s="122"/>
    </row>
    <row r="31" spans="1:10" x14ac:dyDescent="0.25">
      <c r="A31" s="1187"/>
      <c r="B31" s="122" t="s">
        <v>495</v>
      </c>
      <c r="C31" s="122">
        <v>49.38</v>
      </c>
      <c r="D31" s="1060">
        <f t="shared" si="2"/>
        <v>246.9</v>
      </c>
      <c r="E31" s="122"/>
    </row>
    <row r="32" spans="1:10" x14ac:dyDescent="0.25">
      <c r="A32" s="1187"/>
      <c r="B32" s="122" t="s">
        <v>511</v>
      </c>
      <c r="C32" s="122">
        <v>142.43</v>
      </c>
      <c r="D32" s="1060">
        <f t="shared" si="2"/>
        <v>712.15</v>
      </c>
      <c r="E32" s="122"/>
    </row>
    <row r="33" spans="1:5" x14ac:dyDescent="0.25">
      <c r="A33" s="1187"/>
      <c r="B33" s="122" t="s">
        <v>496</v>
      </c>
      <c r="C33" s="122">
        <v>161.72</v>
      </c>
      <c r="D33" s="1060">
        <f t="shared" si="2"/>
        <v>808.6</v>
      </c>
      <c r="E33" s="122"/>
    </row>
    <row r="34" spans="1:5" x14ac:dyDescent="0.25">
      <c r="A34" s="1187"/>
      <c r="B34" s="122" t="s">
        <v>497</v>
      </c>
      <c r="C34" s="122">
        <v>2</v>
      </c>
      <c r="D34" s="1060">
        <f t="shared" si="2"/>
        <v>10</v>
      </c>
      <c r="E34" s="122"/>
    </row>
    <row r="35" spans="1:5" x14ac:dyDescent="0.25">
      <c r="A35" s="1187"/>
      <c r="B35" s="122" t="s">
        <v>498</v>
      </c>
      <c r="C35" s="122">
        <v>6</v>
      </c>
      <c r="D35" s="1060">
        <f t="shared" si="2"/>
        <v>30</v>
      </c>
      <c r="E35" s="122"/>
    </row>
    <row r="36" spans="1:5" x14ac:dyDescent="0.25">
      <c r="A36" s="1187"/>
      <c r="B36" s="122" t="s">
        <v>375</v>
      </c>
      <c r="C36" s="122">
        <f>SUMIF($C$6:$C$21,RIGHT(B36,2),$H$6:$H$21)/1000</f>
        <v>0.74487000000000003</v>
      </c>
      <c r="D36" s="1060">
        <f t="shared" si="2"/>
        <v>3.72</v>
      </c>
      <c r="E36" s="122"/>
    </row>
    <row r="37" spans="1:5" x14ac:dyDescent="0.25">
      <c r="A37" s="1187"/>
      <c r="B37" s="122" t="s">
        <v>499</v>
      </c>
      <c r="C37" s="122">
        <f t="shared" ref="C37:C43" si="3">SUMIF($C$6:$C$21,RIGHT(B37,2),$H$6:$H$21)/1000</f>
        <v>4.5330000000000002E-2</v>
      </c>
      <c r="D37" s="1060">
        <f t="shared" si="2"/>
        <v>0.23</v>
      </c>
      <c r="E37" s="122"/>
    </row>
    <row r="38" spans="1:5" x14ac:dyDescent="0.25">
      <c r="A38" s="1187"/>
      <c r="B38" s="122" t="s">
        <v>500</v>
      </c>
      <c r="C38" s="122">
        <f t="shared" si="3"/>
        <v>3.46E-3</v>
      </c>
      <c r="D38" s="1060">
        <f t="shared" si="2"/>
        <v>0.02</v>
      </c>
      <c r="E38" s="122"/>
    </row>
    <row r="39" spans="1:5" x14ac:dyDescent="0.25">
      <c r="A39" s="1187"/>
      <c r="B39" s="122" t="s">
        <v>501</v>
      </c>
      <c r="C39" s="122">
        <f t="shared" si="3"/>
        <v>1.1640000000000001E-2</v>
      </c>
      <c r="D39" s="1060">
        <f t="shared" si="2"/>
        <v>0.06</v>
      </c>
      <c r="E39" s="122"/>
    </row>
    <row r="40" spans="1:5" x14ac:dyDescent="0.25">
      <c r="A40" s="1187"/>
      <c r="B40" s="122" t="s">
        <v>502</v>
      </c>
      <c r="C40" s="122">
        <f t="shared" si="3"/>
        <v>1.9680899999999999</v>
      </c>
      <c r="D40" s="1060">
        <f t="shared" si="2"/>
        <v>9.84</v>
      </c>
      <c r="E40" s="122"/>
    </row>
    <row r="41" spans="1:5" x14ac:dyDescent="0.25">
      <c r="A41" s="1187"/>
      <c r="B41" s="122" t="s">
        <v>503</v>
      </c>
      <c r="C41" s="122">
        <f t="shared" si="3"/>
        <v>0.83677999999999997</v>
      </c>
      <c r="D41" s="1060">
        <f t="shared" si="2"/>
        <v>4.18</v>
      </c>
      <c r="E41" s="122"/>
    </row>
    <row r="42" spans="1:5" x14ac:dyDescent="0.25">
      <c r="A42" s="1187"/>
      <c r="B42" s="122" t="s">
        <v>504</v>
      </c>
      <c r="C42" s="122">
        <f t="shared" si="3"/>
        <v>1.43215</v>
      </c>
      <c r="D42" s="1060">
        <f t="shared" si="2"/>
        <v>7.16</v>
      </c>
      <c r="E42" s="122"/>
    </row>
    <row r="43" spans="1:5" x14ac:dyDescent="0.25">
      <c r="A43" s="1187"/>
      <c r="B43" s="122" t="s">
        <v>505</v>
      </c>
      <c r="C43" s="122">
        <f t="shared" si="3"/>
        <v>1.29135</v>
      </c>
      <c r="D43" s="1060">
        <f t="shared" si="2"/>
        <v>6.46</v>
      </c>
      <c r="E43" s="122"/>
    </row>
  </sheetData>
  <mergeCells count="4">
    <mergeCell ref="A2:I2"/>
    <mergeCell ref="A6:A22"/>
    <mergeCell ref="A25:A43"/>
    <mergeCell ref="K4:L4"/>
  </mergeCells>
  <hyperlinks>
    <hyperlink ref="K4" location="'Bảng dien giai KL hoan cong'!A1" display="Quaylai"/>
  </hyperlink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1"/>
  <sheetViews>
    <sheetView workbookViewId="0">
      <selection activeCell="M2" sqref="M2"/>
    </sheetView>
  </sheetViews>
  <sheetFormatPr defaultRowHeight="15" x14ac:dyDescent="0.25"/>
  <cols>
    <col min="1" max="1" width="4.5703125" bestFit="1" customWidth="1"/>
    <col min="2" max="2" width="52.140625" bestFit="1" customWidth="1"/>
    <col min="4" max="4" width="12.28515625" style="208" customWidth="1"/>
    <col min="5" max="5" width="13.85546875" style="234" hidden="1" customWidth="1"/>
    <col min="6" max="6" width="14.140625" style="208" hidden="1" customWidth="1"/>
    <col min="7" max="7" width="0" hidden="1" customWidth="1"/>
    <col min="8" max="8" width="9.7109375" hidden="1" customWidth="1"/>
    <col min="9" max="11" width="0" hidden="1" customWidth="1"/>
    <col min="257" max="257" width="4.5703125" bestFit="1" customWidth="1"/>
    <col min="258" max="258" width="52.140625" bestFit="1" customWidth="1"/>
    <col min="260" max="260" width="12.28515625" customWidth="1"/>
    <col min="261" max="261" width="0" hidden="1" customWidth="1"/>
    <col min="262" max="262" width="14.140625" customWidth="1"/>
    <col min="264" max="264" width="9.7109375" customWidth="1"/>
    <col min="513" max="513" width="4.5703125" bestFit="1" customWidth="1"/>
    <col min="514" max="514" width="52.140625" bestFit="1" customWidth="1"/>
    <col min="516" max="516" width="12.28515625" customWidth="1"/>
    <col min="517" max="517" width="0" hidden="1" customWidth="1"/>
    <col min="518" max="518" width="14.140625" customWidth="1"/>
    <col min="520" max="520" width="9.7109375" customWidth="1"/>
    <col min="769" max="769" width="4.5703125" bestFit="1" customWidth="1"/>
    <col min="770" max="770" width="52.140625" bestFit="1" customWidth="1"/>
    <col min="772" max="772" width="12.28515625" customWidth="1"/>
    <col min="773" max="773" width="0" hidden="1" customWidth="1"/>
    <col min="774" max="774" width="14.140625" customWidth="1"/>
    <col min="776" max="776" width="9.7109375" customWidth="1"/>
    <col min="1025" max="1025" width="4.5703125" bestFit="1" customWidth="1"/>
    <col min="1026" max="1026" width="52.140625" bestFit="1" customWidth="1"/>
    <col min="1028" max="1028" width="12.28515625" customWidth="1"/>
    <col min="1029" max="1029" width="0" hidden="1" customWidth="1"/>
    <col min="1030" max="1030" width="14.140625" customWidth="1"/>
    <col min="1032" max="1032" width="9.7109375" customWidth="1"/>
    <col min="1281" max="1281" width="4.5703125" bestFit="1" customWidth="1"/>
    <col min="1282" max="1282" width="52.140625" bestFit="1" customWidth="1"/>
    <col min="1284" max="1284" width="12.28515625" customWidth="1"/>
    <col min="1285" max="1285" width="0" hidden="1" customWidth="1"/>
    <col min="1286" max="1286" width="14.140625" customWidth="1"/>
    <col min="1288" max="1288" width="9.7109375" customWidth="1"/>
    <col min="1537" max="1537" width="4.5703125" bestFit="1" customWidth="1"/>
    <col min="1538" max="1538" width="52.140625" bestFit="1" customWidth="1"/>
    <col min="1540" max="1540" width="12.28515625" customWidth="1"/>
    <col min="1541" max="1541" width="0" hidden="1" customWidth="1"/>
    <col min="1542" max="1542" width="14.140625" customWidth="1"/>
    <col min="1544" max="1544" width="9.7109375" customWidth="1"/>
    <col min="1793" max="1793" width="4.5703125" bestFit="1" customWidth="1"/>
    <col min="1794" max="1794" width="52.140625" bestFit="1" customWidth="1"/>
    <col min="1796" max="1796" width="12.28515625" customWidth="1"/>
    <col min="1797" max="1797" width="0" hidden="1" customWidth="1"/>
    <col min="1798" max="1798" width="14.140625" customWidth="1"/>
    <col min="1800" max="1800" width="9.7109375" customWidth="1"/>
    <col min="2049" max="2049" width="4.5703125" bestFit="1" customWidth="1"/>
    <col min="2050" max="2050" width="52.140625" bestFit="1" customWidth="1"/>
    <col min="2052" max="2052" width="12.28515625" customWidth="1"/>
    <col min="2053" max="2053" width="0" hidden="1" customWidth="1"/>
    <col min="2054" max="2054" width="14.140625" customWidth="1"/>
    <col min="2056" max="2056" width="9.7109375" customWidth="1"/>
    <col min="2305" max="2305" width="4.5703125" bestFit="1" customWidth="1"/>
    <col min="2306" max="2306" width="52.140625" bestFit="1" customWidth="1"/>
    <col min="2308" max="2308" width="12.28515625" customWidth="1"/>
    <col min="2309" max="2309" width="0" hidden="1" customWidth="1"/>
    <col min="2310" max="2310" width="14.140625" customWidth="1"/>
    <col min="2312" max="2312" width="9.7109375" customWidth="1"/>
    <col min="2561" max="2561" width="4.5703125" bestFit="1" customWidth="1"/>
    <col min="2562" max="2562" width="52.140625" bestFit="1" customWidth="1"/>
    <col min="2564" max="2564" width="12.28515625" customWidth="1"/>
    <col min="2565" max="2565" width="0" hidden="1" customWidth="1"/>
    <col min="2566" max="2566" width="14.140625" customWidth="1"/>
    <col min="2568" max="2568" width="9.7109375" customWidth="1"/>
    <col min="2817" max="2817" width="4.5703125" bestFit="1" customWidth="1"/>
    <col min="2818" max="2818" width="52.140625" bestFit="1" customWidth="1"/>
    <col min="2820" max="2820" width="12.28515625" customWidth="1"/>
    <col min="2821" max="2821" width="0" hidden="1" customWidth="1"/>
    <col min="2822" max="2822" width="14.140625" customWidth="1"/>
    <col min="2824" max="2824" width="9.7109375" customWidth="1"/>
    <col min="3073" max="3073" width="4.5703125" bestFit="1" customWidth="1"/>
    <col min="3074" max="3074" width="52.140625" bestFit="1" customWidth="1"/>
    <col min="3076" max="3076" width="12.28515625" customWidth="1"/>
    <col min="3077" max="3077" width="0" hidden="1" customWidth="1"/>
    <col min="3078" max="3078" width="14.140625" customWidth="1"/>
    <col min="3080" max="3080" width="9.7109375" customWidth="1"/>
    <col min="3329" max="3329" width="4.5703125" bestFit="1" customWidth="1"/>
    <col min="3330" max="3330" width="52.140625" bestFit="1" customWidth="1"/>
    <col min="3332" max="3332" width="12.28515625" customWidth="1"/>
    <col min="3333" max="3333" width="0" hidden="1" customWidth="1"/>
    <col min="3334" max="3334" width="14.140625" customWidth="1"/>
    <col min="3336" max="3336" width="9.7109375" customWidth="1"/>
    <col min="3585" max="3585" width="4.5703125" bestFit="1" customWidth="1"/>
    <col min="3586" max="3586" width="52.140625" bestFit="1" customWidth="1"/>
    <col min="3588" max="3588" width="12.28515625" customWidth="1"/>
    <col min="3589" max="3589" width="0" hidden="1" customWidth="1"/>
    <col min="3590" max="3590" width="14.140625" customWidth="1"/>
    <col min="3592" max="3592" width="9.7109375" customWidth="1"/>
    <col min="3841" max="3841" width="4.5703125" bestFit="1" customWidth="1"/>
    <col min="3842" max="3842" width="52.140625" bestFit="1" customWidth="1"/>
    <col min="3844" max="3844" width="12.28515625" customWidth="1"/>
    <col min="3845" max="3845" width="0" hidden="1" customWidth="1"/>
    <col min="3846" max="3846" width="14.140625" customWidth="1"/>
    <col min="3848" max="3848" width="9.7109375" customWidth="1"/>
    <col min="4097" max="4097" width="4.5703125" bestFit="1" customWidth="1"/>
    <col min="4098" max="4098" width="52.140625" bestFit="1" customWidth="1"/>
    <col min="4100" max="4100" width="12.28515625" customWidth="1"/>
    <col min="4101" max="4101" width="0" hidden="1" customWidth="1"/>
    <col min="4102" max="4102" width="14.140625" customWidth="1"/>
    <col min="4104" max="4104" width="9.7109375" customWidth="1"/>
    <col min="4353" max="4353" width="4.5703125" bestFit="1" customWidth="1"/>
    <col min="4354" max="4354" width="52.140625" bestFit="1" customWidth="1"/>
    <col min="4356" max="4356" width="12.28515625" customWidth="1"/>
    <col min="4357" max="4357" width="0" hidden="1" customWidth="1"/>
    <col min="4358" max="4358" width="14.140625" customWidth="1"/>
    <col min="4360" max="4360" width="9.7109375" customWidth="1"/>
    <col min="4609" max="4609" width="4.5703125" bestFit="1" customWidth="1"/>
    <col min="4610" max="4610" width="52.140625" bestFit="1" customWidth="1"/>
    <col min="4612" max="4612" width="12.28515625" customWidth="1"/>
    <col min="4613" max="4613" width="0" hidden="1" customWidth="1"/>
    <col min="4614" max="4614" width="14.140625" customWidth="1"/>
    <col min="4616" max="4616" width="9.7109375" customWidth="1"/>
    <col min="4865" max="4865" width="4.5703125" bestFit="1" customWidth="1"/>
    <col min="4866" max="4866" width="52.140625" bestFit="1" customWidth="1"/>
    <col min="4868" max="4868" width="12.28515625" customWidth="1"/>
    <col min="4869" max="4869" width="0" hidden="1" customWidth="1"/>
    <col min="4870" max="4870" width="14.140625" customWidth="1"/>
    <col min="4872" max="4872" width="9.7109375" customWidth="1"/>
    <col min="5121" max="5121" width="4.5703125" bestFit="1" customWidth="1"/>
    <col min="5122" max="5122" width="52.140625" bestFit="1" customWidth="1"/>
    <col min="5124" max="5124" width="12.28515625" customWidth="1"/>
    <col min="5125" max="5125" width="0" hidden="1" customWidth="1"/>
    <col min="5126" max="5126" width="14.140625" customWidth="1"/>
    <col min="5128" max="5128" width="9.7109375" customWidth="1"/>
    <col min="5377" max="5377" width="4.5703125" bestFit="1" customWidth="1"/>
    <col min="5378" max="5378" width="52.140625" bestFit="1" customWidth="1"/>
    <col min="5380" max="5380" width="12.28515625" customWidth="1"/>
    <col min="5381" max="5381" width="0" hidden="1" customWidth="1"/>
    <col min="5382" max="5382" width="14.140625" customWidth="1"/>
    <col min="5384" max="5384" width="9.7109375" customWidth="1"/>
    <col min="5633" max="5633" width="4.5703125" bestFit="1" customWidth="1"/>
    <col min="5634" max="5634" width="52.140625" bestFit="1" customWidth="1"/>
    <col min="5636" max="5636" width="12.28515625" customWidth="1"/>
    <col min="5637" max="5637" width="0" hidden="1" customWidth="1"/>
    <col min="5638" max="5638" width="14.140625" customWidth="1"/>
    <col min="5640" max="5640" width="9.7109375" customWidth="1"/>
    <col min="5889" max="5889" width="4.5703125" bestFit="1" customWidth="1"/>
    <col min="5890" max="5890" width="52.140625" bestFit="1" customWidth="1"/>
    <col min="5892" max="5892" width="12.28515625" customWidth="1"/>
    <col min="5893" max="5893" width="0" hidden="1" customWidth="1"/>
    <col min="5894" max="5894" width="14.140625" customWidth="1"/>
    <col min="5896" max="5896" width="9.7109375" customWidth="1"/>
    <col min="6145" max="6145" width="4.5703125" bestFit="1" customWidth="1"/>
    <col min="6146" max="6146" width="52.140625" bestFit="1" customWidth="1"/>
    <col min="6148" max="6148" width="12.28515625" customWidth="1"/>
    <col min="6149" max="6149" width="0" hidden="1" customWidth="1"/>
    <col min="6150" max="6150" width="14.140625" customWidth="1"/>
    <col min="6152" max="6152" width="9.7109375" customWidth="1"/>
    <col min="6401" max="6401" width="4.5703125" bestFit="1" customWidth="1"/>
    <col min="6402" max="6402" width="52.140625" bestFit="1" customWidth="1"/>
    <col min="6404" max="6404" width="12.28515625" customWidth="1"/>
    <col min="6405" max="6405" width="0" hidden="1" customWidth="1"/>
    <col min="6406" max="6406" width="14.140625" customWidth="1"/>
    <col min="6408" max="6408" width="9.7109375" customWidth="1"/>
    <col min="6657" max="6657" width="4.5703125" bestFit="1" customWidth="1"/>
    <col min="6658" max="6658" width="52.140625" bestFit="1" customWidth="1"/>
    <col min="6660" max="6660" width="12.28515625" customWidth="1"/>
    <col min="6661" max="6661" width="0" hidden="1" customWidth="1"/>
    <col min="6662" max="6662" width="14.140625" customWidth="1"/>
    <col min="6664" max="6664" width="9.7109375" customWidth="1"/>
    <col min="6913" max="6913" width="4.5703125" bestFit="1" customWidth="1"/>
    <col min="6914" max="6914" width="52.140625" bestFit="1" customWidth="1"/>
    <col min="6916" max="6916" width="12.28515625" customWidth="1"/>
    <col min="6917" max="6917" width="0" hidden="1" customWidth="1"/>
    <col min="6918" max="6918" width="14.140625" customWidth="1"/>
    <col min="6920" max="6920" width="9.7109375" customWidth="1"/>
    <col min="7169" max="7169" width="4.5703125" bestFit="1" customWidth="1"/>
    <col min="7170" max="7170" width="52.140625" bestFit="1" customWidth="1"/>
    <col min="7172" max="7172" width="12.28515625" customWidth="1"/>
    <col min="7173" max="7173" width="0" hidden="1" customWidth="1"/>
    <col min="7174" max="7174" width="14.140625" customWidth="1"/>
    <col min="7176" max="7176" width="9.7109375" customWidth="1"/>
    <col min="7425" max="7425" width="4.5703125" bestFit="1" customWidth="1"/>
    <col min="7426" max="7426" width="52.140625" bestFit="1" customWidth="1"/>
    <col min="7428" max="7428" width="12.28515625" customWidth="1"/>
    <col min="7429" max="7429" width="0" hidden="1" customWidth="1"/>
    <col min="7430" max="7430" width="14.140625" customWidth="1"/>
    <col min="7432" max="7432" width="9.7109375" customWidth="1"/>
    <col min="7681" max="7681" width="4.5703125" bestFit="1" customWidth="1"/>
    <col min="7682" max="7682" width="52.140625" bestFit="1" customWidth="1"/>
    <col min="7684" max="7684" width="12.28515625" customWidth="1"/>
    <col min="7685" max="7685" width="0" hidden="1" customWidth="1"/>
    <col min="7686" max="7686" width="14.140625" customWidth="1"/>
    <col min="7688" max="7688" width="9.7109375" customWidth="1"/>
    <col min="7937" max="7937" width="4.5703125" bestFit="1" customWidth="1"/>
    <col min="7938" max="7938" width="52.140625" bestFit="1" customWidth="1"/>
    <col min="7940" max="7940" width="12.28515625" customWidth="1"/>
    <col min="7941" max="7941" width="0" hidden="1" customWidth="1"/>
    <col min="7942" max="7942" width="14.140625" customWidth="1"/>
    <col min="7944" max="7944" width="9.7109375" customWidth="1"/>
    <col min="8193" max="8193" width="4.5703125" bestFit="1" customWidth="1"/>
    <col min="8194" max="8194" width="52.140625" bestFit="1" customWidth="1"/>
    <col min="8196" max="8196" width="12.28515625" customWidth="1"/>
    <col min="8197" max="8197" width="0" hidden="1" customWidth="1"/>
    <col min="8198" max="8198" width="14.140625" customWidth="1"/>
    <col min="8200" max="8200" width="9.7109375" customWidth="1"/>
    <col min="8449" max="8449" width="4.5703125" bestFit="1" customWidth="1"/>
    <col min="8450" max="8450" width="52.140625" bestFit="1" customWidth="1"/>
    <col min="8452" max="8452" width="12.28515625" customWidth="1"/>
    <col min="8453" max="8453" width="0" hidden="1" customWidth="1"/>
    <col min="8454" max="8454" width="14.140625" customWidth="1"/>
    <col min="8456" max="8456" width="9.7109375" customWidth="1"/>
    <col min="8705" max="8705" width="4.5703125" bestFit="1" customWidth="1"/>
    <col min="8706" max="8706" width="52.140625" bestFit="1" customWidth="1"/>
    <col min="8708" max="8708" width="12.28515625" customWidth="1"/>
    <col min="8709" max="8709" width="0" hidden="1" customWidth="1"/>
    <col min="8710" max="8710" width="14.140625" customWidth="1"/>
    <col min="8712" max="8712" width="9.7109375" customWidth="1"/>
    <col min="8961" max="8961" width="4.5703125" bestFit="1" customWidth="1"/>
    <col min="8962" max="8962" width="52.140625" bestFit="1" customWidth="1"/>
    <col min="8964" max="8964" width="12.28515625" customWidth="1"/>
    <col min="8965" max="8965" width="0" hidden="1" customWidth="1"/>
    <col min="8966" max="8966" width="14.140625" customWidth="1"/>
    <col min="8968" max="8968" width="9.7109375" customWidth="1"/>
    <col min="9217" max="9217" width="4.5703125" bestFit="1" customWidth="1"/>
    <col min="9218" max="9218" width="52.140625" bestFit="1" customWidth="1"/>
    <col min="9220" max="9220" width="12.28515625" customWidth="1"/>
    <col min="9221" max="9221" width="0" hidden="1" customWidth="1"/>
    <col min="9222" max="9222" width="14.140625" customWidth="1"/>
    <col min="9224" max="9224" width="9.7109375" customWidth="1"/>
    <col min="9473" max="9473" width="4.5703125" bestFit="1" customWidth="1"/>
    <col min="9474" max="9474" width="52.140625" bestFit="1" customWidth="1"/>
    <col min="9476" max="9476" width="12.28515625" customWidth="1"/>
    <col min="9477" max="9477" width="0" hidden="1" customWidth="1"/>
    <col min="9478" max="9478" width="14.140625" customWidth="1"/>
    <col min="9480" max="9480" width="9.7109375" customWidth="1"/>
    <col min="9729" max="9729" width="4.5703125" bestFit="1" customWidth="1"/>
    <col min="9730" max="9730" width="52.140625" bestFit="1" customWidth="1"/>
    <col min="9732" max="9732" width="12.28515625" customWidth="1"/>
    <col min="9733" max="9733" width="0" hidden="1" customWidth="1"/>
    <col min="9734" max="9734" width="14.140625" customWidth="1"/>
    <col min="9736" max="9736" width="9.7109375" customWidth="1"/>
    <col min="9985" max="9985" width="4.5703125" bestFit="1" customWidth="1"/>
    <col min="9986" max="9986" width="52.140625" bestFit="1" customWidth="1"/>
    <col min="9988" max="9988" width="12.28515625" customWidth="1"/>
    <col min="9989" max="9989" width="0" hidden="1" customWidth="1"/>
    <col min="9990" max="9990" width="14.140625" customWidth="1"/>
    <col min="9992" max="9992" width="9.7109375" customWidth="1"/>
    <col min="10241" max="10241" width="4.5703125" bestFit="1" customWidth="1"/>
    <col min="10242" max="10242" width="52.140625" bestFit="1" customWidth="1"/>
    <col min="10244" max="10244" width="12.28515625" customWidth="1"/>
    <col min="10245" max="10245" width="0" hidden="1" customWidth="1"/>
    <col min="10246" max="10246" width="14.140625" customWidth="1"/>
    <col min="10248" max="10248" width="9.7109375" customWidth="1"/>
    <col min="10497" max="10497" width="4.5703125" bestFit="1" customWidth="1"/>
    <col min="10498" max="10498" width="52.140625" bestFit="1" customWidth="1"/>
    <col min="10500" max="10500" width="12.28515625" customWidth="1"/>
    <col min="10501" max="10501" width="0" hidden="1" customWidth="1"/>
    <col min="10502" max="10502" width="14.140625" customWidth="1"/>
    <col min="10504" max="10504" width="9.7109375" customWidth="1"/>
    <col min="10753" max="10753" width="4.5703125" bestFit="1" customWidth="1"/>
    <col min="10754" max="10754" width="52.140625" bestFit="1" customWidth="1"/>
    <col min="10756" max="10756" width="12.28515625" customWidth="1"/>
    <col min="10757" max="10757" width="0" hidden="1" customWidth="1"/>
    <col min="10758" max="10758" width="14.140625" customWidth="1"/>
    <col min="10760" max="10760" width="9.7109375" customWidth="1"/>
    <col min="11009" max="11009" width="4.5703125" bestFit="1" customWidth="1"/>
    <col min="11010" max="11010" width="52.140625" bestFit="1" customWidth="1"/>
    <col min="11012" max="11012" width="12.28515625" customWidth="1"/>
    <col min="11013" max="11013" width="0" hidden="1" customWidth="1"/>
    <col min="11014" max="11014" width="14.140625" customWidth="1"/>
    <col min="11016" max="11016" width="9.7109375" customWidth="1"/>
    <col min="11265" max="11265" width="4.5703125" bestFit="1" customWidth="1"/>
    <col min="11266" max="11266" width="52.140625" bestFit="1" customWidth="1"/>
    <col min="11268" max="11268" width="12.28515625" customWidth="1"/>
    <col min="11269" max="11269" width="0" hidden="1" customWidth="1"/>
    <col min="11270" max="11270" width="14.140625" customWidth="1"/>
    <col min="11272" max="11272" width="9.7109375" customWidth="1"/>
    <col min="11521" max="11521" width="4.5703125" bestFit="1" customWidth="1"/>
    <col min="11522" max="11522" width="52.140625" bestFit="1" customWidth="1"/>
    <col min="11524" max="11524" width="12.28515625" customWidth="1"/>
    <col min="11525" max="11525" width="0" hidden="1" customWidth="1"/>
    <col min="11526" max="11526" width="14.140625" customWidth="1"/>
    <col min="11528" max="11528" width="9.7109375" customWidth="1"/>
    <col min="11777" max="11777" width="4.5703125" bestFit="1" customWidth="1"/>
    <col min="11778" max="11778" width="52.140625" bestFit="1" customWidth="1"/>
    <col min="11780" max="11780" width="12.28515625" customWidth="1"/>
    <col min="11781" max="11781" width="0" hidden="1" customWidth="1"/>
    <col min="11782" max="11782" width="14.140625" customWidth="1"/>
    <col min="11784" max="11784" width="9.7109375" customWidth="1"/>
    <col min="12033" max="12033" width="4.5703125" bestFit="1" customWidth="1"/>
    <col min="12034" max="12034" width="52.140625" bestFit="1" customWidth="1"/>
    <col min="12036" max="12036" width="12.28515625" customWidth="1"/>
    <col min="12037" max="12037" width="0" hidden="1" customWidth="1"/>
    <col min="12038" max="12038" width="14.140625" customWidth="1"/>
    <col min="12040" max="12040" width="9.7109375" customWidth="1"/>
    <col min="12289" max="12289" width="4.5703125" bestFit="1" customWidth="1"/>
    <col min="12290" max="12290" width="52.140625" bestFit="1" customWidth="1"/>
    <col min="12292" max="12292" width="12.28515625" customWidth="1"/>
    <col min="12293" max="12293" width="0" hidden="1" customWidth="1"/>
    <col min="12294" max="12294" width="14.140625" customWidth="1"/>
    <col min="12296" max="12296" width="9.7109375" customWidth="1"/>
    <col min="12545" max="12545" width="4.5703125" bestFit="1" customWidth="1"/>
    <col min="12546" max="12546" width="52.140625" bestFit="1" customWidth="1"/>
    <col min="12548" max="12548" width="12.28515625" customWidth="1"/>
    <col min="12549" max="12549" width="0" hidden="1" customWidth="1"/>
    <col min="12550" max="12550" width="14.140625" customWidth="1"/>
    <col min="12552" max="12552" width="9.7109375" customWidth="1"/>
    <col min="12801" max="12801" width="4.5703125" bestFit="1" customWidth="1"/>
    <col min="12802" max="12802" width="52.140625" bestFit="1" customWidth="1"/>
    <col min="12804" max="12804" width="12.28515625" customWidth="1"/>
    <col min="12805" max="12805" width="0" hidden="1" customWidth="1"/>
    <col min="12806" max="12806" width="14.140625" customWidth="1"/>
    <col min="12808" max="12808" width="9.7109375" customWidth="1"/>
    <col min="13057" max="13057" width="4.5703125" bestFit="1" customWidth="1"/>
    <col min="13058" max="13058" width="52.140625" bestFit="1" customWidth="1"/>
    <col min="13060" max="13060" width="12.28515625" customWidth="1"/>
    <col min="13061" max="13061" width="0" hidden="1" customWidth="1"/>
    <col min="13062" max="13062" width="14.140625" customWidth="1"/>
    <col min="13064" max="13064" width="9.7109375" customWidth="1"/>
    <col min="13313" max="13313" width="4.5703125" bestFit="1" customWidth="1"/>
    <col min="13314" max="13314" width="52.140625" bestFit="1" customWidth="1"/>
    <col min="13316" max="13316" width="12.28515625" customWidth="1"/>
    <col min="13317" max="13317" width="0" hidden="1" customWidth="1"/>
    <col min="13318" max="13318" width="14.140625" customWidth="1"/>
    <col min="13320" max="13320" width="9.7109375" customWidth="1"/>
    <col min="13569" max="13569" width="4.5703125" bestFit="1" customWidth="1"/>
    <col min="13570" max="13570" width="52.140625" bestFit="1" customWidth="1"/>
    <col min="13572" max="13572" width="12.28515625" customWidth="1"/>
    <col min="13573" max="13573" width="0" hidden="1" customWidth="1"/>
    <col min="13574" max="13574" width="14.140625" customWidth="1"/>
    <col min="13576" max="13576" width="9.7109375" customWidth="1"/>
    <col min="13825" max="13825" width="4.5703125" bestFit="1" customWidth="1"/>
    <col min="13826" max="13826" width="52.140625" bestFit="1" customWidth="1"/>
    <col min="13828" max="13828" width="12.28515625" customWidth="1"/>
    <col min="13829" max="13829" width="0" hidden="1" customWidth="1"/>
    <col min="13830" max="13830" width="14.140625" customWidth="1"/>
    <col min="13832" max="13832" width="9.7109375" customWidth="1"/>
    <col min="14081" max="14081" width="4.5703125" bestFit="1" customWidth="1"/>
    <col min="14082" max="14082" width="52.140625" bestFit="1" customWidth="1"/>
    <col min="14084" max="14084" width="12.28515625" customWidth="1"/>
    <col min="14085" max="14085" width="0" hidden="1" customWidth="1"/>
    <col min="14086" max="14086" width="14.140625" customWidth="1"/>
    <col min="14088" max="14088" width="9.7109375" customWidth="1"/>
    <col min="14337" max="14337" width="4.5703125" bestFit="1" customWidth="1"/>
    <col min="14338" max="14338" width="52.140625" bestFit="1" customWidth="1"/>
    <col min="14340" max="14340" width="12.28515625" customWidth="1"/>
    <col min="14341" max="14341" width="0" hidden="1" customWidth="1"/>
    <col min="14342" max="14342" width="14.140625" customWidth="1"/>
    <col min="14344" max="14344" width="9.7109375" customWidth="1"/>
    <col min="14593" max="14593" width="4.5703125" bestFit="1" customWidth="1"/>
    <col min="14594" max="14594" width="52.140625" bestFit="1" customWidth="1"/>
    <col min="14596" max="14596" width="12.28515625" customWidth="1"/>
    <col min="14597" max="14597" width="0" hidden="1" customWidth="1"/>
    <col min="14598" max="14598" width="14.140625" customWidth="1"/>
    <col min="14600" max="14600" width="9.7109375" customWidth="1"/>
    <col min="14849" max="14849" width="4.5703125" bestFit="1" customWidth="1"/>
    <col min="14850" max="14850" width="52.140625" bestFit="1" customWidth="1"/>
    <col min="14852" max="14852" width="12.28515625" customWidth="1"/>
    <col min="14853" max="14853" width="0" hidden="1" customWidth="1"/>
    <col min="14854" max="14854" width="14.140625" customWidth="1"/>
    <col min="14856" max="14856" width="9.7109375" customWidth="1"/>
    <col min="15105" max="15105" width="4.5703125" bestFit="1" customWidth="1"/>
    <col min="15106" max="15106" width="52.140625" bestFit="1" customWidth="1"/>
    <col min="15108" max="15108" width="12.28515625" customWidth="1"/>
    <col min="15109" max="15109" width="0" hidden="1" customWidth="1"/>
    <col min="15110" max="15110" width="14.140625" customWidth="1"/>
    <col min="15112" max="15112" width="9.7109375" customWidth="1"/>
    <col min="15361" max="15361" width="4.5703125" bestFit="1" customWidth="1"/>
    <col min="15362" max="15362" width="52.140625" bestFit="1" customWidth="1"/>
    <col min="15364" max="15364" width="12.28515625" customWidth="1"/>
    <col min="15365" max="15365" width="0" hidden="1" customWidth="1"/>
    <col min="15366" max="15366" width="14.140625" customWidth="1"/>
    <col min="15368" max="15368" width="9.7109375" customWidth="1"/>
    <col min="15617" max="15617" width="4.5703125" bestFit="1" customWidth="1"/>
    <col min="15618" max="15618" width="52.140625" bestFit="1" customWidth="1"/>
    <col min="15620" max="15620" width="12.28515625" customWidth="1"/>
    <col min="15621" max="15621" width="0" hidden="1" customWidth="1"/>
    <col min="15622" max="15622" width="14.140625" customWidth="1"/>
    <col min="15624" max="15624" width="9.7109375" customWidth="1"/>
    <col min="15873" max="15873" width="4.5703125" bestFit="1" customWidth="1"/>
    <col min="15874" max="15874" width="52.140625" bestFit="1" customWidth="1"/>
    <col min="15876" max="15876" width="12.28515625" customWidth="1"/>
    <col min="15877" max="15877" width="0" hidden="1" customWidth="1"/>
    <col min="15878" max="15878" width="14.140625" customWidth="1"/>
    <col min="15880" max="15880" width="9.7109375" customWidth="1"/>
    <col min="16129" max="16129" width="4.5703125" bestFit="1" customWidth="1"/>
    <col min="16130" max="16130" width="52.140625" bestFit="1" customWidth="1"/>
    <col min="16132" max="16132" width="12.28515625" customWidth="1"/>
    <col min="16133" max="16133" width="0" hidden="1" customWidth="1"/>
    <col min="16134" max="16134" width="14.140625" customWidth="1"/>
    <col min="16136" max="16136" width="9.7109375" customWidth="1"/>
  </cols>
  <sheetData>
    <row r="1" spans="1:13" ht="22.5" customHeight="1" thickTop="1" x14ac:dyDescent="0.25">
      <c r="A1" s="576" t="s">
        <v>377</v>
      </c>
      <c r="B1" s="579" t="s">
        <v>547</v>
      </c>
      <c r="C1" s="577" t="s">
        <v>668</v>
      </c>
      <c r="D1" s="578" t="s">
        <v>904</v>
      </c>
      <c r="E1" s="429" t="s">
        <v>905</v>
      </c>
      <c r="F1" s="430"/>
      <c r="G1" s="431"/>
      <c r="H1" s="432" t="s">
        <v>814</v>
      </c>
      <c r="I1" s="433" t="s">
        <v>815</v>
      </c>
      <c r="J1" s="434" t="s">
        <v>816</v>
      </c>
      <c r="K1" s="435"/>
    </row>
    <row r="2" spans="1:13" x14ac:dyDescent="0.25">
      <c r="A2" s="436">
        <v>1</v>
      </c>
      <c r="B2" s="437" t="s">
        <v>906</v>
      </c>
      <c r="C2" s="438" t="s">
        <v>124</v>
      </c>
      <c r="D2" s="468">
        <v>2.2410000000000001</v>
      </c>
      <c r="E2" s="468">
        <v>2.52</v>
      </c>
      <c r="F2" s="440"/>
      <c r="G2" s="431"/>
      <c r="H2" s="441"/>
      <c r="I2" s="376">
        <f>4*(3+2+3)</f>
        <v>32</v>
      </c>
      <c r="J2" s="442">
        <v>97</v>
      </c>
      <c r="K2" s="443">
        <f>+J2*I2</f>
        <v>3104</v>
      </c>
      <c r="M2" s="580" t="s">
        <v>611</v>
      </c>
    </row>
    <row r="3" spans="1:13" x14ac:dyDescent="0.25">
      <c r="A3" s="436">
        <v>2</v>
      </c>
      <c r="B3" s="437" t="s">
        <v>819</v>
      </c>
      <c r="C3" s="438" t="s">
        <v>124</v>
      </c>
      <c r="D3" s="460">
        <v>2.2410000000000001</v>
      </c>
      <c r="E3" s="460">
        <v>0.81499999999999995</v>
      </c>
      <c r="F3" s="445"/>
      <c r="G3" s="446"/>
      <c r="H3" s="447" t="s">
        <v>691</v>
      </c>
      <c r="I3" s="376">
        <f>(3+4*2)</f>
        <v>11</v>
      </c>
      <c r="J3" s="388">
        <v>11.87</v>
      </c>
      <c r="K3" s="443">
        <f>+I3*J3</f>
        <v>130.57</v>
      </c>
    </row>
    <row r="4" spans="1:13" x14ac:dyDescent="0.25">
      <c r="A4" s="436">
        <v>3</v>
      </c>
      <c r="B4" s="437" t="s">
        <v>820</v>
      </c>
      <c r="C4" s="438" t="s">
        <v>124</v>
      </c>
      <c r="D4" s="448">
        <f>+D3-D7</f>
        <v>0.2410000000000001</v>
      </c>
      <c r="E4" s="448">
        <f>+E3-E7</f>
        <v>-1.1850000000000001</v>
      </c>
      <c r="F4" s="449"/>
      <c r="G4" s="446"/>
      <c r="H4" s="450" t="s">
        <v>693</v>
      </c>
      <c r="I4" s="451"/>
      <c r="J4" s="452"/>
      <c r="K4" s="453">
        <f>+K3+K2</f>
        <v>3234.57</v>
      </c>
    </row>
    <row r="5" spans="1:13" x14ac:dyDescent="0.25">
      <c r="A5" s="436">
        <v>4</v>
      </c>
      <c r="B5" s="437" t="s">
        <v>821</v>
      </c>
      <c r="C5" s="454" t="s">
        <v>124</v>
      </c>
      <c r="D5" s="460">
        <v>6</v>
      </c>
      <c r="E5" s="460">
        <v>6</v>
      </c>
      <c r="F5" s="445"/>
      <c r="G5" s="446"/>
      <c r="H5" s="432"/>
      <c r="I5" s="433"/>
      <c r="J5" s="434"/>
      <c r="K5" s="435"/>
    </row>
    <row r="6" spans="1:13" x14ac:dyDescent="0.25">
      <c r="A6" s="436">
        <v>5</v>
      </c>
      <c r="B6" s="437" t="s">
        <v>822</v>
      </c>
      <c r="C6" s="454" t="s">
        <v>124</v>
      </c>
      <c r="D6" s="460">
        <v>11.7</v>
      </c>
      <c r="E6" s="460">
        <v>11.7</v>
      </c>
      <c r="F6" s="445"/>
      <c r="G6" s="430"/>
      <c r="H6" s="447"/>
      <c r="I6" s="455"/>
      <c r="J6" s="456"/>
      <c r="K6" s="457"/>
    </row>
    <row r="7" spans="1:13" x14ac:dyDescent="0.25">
      <c r="A7" s="436">
        <v>6</v>
      </c>
      <c r="B7" s="458" t="s">
        <v>823</v>
      </c>
      <c r="C7" s="459" t="s">
        <v>124</v>
      </c>
      <c r="D7" s="460">
        <v>2</v>
      </c>
      <c r="E7" s="460">
        <v>2</v>
      </c>
      <c r="F7" s="445"/>
      <c r="G7" s="430"/>
      <c r="H7" s="461"/>
      <c r="I7" s="462"/>
      <c r="J7" s="463"/>
      <c r="K7" s="464"/>
    </row>
    <row r="8" spans="1:13" x14ac:dyDescent="0.25">
      <c r="A8" s="436">
        <v>6</v>
      </c>
      <c r="B8" s="437" t="s">
        <v>824</v>
      </c>
      <c r="C8" s="438" t="s">
        <v>124</v>
      </c>
      <c r="D8" s="460">
        <v>62</v>
      </c>
      <c r="E8" s="460">
        <v>61.5</v>
      </c>
      <c r="F8" s="445">
        <f>+E8</f>
        <v>61.5</v>
      </c>
      <c r="G8" s="431"/>
      <c r="H8" s="450"/>
      <c r="I8" s="465"/>
      <c r="J8" s="464"/>
      <c r="K8" s="466"/>
    </row>
    <row r="9" spans="1:13" x14ac:dyDescent="0.25">
      <c r="A9" s="436">
        <v>7</v>
      </c>
      <c r="B9" s="458" t="s">
        <v>825</v>
      </c>
      <c r="C9" s="438" t="s">
        <v>124</v>
      </c>
      <c r="D9" s="460">
        <f>+D4-D8</f>
        <v>-61.759</v>
      </c>
      <c r="E9" s="460">
        <f>+E4-E8</f>
        <v>-62.685000000000002</v>
      </c>
      <c r="F9" s="445"/>
      <c r="G9" s="431"/>
      <c r="H9" s="432"/>
      <c r="I9" s="433"/>
      <c r="J9" s="434"/>
      <c r="K9" s="435"/>
    </row>
    <row r="10" spans="1:13" x14ac:dyDescent="0.25">
      <c r="A10" s="436">
        <v>8</v>
      </c>
      <c r="B10" s="458" t="s">
        <v>826</v>
      </c>
      <c r="C10" s="438" t="s">
        <v>576</v>
      </c>
      <c r="D10" s="460">
        <v>5</v>
      </c>
      <c r="E10" s="460">
        <v>5</v>
      </c>
      <c r="F10" s="467">
        <f>+SUM(D10:E10)</f>
        <v>10</v>
      </c>
      <c r="G10" s="431"/>
      <c r="H10" s="447"/>
      <c r="I10" s="455"/>
      <c r="J10" s="456"/>
      <c r="K10" s="457"/>
    </row>
    <row r="11" spans="1:13" x14ac:dyDescent="0.25">
      <c r="A11" s="1191">
        <v>9</v>
      </c>
      <c r="B11" s="437" t="s">
        <v>827</v>
      </c>
      <c r="C11" s="454" t="s">
        <v>124</v>
      </c>
      <c r="D11" s="468">
        <v>0</v>
      </c>
      <c r="E11" s="468">
        <v>0</v>
      </c>
      <c r="F11" s="440"/>
      <c r="G11" s="431"/>
      <c r="H11" s="447"/>
      <c r="I11" s="455"/>
      <c r="J11" s="469"/>
      <c r="K11" s="457"/>
    </row>
    <row r="12" spans="1:13" x14ac:dyDescent="0.25">
      <c r="A12" s="1191"/>
      <c r="B12" s="437" t="s">
        <v>828</v>
      </c>
      <c r="C12" s="454" t="s">
        <v>124</v>
      </c>
      <c r="D12" s="468">
        <v>0</v>
      </c>
      <c r="E12" s="468">
        <v>0</v>
      </c>
      <c r="F12" s="440"/>
      <c r="G12" s="431"/>
      <c r="H12" s="461"/>
      <c r="I12" s="462"/>
      <c r="J12" s="470"/>
      <c r="K12" s="464"/>
    </row>
    <row r="13" spans="1:13" x14ac:dyDescent="0.25">
      <c r="A13" s="1191"/>
      <c r="B13" s="437" t="s">
        <v>829</v>
      </c>
      <c r="C13" s="438" t="s">
        <v>124</v>
      </c>
      <c r="D13" s="468">
        <v>0</v>
      </c>
      <c r="E13" s="468">
        <v>0</v>
      </c>
      <c r="F13" s="440"/>
      <c r="G13" s="431"/>
      <c r="H13" s="461"/>
      <c r="I13" s="462"/>
      <c r="J13" s="470"/>
      <c r="K13" s="464"/>
    </row>
    <row r="14" spans="1:13" x14ac:dyDescent="0.25">
      <c r="A14" s="471">
        <v>10</v>
      </c>
      <c r="B14" s="472" t="s">
        <v>830</v>
      </c>
      <c r="C14" s="473" t="s">
        <v>124</v>
      </c>
      <c r="D14" s="474">
        <f>+ROUND(ABS(D3-D4)+D21+D15,3)</f>
        <v>2.1</v>
      </c>
      <c r="E14" s="474">
        <f>+ROUND(ABS(E2-E4)+E21+E15,3)</f>
        <v>3.8050000000000002</v>
      </c>
      <c r="F14" s="475"/>
      <c r="G14" s="431"/>
      <c r="H14" s="461"/>
      <c r="I14" s="462"/>
      <c r="J14" s="470"/>
      <c r="K14" s="464"/>
      <c r="L14">
        <f>4/1.5</f>
        <v>2.6666666666666665</v>
      </c>
    </row>
    <row r="15" spans="1:13" x14ac:dyDescent="0.25">
      <c r="A15" s="476"/>
      <c r="B15" s="477" t="s">
        <v>831</v>
      </c>
      <c r="C15" s="478" t="s">
        <v>124</v>
      </c>
      <c r="D15" s="468">
        <v>0</v>
      </c>
      <c r="E15" s="468">
        <v>0</v>
      </c>
      <c r="F15" s="440"/>
      <c r="G15" s="431"/>
      <c r="H15" s="461"/>
      <c r="I15" s="462"/>
      <c r="J15" s="470"/>
      <c r="K15" s="464"/>
    </row>
    <row r="16" spans="1:13" x14ac:dyDescent="0.25">
      <c r="A16" s="1192" t="s">
        <v>471</v>
      </c>
      <c r="B16" s="458" t="s">
        <v>832</v>
      </c>
      <c r="C16" s="454" t="s">
        <v>124</v>
      </c>
      <c r="D16" s="468">
        <f>8.2+0.75*0.4</f>
        <v>8.5</v>
      </c>
      <c r="E16" s="468">
        <f>8.2+0.75*0.4</f>
        <v>8.5</v>
      </c>
      <c r="F16" s="440"/>
      <c r="G16" s="431"/>
      <c r="H16" s="461">
        <f>16/0.4</f>
        <v>40</v>
      </c>
      <c r="I16" s="462"/>
      <c r="J16" s="470"/>
      <c r="K16" s="464"/>
    </row>
    <row r="17" spans="1:11" x14ac:dyDescent="0.25">
      <c r="A17" s="1191"/>
      <c r="B17" s="458" t="s">
        <v>833</v>
      </c>
      <c r="C17" s="454" t="s">
        <v>124</v>
      </c>
      <c r="D17" s="468">
        <f>13.8+0.75*0.4</f>
        <v>14.100000000000001</v>
      </c>
      <c r="E17" s="468">
        <f>13.8+0.75*0.4</f>
        <v>14.100000000000001</v>
      </c>
      <c r="F17" s="440"/>
      <c r="G17" s="431"/>
      <c r="H17" s="461"/>
      <c r="I17" s="462"/>
      <c r="J17" s="470"/>
      <c r="K17" s="464"/>
    </row>
    <row r="18" spans="1:11" x14ac:dyDescent="0.25">
      <c r="A18" s="1191"/>
      <c r="B18" s="479" t="s">
        <v>834</v>
      </c>
      <c r="C18" s="480" t="s">
        <v>68</v>
      </c>
      <c r="D18" s="481">
        <f>+ROUND(D16*D17,2)</f>
        <v>119.85</v>
      </c>
      <c r="E18" s="481">
        <f>+ROUND(E16*E17,2)</f>
        <v>119.85</v>
      </c>
      <c r="F18" s="482"/>
      <c r="G18" s="431"/>
      <c r="H18" s="461"/>
      <c r="I18" s="462"/>
      <c r="J18" s="470"/>
      <c r="K18" s="464"/>
    </row>
    <row r="19" spans="1:11" x14ac:dyDescent="0.25">
      <c r="A19" s="1192" t="s">
        <v>839</v>
      </c>
      <c r="B19" s="493" t="s">
        <v>840</v>
      </c>
      <c r="C19" s="494" t="s">
        <v>124</v>
      </c>
      <c r="D19" s="495">
        <f>+D5+2*0.1</f>
        <v>6.2</v>
      </c>
      <c r="E19" s="495">
        <f>+E5+2*0.1</f>
        <v>6.2</v>
      </c>
      <c r="F19" s="496"/>
      <c r="G19" s="431"/>
      <c r="H19" s="461"/>
      <c r="I19" s="462"/>
      <c r="J19" s="470"/>
      <c r="K19" s="464"/>
    </row>
    <row r="20" spans="1:11" x14ac:dyDescent="0.25">
      <c r="A20" s="1191"/>
      <c r="B20" s="493" t="s">
        <v>841</v>
      </c>
      <c r="C20" s="494" t="s">
        <v>124</v>
      </c>
      <c r="D20" s="495">
        <f>+D6+2*0.1</f>
        <v>11.899999999999999</v>
      </c>
      <c r="E20" s="495">
        <f>+E6+2*0.1</f>
        <v>11.899999999999999</v>
      </c>
      <c r="F20" s="496"/>
      <c r="G20" s="431"/>
      <c r="H20" s="461"/>
      <c r="I20" s="462"/>
      <c r="J20" s="470"/>
      <c r="K20" s="464"/>
    </row>
    <row r="21" spans="1:11" x14ac:dyDescent="0.25">
      <c r="A21" s="1191"/>
      <c r="B21" s="493" t="s">
        <v>842</v>
      </c>
      <c r="C21" s="497" t="s">
        <v>124</v>
      </c>
      <c r="D21" s="495">
        <v>0.1</v>
      </c>
      <c r="E21" s="495">
        <v>0.1</v>
      </c>
      <c r="F21" s="496"/>
      <c r="G21" s="431"/>
      <c r="H21" s="461"/>
      <c r="I21" s="462"/>
      <c r="J21" s="470"/>
      <c r="K21" s="464"/>
    </row>
    <row r="22" spans="1:11" x14ac:dyDescent="0.25">
      <c r="A22" s="1191"/>
      <c r="B22" s="479" t="s">
        <v>843</v>
      </c>
      <c r="C22" s="480" t="s">
        <v>68</v>
      </c>
      <c r="D22" s="481">
        <f>+ROUND(D19*D20*D21,2)</f>
        <v>7.38</v>
      </c>
      <c r="E22" s="481">
        <f>+ROUND(E19*E20*E21,2)</f>
        <v>7.38</v>
      </c>
      <c r="F22" s="482"/>
      <c r="G22" s="431"/>
      <c r="H22" s="461"/>
      <c r="I22" s="462"/>
      <c r="J22" s="470"/>
      <c r="K22" s="464"/>
    </row>
    <row r="23" spans="1:11" x14ac:dyDescent="0.25">
      <c r="A23" s="498">
        <v>11</v>
      </c>
      <c r="B23" s="493" t="s">
        <v>844</v>
      </c>
      <c r="C23" s="494" t="s">
        <v>124</v>
      </c>
      <c r="D23" s="495">
        <f>+ABS(D2-D9)</f>
        <v>64</v>
      </c>
      <c r="E23" s="495">
        <f>+ABS(E2-E9)</f>
        <v>65.204999999999998</v>
      </c>
      <c r="F23" s="496"/>
      <c r="G23" s="430"/>
      <c r="H23" s="499"/>
      <c r="I23" s="499"/>
      <c r="J23" s="500"/>
      <c r="K23" s="499"/>
    </row>
    <row r="24" spans="1:11" x14ac:dyDescent="0.25">
      <c r="A24" s="498">
        <v>12</v>
      </c>
      <c r="B24" s="493" t="s">
        <v>845</v>
      </c>
      <c r="C24" s="494" t="s">
        <v>124</v>
      </c>
      <c r="D24" s="495"/>
      <c r="E24" s="495"/>
      <c r="F24" s="496"/>
      <c r="G24" s="430"/>
      <c r="H24" s="499"/>
      <c r="I24" s="499"/>
      <c r="J24" s="500"/>
      <c r="K24" s="499"/>
    </row>
    <row r="25" spans="1:11" x14ac:dyDescent="0.25">
      <c r="A25" s="498">
        <v>13</v>
      </c>
      <c r="B25" s="493" t="s">
        <v>846</v>
      </c>
      <c r="C25" s="494" t="s">
        <v>124</v>
      </c>
      <c r="D25" s="495"/>
      <c r="E25" s="495"/>
      <c r="F25" s="496"/>
      <c r="G25" s="430"/>
      <c r="H25" s="499"/>
      <c r="I25" s="499"/>
      <c r="J25" s="500"/>
      <c r="K25" s="499"/>
    </row>
    <row r="26" spans="1:11" x14ac:dyDescent="0.25">
      <c r="A26" s="498">
        <v>14</v>
      </c>
      <c r="B26" s="493" t="s">
        <v>847</v>
      </c>
      <c r="C26" s="497" t="s">
        <v>124</v>
      </c>
      <c r="D26" s="495">
        <v>0</v>
      </c>
      <c r="E26" s="495">
        <v>0</v>
      </c>
      <c r="F26" s="496"/>
      <c r="G26" s="430"/>
      <c r="H26" s="501"/>
      <c r="I26" s="501"/>
      <c r="J26" s="502"/>
      <c r="K26" s="499"/>
    </row>
    <row r="27" spans="1:11" x14ac:dyDescent="0.25">
      <c r="A27" s="498">
        <v>15</v>
      </c>
      <c r="B27" s="493" t="s">
        <v>848</v>
      </c>
      <c r="C27" s="497" t="s">
        <v>68</v>
      </c>
      <c r="D27" s="495">
        <f>(D16+2*0.75*(D2-D4+D21+0.4))*(D17+0.75*(D2-D4+D21+0.4))</f>
        <v>195.69375000000002</v>
      </c>
      <c r="E27" s="495">
        <f>17.256*14.358</f>
        <v>247.76164800000001</v>
      </c>
      <c r="F27" s="496"/>
      <c r="G27" s="430"/>
      <c r="H27" s="501"/>
      <c r="I27" s="501"/>
      <c r="J27" s="502"/>
      <c r="K27" s="499"/>
    </row>
    <row r="28" spans="1:11" x14ac:dyDescent="0.25">
      <c r="A28" s="498"/>
      <c r="B28" s="493" t="s">
        <v>849</v>
      </c>
      <c r="C28" s="497" t="s">
        <v>68</v>
      </c>
      <c r="D28" s="495">
        <f>(D16+2*0.75*(D7+D21+0.4))*(D17+0.75*(D7+D21+0.4))</f>
        <v>195.69375000000002</v>
      </c>
      <c r="E28" s="495">
        <f>(E16+2*0.75*(E7+E21+0.4))*(E17+0.75*(E7+E21+0.4))</f>
        <v>195.69375000000002</v>
      </c>
      <c r="F28" s="496"/>
      <c r="G28" s="430"/>
      <c r="H28" s="501"/>
      <c r="I28" s="501"/>
      <c r="J28" s="502"/>
      <c r="K28" s="499"/>
    </row>
    <row r="29" spans="1:11" x14ac:dyDescent="0.25">
      <c r="A29" s="498">
        <v>16</v>
      </c>
      <c r="B29" s="493" t="s">
        <v>712</v>
      </c>
      <c r="C29" s="494" t="s">
        <v>124</v>
      </c>
      <c r="D29" s="495">
        <v>8</v>
      </c>
      <c r="E29" s="495">
        <f>+D29</f>
        <v>8</v>
      </c>
      <c r="F29" s="496">
        <f>+E29</f>
        <v>8</v>
      </c>
      <c r="G29" s="430"/>
      <c r="H29" s="501"/>
      <c r="I29" s="501"/>
      <c r="J29" s="502"/>
      <c r="K29" s="499"/>
    </row>
    <row r="30" spans="1:11" x14ac:dyDescent="0.25">
      <c r="A30" s="498">
        <v>17</v>
      </c>
      <c r="B30" s="493" t="s">
        <v>850</v>
      </c>
      <c r="C30" s="497" t="s">
        <v>68</v>
      </c>
      <c r="D30" s="504">
        <v>0.3</v>
      </c>
      <c r="E30" s="504">
        <f>+D30</f>
        <v>0.3</v>
      </c>
      <c r="F30" s="505"/>
      <c r="G30" s="430"/>
      <c r="H30" s="383"/>
      <c r="I30" s="501"/>
      <c r="J30" s="502"/>
      <c r="K30" s="499"/>
    </row>
    <row r="31" spans="1:11" x14ac:dyDescent="0.25">
      <c r="A31" s="498"/>
      <c r="B31" s="493" t="s">
        <v>851</v>
      </c>
      <c r="C31" s="497" t="s">
        <v>124</v>
      </c>
      <c r="D31" s="504">
        <f>13.4*2+7.8</f>
        <v>34.6</v>
      </c>
      <c r="E31" s="504">
        <f>+D31</f>
        <v>34.6</v>
      </c>
      <c r="F31" s="505"/>
      <c r="G31" s="430"/>
      <c r="H31" s="383"/>
      <c r="I31" s="501"/>
      <c r="J31" s="502"/>
      <c r="K31" s="499"/>
    </row>
    <row r="32" spans="1:11" ht="15.75" x14ac:dyDescent="0.25">
      <c r="A32" s="498">
        <v>18</v>
      </c>
      <c r="B32" s="506" t="s">
        <v>852</v>
      </c>
      <c r="C32" s="507" t="s">
        <v>124</v>
      </c>
      <c r="D32" s="495">
        <v>10</v>
      </c>
      <c r="E32" s="495">
        <f>+D32</f>
        <v>10</v>
      </c>
      <c r="F32" s="467">
        <f>+E32</f>
        <v>10</v>
      </c>
      <c r="G32" s="508"/>
      <c r="H32" s="383"/>
      <c r="I32" s="501"/>
      <c r="J32" s="502"/>
      <c r="K32" s="499"/>
    </row>
    <row r="33" spans="1:11" ht="15.75" x14ac:dyDescent="0.25">
      <c r="A33" s="1190">
        <v>19</v>
      </c>
      <c r="B33" s="509" t="s">
        <v>708</v>
      </c>
      <c r="C33" s="510" t="s">
        <v>60</v>
      </c>
      <c r="D33" s="468">
        <v>35</v>
      </c>
      <c r="E33" s="468">
        <v>42</v>
      </c>
      <c r="F33" s="467">
        <f>+SUM(D33:E33)</f>
        <v>77</v>
      </c>
      <c r="G33" s="508"/>
      <c r="H33" s="383"/>
      <c r="I33" s="501"/>
      <c r="J33" s="502"/>
      <c r="K33" s="499"/>
    </row>
    <row r="34" spans="1:11" ht="15.75" x14ac:dyDescent="0.25">
      <c r="A34" s="1190"/>
      <c r="B34" s="509" t="s">
        <v>854</v>
      </c>
      <c r="C34" s="510" t="s">
        <v>124</v>
      </c>
      <c r="D34" s="468">
        <v>9</v>
      </c>
      <c r="E34" s="468">
        <f>+D34</f>
        <v>9</v>
      </c>
      <c r="F34" s="440">
        <f>+E34</f>
        <v>9</v>
      </c>
      <c r="G34" s="508"/>
      <c r="H34" s="383"/>
      <c r="I34" s="501"/>
      <c r="J34" s="502"/>
      <c r="K34" s="499"/>
    </row>
    <row r="35" spans="1:11" ht="15.75" x14ac:dyDescent="0.25">
      <c r="A35" s="1190"/>
      <c r="B35" s="477" t="s">
        <v>855</v>
      </c>
      <c r="C35" s="478" t="s">
        <v>856</v>
      </c>
      <c r="D35" s="468">
        <v>7.3999999999999996E-2</v>
      </c>
      <c r="E35" s="468">
        <v>7.3999999999999996E-2</v>
      </c>
      <c r="F35" s="440">
        <f>+E35</f>
        <v>7.3999999999999996E-2</v>
      </c>
      <c r="G35" s="508"/>
      <c r="H35" s="383"/>
      <c r="I35" s="499"/>
      <c r="J35" s="500"/>
      <c r="K35" s="499"/>
    </row>
    <row r="36" spans="1:11" ht="15.75" x14ac:dyDescent="0.25">
      <c r="A36" s="1190"/>
      <c r="B36" s="477" t="s">
        <v>857</v>
      </c>
      <c r="C36" s="478" t="s">
        <v>124</v>
      </c>
      <c r="D36" s="468">
        <v>0.36</v>
      </c>
      <c r="E36" s="468">
        <v>0.36</v>
      </c>
      <c r="F36" s="440"/>
      <c r="G36" s="508"/>
      <c r="H36" s="383"/>
      <c r="I36" s="499"/>
      <c r="J36" s="500"/>
      <c r="K36" s="499"/>
    </row>
    <row r="37" spans="1:11" ht="15.75" x14ac:dyDescent="0.25">
      <c r="A37" s="1190">
        <v>20</v>
      </c>
      <c r="B37" s="509" t="s">
        <v>858</v>
      </c>
      <c r="C37" s="510" t="s">
        <v>60</v>
      </c>
      <c r="D37" s="468">
        <v>3</v>
      </c>
      <c r="E37" s="468">
        <v>3</v>
      </c>
      <c r="F37" s="467">
        <f>+SUM(D37:E37)</f>
        <v>6</v>
      </c>
      <c r="G37" s="508"/>
      <c r="H37" s="383"/>
      <c r="I37" s="499"/>
      <c r="J37" s="500"/>
      <c r="K37" s="499"/>
    </row>
    <row r="38" spans="1:11" ht="15.75" x14ac:dyDescent="0.25">
      <c r="A38" s="1190"/>
      <c r="B38" s="509" t="s">
        <v>859</v>
      </c>
      <c r="C38" s="510" t="s">
        <v>124</v>
      </c>
      <c r="D38" s="468">
        <f>+D34</f>
        <v>9</v>
      </c>
      <c r="E38" s="468">
        <f>+D38</f>
        <v>9</v>
      </c>
      <c r="F38" s="440">
        <f t="shared" ref="F38:F43" si="0">+E38</f>
        <v>9</v>
      </c>
      <c r="G38" s="508"/>
      <c r="H38" s="383"/>
      <c r="I38" s="499"/>
      <c r="J38" s="500"/>
      <c r="K38" s="499"/>
    </row>
    <row r="39" spans="1:11" x14ac:dyDescent="0.25">
      <c r="A39" s="1190"/>
      <c r="B39" s="477" t="s">
        <v>860</v>
      </c>
      <c r="C39" s="478" t="s">
        <v>856</v>
      </c>
      <c r="D39" s="511">
        <f>39.2*2/1000</f>
        <v>7.8400000000000011E-2</v>
      </c>
      <c r="E39" s="511">
        <f>39.2*2/1000</f>
        <v>7.8400000000000011E-2</v>
      </c>
      <c r="F39" s="512">
        <f t="shared" si="0"/>
        <v>7.8400000000000011E-2</v>
      </c>
      <c r="G39" s="430"/>
      <c r="H39" s="383"/>
      <c r="I39" s="499"/>
      <c r="J39" s="500"/>
      <c r="K39" s="499"/>
    </row>
    <row r="40" spans="1:11" x14ac:dyDescent="0.25">
      <c r="A40" s="1190">
        <v>21</v>
      </c>
      <c r="B40" s="509" t="s">
        <v>861</v>
      </c>
      <c r="C40" s="510" t="s">
        <v>124</v>
      </c>
      <c r="D40" s="468">
        <f>14.7*2</f>
        <v>29.4</v>
      </c>
      <c r="E40" s="468">
        <f>16.8*2</f>
        <v>33.6</v>
      </c>
      <c r="F40" s="467">
        <f t="shared" si="0"/>
        <v>33.6</v>
      </c>
      <c r="G40" s="430"/>
      <c r="H40" s="383"/>
      <c r="I40" s="499"/>
      <c r="J40" s="500"/>
      <c r="K40" s="499"/>
    </row>
    <row r="41" spans="1:11" x14ac:dyDescent="0.25">
      <c r="A41" s="1190"/>
      <c r="B41" s="477" t="s">
        <v>862</v>
      </c>
      <c r="C41" s="478" t="s">
        <v>856</v>
      </c>
      <c r="D41" s="511">
        <f>39.2*2/1000</f>
        <v>7.8400000000000011E-2</v>
      </c>
      <c r="E41" s="511">
        <f>39.2*2/1000</f>
        <v>7.8400000000000011E-2</v>
      </c>
      <c r="F41" s="512">
        <f t="shared" si="0"/>
        <v>7.8400000000000011E-2</v>
      </c>
      <c r="G41" s="430"/>
      <c r="H41" s="383"/>
      <c r="I41" s="499"/>
      <c r="J41" s="500"/>
      <c r="K41" s="499"/>
    </row>
    <row r="42" spans="1:11" x14ac:dyDescent="0.25">
      <c r="A42" s="1196">
        <v>22</v>
      </c>
      <c r="B42" s="509" t="s">
        <v>863</v>
      </c>
      <c r="C42" s="510" t="s">
        <v>124</v>
      </c>
      <c r="D42" s="468">
        <v>0</v>
      </c>
      <c r="E42" s="468">
        <v>0</v>
      </c>
      <c r="F42" s="467">
        <f t="shared" si="0"/>
        <v>0</v>
      </c>
      <c r="G42" s="430"/>
      <c r="H42" s="383"/>
      <c r="I42" s="499"/>
      <c r="J42" s="500"/>
      <c r="K42" s="499"/>
    </row>
    <row r="43" spans="1:11" ht="15.75" thickBot="1" x14ac:dyDescent="0.3">
      <c r="A43" s="1197"/>
      <c r="B43" s="513" t="s">
        <v>864</v>
      </c>
      <c r="C43" s="514" t="s">
        <v>856</v>
      </c>
      <c r="D43" s="515">
        <f>39.2*2/1000</f>
        <v>7.8400000000000011E-2</v>
      </c>
      <c r="E43" s="515">
        <f>39.2*2/1000</f>
        <v>7.8400000000000011E-2</v>
      </c>
      <c r="F43" s="516">
        <f t="shared" si="0"/>
        <v>7.8400000000000011E-2</v>
      </c>
      <c r="G43" s="430"/>
      <c r="H43" s="383"/>
      <c r="I43" s="499"/>
      <c r="J43" s="500"/>
      <c r="K43" s="499"/>
    </row>
    <row r="44" spans="1:11" ht="18.75" thickTop="1" thickBot="1" x14ac:dyDescent="0.35">
      <c r="A44" s="517" t="s">
        <v>907</v>
      </c>
      <c r="B44" s="517"/>
      <c r="C44" s="517"/>
      <c r="D44" s="518">
        <v>2.95</v>
      </c>
      <c r="E44" s="519">
        <v>1.67</v>
      </c>
      <c r="F44" s="520" t="s">
        <v>866</v>
      </c>
      <c r="G44" s="521"/>
      <c r="H44" s="499"/>
      <c r="I44" s="499"/>
      <c r="J44" s="500"/>
      <c r="K44" s="499"/>
    </row>
    <row r="45" spans="1:11" ht="15.75" thickTop="1" x14ac:dyDescent="0.25">
      <c r="A45" s="1198" t="s">
        <v>867</v>
      </c>
      <c r="B45" s="1199" t="s">
        <v>547</v>
      </c>
      <c r="C45" s="1199" t="s">
        <v>715</v>
      </c>
      <c r="D45" s="1199" t="s">
        <v>555</v>
      </c>
      <c r="E45" s="1199"/>
      <c r="F45" s="1199" t="s">
        <v>674</v>
      </c>
      <c r="G45" s="1193" t="s">
        <v>613</v>
      </c>
      <c r="H45" s="499"/>
      <c r="I45" s="499"/>
      <c r="J45" s="500"/>
      <c r="K45" s="499"/>
    </row>
    <row r="46" spans="1:11" x14ac:dyDescent="0.25">
      <c r="A46" s="1198"/>
      <c r="B46" s="1199"/>
      <c r="C46" s="1199"/>
      <c r="D46" s="522" t="s">
        <v>908</v>
      </c>
      <c r="E46" s="522" t="s">
        <v>909</v>
      </c>
      <c r="F46" s="1199"/>
      <c r="G46" s="1194"/>
      <c r="H46" s="499"/>
      <c r="I46" s="499"/>
      <c r="J46" s="500"/>
      <c r="K46" s="499"/>
    </row>
    <row r="47" spans="1:11" ht="15.95" customHeight="1" x14ac:dyDescent="0.25">
      <c r="A47" s="526">
        <v>1</v>
      </c>
      <c r="B47" s="525" t="s">
        <v>910</v>
      </c>
      <c r="C47" s="526" t="s">
        <v>10</v>
      </c>
      <c r="D47" s="531">
        <f>+ROUND((23.21+15.83)/2*8.2+15.83/2*9.7+23.21*2.5/2,2)</f>
        <v>265.85000000000002</v>
      </c>
      <c r="E47" s="531">
        <f>+ROUND(6.78*7.3/2+2.4*6.73/2,2)</f>
        <v>32.82</v>
      </c>
      <c r="F47" s="531">
        <f>+SUM(D47:E47)</f>
        <v>298.67</v>
      </c>
      <c r="G47" s="530"/>
      <c r="H47" s="499"/>
      <c r="I47" s="499"/>
      <c r="J47" s="500"/>
      <c r="K47" s="499"/>
    </row>
    <row r="48" spans="1:11" ht="15.95" customHeight="1" x14ac:dyDescent="0.25">
      <c r="A48" s="526">
        <v>2</v>
      </c>
      <c r="B48" s="525" t="s">
        <v>872</v>
      </c>
      <c r="C48" s="526"/>
      <c r="D48" s="531"/>
      <c r="E48" s="531"/>
      <c r="F48" s="531"/>
      <c r="G48" s="530"/>
      <c r="H48" s="499"/>
      <c r="I48" s="499"/>
      <c r="J48" s="500"/>
      <c r="K48" s="499"/>
    </row>
    <row r="49" spans="1:11" ht="30.75" customHeight="1" x14ac:dyDescent="0.25">
      <c r="A49" s="526" t="s">
        <v>720</v>
      </c>
      <c r="B49" s="533" t="s">
        <v>911</v>
      </c>
      <c r="C49" s="534" t="s">
        <v>874</v>
      </c>
      <c r="D49" s="535" t="str">
        <f>1&amp;"/"&amp;ROUND(PI()*(0.655^2-0.65^2)*8*7.85,2)</f>
        <v>1/1,29</v>
      </c>
      <c r="E49" s="535" t="str">
        <f>1&amp;"/"&amp;ROUND(PI()*(0.655^2-0.65^2)*8*7.85,2)</f>
        <v>1/1,29</v>
      </c>
      <c r="F49" s="535" t="str">
        <f>+D49</f>
        <v>1/1,29</v>
      </c>
      <c r="G49" s="538"/>
      <c r="H49" s="499"/>
      <c r="I49" s="499"/>
      <c r="J49" s="500"/>
      <c r="K49" s="499"/>
    </row>
    <row r="50" spans="1:11" ht="15.95" customHeight="1" x14ac:dyDescent="0.25">
      <c r="A50" s="526" t="s">
        <v>720</v>
      </c>
      <c r="B50" s="525" t="s">
        <v>875</v>
      </c>
      <c r="C50" s="522" t="s">
        <v>725</v>
      </c>
      <c r="D50" s="539" t="str">
        <f>D10&amp;"/"&amp;D10*D29</f>
        <v>5/40</v>
      </c>
      <c r="E50" s="539" t="str">
        <f>E10&amp;"/"&amp;E10*E29</f>
        <v>5/40</v>
      </c>
      <c r="F50" s="539" t="str">
        <f>F10&amp;"/"&amp;F10*F29</f>
        <v>10/80</v>
      </c>
      <c r="G50" s="538"/>
      <c r="H50" s="499"/>
      <c r="I50" s="499"/>
      <c r="J50" s="500"/>
      <c r="K50" s="499"/>
    </row>
    <row r="51" spans="1:11" ht="15.95" customHeight="1" x14ac:dyDescent="0.25">
      <c r="A51" s="526" t="s">
        <v>720</v>
      </c>
      <c r="B51" s="542" t="s">
        <v>876</v>
      </c>
      <c r="C51" s="522" t="s">
        <v>124</v>
      </c>
      <c r="D51" s="539">
        <f>+ROUND(D10*D23,2)</f>
        <v>320</v>
      </c>
      <c r="E51" s="539">
        <f>+ROUND(E10*E23,2)</f>
        <v>326.02999999999997</v>
      </c>
      <c r="F51" s="539">
        <f>+SUM(D51:E51)</f>
        <v>646.03</v>
      </c>
      <c r="G51" s="543"/>
      <c r="H51" s="499"/>
      <c r="I51" s="499"/>
      <c r="J51" s="500"/>
      <c r="K51" s="499"/>
    </row>
    <row r="52" spans="1:11" ht="15.95" customHeight="1" x14ac:dyDescent="0.25">
      <c r="A52" s="526" t="s">
        <v>720</v>
      </c>
      <c r="B52" s="542" t="s">
        <v>877</v>
      </c>
      <c r="C52" s="522" t="s">
        <v>10</v>
      </c>
      <c r="D52" s="539">
        <f>+ROUND(D51*PI()*0.6^2,2)</f>
        <v>361.91</v>
      </c>
      <c r="E52" s="539">
        <f>+ROUND(E51*PI()*0.6^2,2)</f>
        <v>368.73</v>
      </c>
      <c r="F52" s="539">
        <f>+SUM(D52:E52)</f>
        <v>730.6400000000001</v>
      </c>
      <c r="G52" s="543"/>
      <c r="H52" s="499"/>
      <c r="I52" s="499"/>
      <c r="J52" s="500"/>
      <c r="K52" s="499"/>
    </row>
    <row r="53" spans="1:11" ht="15.95" hidden="1" customHeight="1" x14ac:dyDescent="0.25">
      <c r="A53" s="526" t="s">
        <v>720</v>
      </c>
      <c r="B53" s="542" t="s">
        <v>878</v>
      </c>
      <c r="C53" s="522" t="s">
        <v>124</v>
      </c>
      <c r="D53" s="539">
        <f>+ROUND($D$10*D25,2)</f>
        <v>0</v>
      </c>
      <c r="E53" s="539">
        <f>+ROUND($D$10*E25,2)</f>
        <v>0</v>
      </c>
      <c r="F53" s="539">
        <f>+SUM(D53:E53)</f>
        <v>0</v>
      </c>
      <c r="G53" s="543"/>
      <c r="H53" s="499"/>
      <c r="I53" s="499"/>
      <c r="J53" s="500"/>
      <c r="K53" s="499"/>
    </row>
    <row r="54" spans="1:11" ht="15.95" customHeight="1" x14ac:dyDescent="0.25">
      <c r="A54" s="526" t="s">
        <v>720</v>
      </c>
      <c r="B54" s="525" t="s">
        <v>727</v>
      </c>
      <c r="C54" s="522" t="s">
        <v>40</v>
      </c>
      <c r="D54" s="544"/>
      <c r="E54" s="544" t="str">
        <f>1&amp;"/"&amp;1*1</f>
        <v>1/1</v>
      </c>
      <c r="F54" s="544" t="str">
        <f>2&amp;"/"&amp;2*1</f>
        <v>2/2</v>
      </c>
      <c r="G54" s="543"/>
      <c r="H54" s="499"/>
      <c r="I54" s="499"/>
      <c r="J54" s="500"/>
      <c r="K54" s="499"/>
    </row>
    <row r="55" spans="1:11" ht="15.95" customHeight="1" x14ac:dyDescent="0.25">
      <c r="A55" s="526" t="s">
        <v>720</v>
      </c>
      <c r="B55" s="525" t="s">
        <v>879</v>
      </c>
      <c r="C55" s="522" t="s">
        <v>40</v>
      </c>
      <c r="D55" s="371" t="str">
        <f>D10&amp;"/"&amp;D10*(D8+1.15)</f>
        <v>5/315,75</v>
      </c>
      <c r="E55" s="371" t="str">
        <f>E10&amp;"/"&amp;E10*(E8+1.15)</f>
        <v>5/313,25</v>
      </c>
      <c r="F55" s="371" t="str">
        <f>D10+E10&amp;"/"&amp;D10*(D8+1.15)+E10*(E8+1.15)</f>
        <v>10/629</v>
      </c>
      <c r="G55" s="543"/>
      <c r="H55" s="499"/>
      <c r="I55" s="499"/>
      <c r="J55" s="500"/>
      <c r="K55" s="499"/>
    </row>
    <row r="56" spans="1:11" ht="15.95" customHeight="1" x14ac:dyDescent="0.25">
      <c r="A56" s="526" t="s">
        <v>720</v>
      </c>
      <c r="B56" s="525" t="s">
        <v>880</v>
      </c>
      <c r="C56" s="522" t="s">
        <v>10</v>
      </c>
      <c r="D56" s="371">
        <f>ROUND(PI()*0.6^2*1*D10,2)</f>
        <v>5.65</v>
      </c>
      <c r="E56" s="371">
        <f>ROUND(PI()*0.6^2*1*E10,2)</f>
        <v>5.65</v>
      </c>
      <c r="F56" s="539">
        <f>+SUM(D56:E56)</f>
        <v>11.3</v>
      </c>
      <c r="G56" s="543"/>
      <c r="H56" s="499"/>
      <c r="I56" s="499"/>
      <c r="J56" s="500"/>
      <c r="K56" s="499"/>
    </row>
    <row r="57" spans="1:11" ht="15.95" customHeight="1" x14ac:dyDescent="0.25">
      <c r="A57" s="526" t="s">
        <v>720</v>
      </c>
      <c r="B57" s="525" t="s">
        <v>732</v>
      </c>
      <c r="C57" s="522" t="s">
        <v>137</v>
      </c>
      <c r="D57" s="371">
        <v>1</v>
      </c>
      <c r="E57" s="371">
        <v>1</v>
      </c>
      <c r="F57" s="539">
        <f>+SUM(D57:E57)</f>
        <v>2</v>
      </c>
      <c r="G57" s="543"/>
      <c r="H57" s="499"/>
      <c r="I57" s="499"/>
      <c r="J57" s="500"/>
      <c r="K57" s="499"/>
    </row>
    <row r="58" spans="1:11" ht="15.95" customHeight="1" x14ac:dyDescent="0.25">
      <c r="A58" s="526" t="s">
        <v>720</v>
      </c>
      <c r="B58" s="525" t="s">
        <v>881</v>
      </c>
      <c r="C58" s="522" t="s">
        <v>10</v>
      </c>
      <c r="D58" s="371">
        <f>ROUND(0.6^2*PI()*(D2-D9+0.3)*D10,2)</f>
        <v>363.61</v>
      </c>
      <c r="E58" s="371">
        <f>ROUND(0.6^2*PI()*(E2-E9+0.3)*E10,2)</f>
        <v>370.42</v>
      </c>
      <c r="F58" s="539">
        <f>+SUM(D58:E58)</f>
        <v>734.03</v>
      </c>
      <c r="G58" s="543"/>
      <c r="H58" s="499"/>
      <c r="I58" s="499"/>
      <c r="J58" s="500"/>
      <c r="K58" s="499"/>
    </row>
    <row r="59" spans="1:11" ht="15.95" customHeight="1" x14ac:dyDescent="0.25">
      <c r="A59" s="526">
        <v>3</v>
      </c>
      <c r="B59" s="525" t="s">
        <v>882</v>
      </c>
      <c r="C59" s="522"/>
      <c r="D59" s="371"/>
      <c r="E59" s="371"/>
      <c r="F59" s="539"/>
      <c r="G59" s="543"/>
      <c r="H59" s="499"/>
      <c r="I59" s="499"/>
      <c r="J59" s="500"/>
      <c r="K59" s="499"/>
    </row>
    <row r="60" spans="1:11" ht="15.95" customHeight="1" x14ac:dyDescent="0.25">
      <c r="A60" s="526" t="s">
        <v>720</v>
      </c>
      <c r="B60" s="379" t="s">
        <v>883</v>
      </c>
      <c r="C60" s="370" t="s">
        <v>10</v>
      </c>
      <c r="D60" s="371">
        <f>ROUND((D18+D27)*D14/2+D30*D31-D10*PI()*0.6^2*(D2-D4+D21),2)</f>
        <v>329.83</v>
      </c>
      <c r="E60" s="371">
        <f>ROUND((E18+E27)*E14/2+E30*E31-E10*PI()*0.6^2*(E2-E4+E21),2)</f>
        <v>688.24</v>
      </c>
      <c r="F60" s="539">
        <f t="shared" ref="F60:F67" si="1">+SUM(D60:E60)</f>
        <v>1018.0699999999999</v>
      </c>
      <c r="G60" s="543"/>
      <c r="H60" s="499"/>
      <c r="I60" s="499"/>
      <c r="J60" s="500"/>
      <c r="K60" s="499"/>
    </row>
    <row r="61" spans="1:11" ht="15.95" customHeight="1" x14ac:dyDescent="0.25">
      <c r="A61" s="526" t="s">
        <v>720</v>
      </c>
      <c r="B61" s="379" t="s">
        <v>884</v>
      </c>
      <c r="C61" s="370" t="s">
        <v>10</v>
      </c>
      <c r="D61" s="371">
        <f>+ROUND((D18+D28)*(D7+D21)/2+D30*D31-D5*D6*D7-D18*D15-D22,2)</f>
        <v>193.92</v>
      </c>
      <c r="E61" s="371">
        <f>+ROUND((E18+E28)*(E7+E21)/2+E30*E31-E5*E6*E7-E18*E15-E22,2)</f>
        <v>193.92</v>
      </c>
      <c r="F61" s="539">
        <f t="shared" si="1"/>
        <v>387.84</v>
      </c>
      <c r="G61" s="543"/>
      <c r="H61" s="499"/>
      <c r="I61" s="499"/>
      <c r="J61" s="500"/>
      <c r="K61" s="499"/>
    </row>
    <row r="62" spans="1:11" ht="15.95" customHeight="1" x14ac:dyDescent="0.25">
      <c r="A62" s="526" t="s">
        <v>720</v>
      </c>
      <c r="B62" s="379" t="s">
        <v>885</v>
      </c>
      <c r="C62" s="376" t="s">
        <v>764</v>
      </c>
      <c r="D62" s="388" t="str">
        <f>D33&amp;"/"&amp;D33*D32&amp;"/"&amp;ROUND(D33*D32*D35,2)</f>
        <v>35/350/25,9</v>
      </c>
      <c r="E62" s="388" t="str">
        <f>E33&amp;"/"&amp;E33*E32&amp;"/"&amp;ROUND(E33*E32*E35,2)</f>
        <v>42/420/31,08</v>
      </c>
      <c r="F62" s="539">
        <f t="shared" si="1"/>
        <v>0</v>
      </c>
      <c r="G62" s="550"/>
      <c r="H62" s="499"/>
      <c r="I62" s="499"/>
      <c r="J62" s="500"/>
      <c r="K62" s="499"/>
    </row>
    <row r="63" spans="1:11" ht="15.95" customHeight="1" x14ac:dyDescent="0.25">
      <c r="A63" s="526" t="s">
        <v>720</v>
      </c>
      <c r="B63" s="379" t="s">
        <v>886</v>
      </c>
      <c r="C63" s="376" t="s">
        <v>40</v>
      </c>
      <c r="D63" s="388" t="str">
        <f>D33&amp;"/"&amp;ROUND(D33*D38,2)</f>
        <v>35/315</v>
      </c>
      <c r="E63" s="388" t="str">
        <f>E33&amp;"/"&amp;ROUND(E33*E38,2)</f>
        <v>42/378</v>
      </c>
      <c r="F63" s="539">
        <f t="shared" si="1"/>
        <v>0</v>
      </c>
      <c r="G63" s="550"/>
      <c r="H63" s="499"/>
      <c r="I63" s="499"/>
      <c r="J63" s="500"/>
      <c r="K63" s="499"/>
    </row>
    <row r="64" spans="1:11" ht="15.95" customHeight="1" x14ac:dyDescent="0.25">
      <c r="A64" s="526" t="s">
        <v>720</v>
      </c>
      <c r="B64" s="379" t="s">
        <v>887</v>
      </c>
      <c r="C64" s="376" t="s">
        <v>764</v>
      </c>
      <c r="D64" s="388" t="str">
        <f>D37&amp;"/"&amp;D37*D32&amp;"/"&amp;ROUND(D37*D32*D39,2)</f>
        <v>3/30/2,35</v>
      </c>
      <c r="E64" s="388" t="str">
        <f>E37&amp;"/"&amp;E37*E32&amp;"/"&amp;ROUND(E37*E32*E39,2)</f>
        <v>3/30/2,35</v>
      </c>
      <c r="F64" s="539">
        <f t="shared" si="1"/>
        <v>0</v>
      </c>
      <c r="G64" s="550"/>
      <c r="H64" s="499"/>
      <c r="I64" s="499"/>
      <c r="J64" s="500"/>
      <c r="K64" s="499"/>
    </row>
    <row r="65" spans="1:11" ht="15.95" customHeight="1" x14ac:dyDescent="0.25">
      <c r="A65" s="526" t="s">
        <v>720</v>
      </c>
      <c r="B65" s="379" t="s">
        <v>888</v>
      </c>
      <c r="C65" s="376" t="s">
        <v>40</v>
      </c>
      <c r="D65" s="388" t="str">
        <f>D37&amp;"/"&amp;ROUND(D37*D38,2)</f>
        <v>3/27</v>
      </c>
      <c r="E65" s="388" t="str">
        <f>E37&amp;"/"&amp;ROUND(E37*E38,2)</f>
        <v>3/27</v>
      </c>
      <c r="F65" s="539">
        <f t="shared" si="1"/>
        <v>0</v>
      </c>
      <c r="G65" s="550"/>
      <c r="H65" s="499"/>
      <c r="I65" s="499"/>
      <c r="J65" s="500"/>
      <c r="K65" s="499"/>
    </row>
    <row r="66" spans="1:11" ht="15.95" customHeight="1" x14ac:dyDescent="0.25">
      <c r="A66" s="526" t="s">
        <v>720</v>
      </c>
      <c r="B66" s="379" t="s">
        <v>889</v>
      </c>
      <c r="C66" s="376" t="s">
        <v>746</v>
      </c>
      <c r="D66" s="388" t="str">
        <f>(D40+D42)&amp;"/"&amp;ROUND((D40+D42)*D43,2)</f>
        <v>29,4/2,3</v>
      </c>
      <c r="E66" s="388" t="str">
        <f>(E40+E42)&amp;"/"&amp;ROUND((E40+E42)*E43,2)</f>
        <v>33,6/2,63</v>
      </c>
      <c r="F66" s="539">
        <f t="shared" si="1"/>
        <v>0</v>
      </c>
      <c r="G66" s="550"/>
      <c r="H66" s="499"/>
      <c r="I66" s="499"/>
      <c r="J66" s="500"/>
      <c r="K66" s="499"/>
    </row>
    <row r="67" spans="1:11" ht="15.95" hidden="1" customHeight="1" x14ac:dyDescent="0.25">
      <c r="A67" s="526" t="s">
        <v>720</v>
      </c>
      <c r="B67" s="379" t="s">
        <v>890</v>
      </c>
      <c r="C67" s="376" t="s">
        <v>10</v>
      </c>
      <c r="D67" s="388">
        <f>ROUND(D15*D18,2)</f>
        <v>0</v>
      </c>
      <c r="E67" s="388">
        <f>ROUND(E15*E18,2)</f>
        <v>0</v>
      </c>
      <c r="F67" s="539">
        <f t="shared" si="1"/>
        <v>0</v>
      </c>
      <c r="G67" s="551"/>
      <c r="H67" s="499"/>
      <c r="I67" s="499"/>
      <c r="J67" s="500"/>
      <c r="K67" s="499"/>
    </row>
    <row r="68" spans="1:11" ht="15.95" customHeight="1" x14ac:dyDescent="0.25">
      <c r="A68" s="526" t="s">
        <v>720</v>
      </c>
      <c r="B68" s="379" t="s">
        <v>891</v>
      </c>
      <c r="C68" s="522" t="s">
        <v>116</v>
      </c>
      <c r="D68" s="388">
        <f>+'[3]Khung chong be'!I8</f>
        <v>3.2399999999999998</v>
      </c>
      <c r="E68" s="388">
        <f>+'[3]Khung chong be'!I8</f>
        <v>3.2399999999999998</v>
      </c>
      <c r="F68" s="539">
        <f>+E68</f>
        <v>3.2399999999999998</v>
      </c>
      <c r="G68" s="551"/>
      <c r="H68" s="499"/>
      <c r="I68" s="499"/>
      <c r="J68" s="500"/>
      <c r="K68" s="499"/>
    </row>
    <row r="69" spans="1:11" ht="15.95" customHeight="1" x14ac:dyDescent="0.25">
      <c r="A69" s="526" t="s">
        <v>720</v>
      </c>
      <c r="B69" s="379" t="s">
        <v>892</v>
      </c>
      <c r="C69" s="522" t="s">
        <v>893</v>
      </c>
      <c r="D69" s="388">
        <f>5*2</f>
        <v>10</v>
      </c>
      <c r="E69" s="388">
        <f>5*2</f>
        <v>10</v>
      </c>
      <c r="F69" s="539">
        <f>+E69</f>
        <v>10</v>
      </c>
      <c r="G69" s="551"/>
      <c r="H69" s="499"/>
      <c r="I69" s="499"/>
      <c r="J69" s="500"/>
      <c r="K69" s="499"/>
    </row>
    <row r="70" spans="1:11" ht="15.95" customHeight="1" x14ac:dyDescent="0.25">
      <c r="A70" s="526" t="s">
        <v>720</v>
      </c>
      <c r="B70" s="525" t="s">
        <v>755</v>
      </c>
      <c r="C70" s="522" t="s">
        <v>10</v>
      </c>
      <c r="D70" s="388">
        <v>0.5</v>
      </c>
      <c r="E70" s="388">
        <v>0.5</v>
      </c>
      <c r="F70" s="539">
        <f>+E70</f>
        <v>0.5</v>
      </c>
      <c r="G70" s="551"/>
      <c r="H70" s="499"/>
      <c r="I70" s="499"/>
      <c r="J70" s="500"/>
      <c r="K70" s="499"/>
    </row>
    <row r="71" spans="1:11" ht="15.95" customHeight="1" x14ac:dyDescent="0.25">
      <c r="A71" s="526" t="s">
        <v>720</v>
      </c>
      <c r="B71" s="379" t="s">
        <v>754</v>
      </c>
      <c r="C71" s="376" t="s">
        <v>127</v>
      </c>
      <c r="D71" s="539">
        <v>5</v>
      </c>
      <c r="E71" s="539">
        <v>5</v>
      </c>
      <c r="F71" s="539">
        <f>+SUM(D71:E71)</f>
        <v>10</v>
      </c>
      <c r="G71" s="551"/>
      <c r="H71" s="499"/>
      <c r="I71" s="499"/>
      <c r="J71" s="500"/>
      <c r="K71" s="499"/>
    </row>
    <row r="72" spans="1:11" ht="15.95" customHeight="1" x14ac:dyDescent="0.25">
      <c r="A72" s="526">
        <v>4</v>
      </c>
      <c r="B72" s="525" t="s">
        <v>912</v>
      </c>
      <c r="C72" s="122"/>
      <c r="D72" s="207"/>
      <c r="E72" s="552"/>
      <c r="F72" s="207"/>
      <c r="G72" s="551"/>
      <c r="H72" s="499"/>
      <c r="I72" s="499"/>
      <c r="J72" s="500"/>
      <c r="K72" s="499"/>
    </row>
    <row r="73" spans="1:11" ht="15.95" customHeight="1" x14ac:dyDescent="0.25">
      <c r="A73" s="526" t="s">
        <v>720</v>
      </c>
      <c r="B73" s="525" t="s">
        <v>913</v>
      </c>
      <c r="C73" s="522" t="s">
        <v>116</v>
      </c>
      <c r="D73" s="531">
        <f>+'[3]Khung chong than+xamu'!P13</f>
        <v>4.29</v>
      </c>
      <c r="E73" s="531">
        <f>+'[3]Khung chong than+xamu'!P13</f>
        <v>4.29</v>
      </c>
      <c r="F73" s="539">
        <f>+E73</f>
        <v>4.29</v>
      </c>
      <c r="G73" s="551"/>
      <c r="H73" s="499"/>
      <c r="I73" s="499"/>
      <c r="J73" s="500"/>
      <c r="K73" s="499"/>
    </row>
    <row r="74" spans="1:11" ht="15.95" customHeight="1" x14ac:dyDescent="0.25">
      <c r="A74" s="526" t="s">
        <v>720</v>
      </c>
      <c r="B74" s="525" t="s">
        <v>896</v>
      </c>
      <c r="C74" s="522" t="s">
        <v>10</v>
      </c>
      <c r="D74" s="527">
        <v>1.8</v>
      </c>
      <c r="E74" s="527">
        <v>1.8</v>
      </c>
      <c r="F74" s="527">
        <f>+E74</f>
        <v>1.8</v>
      </c>
      <c r="G74" s="561"/>
      <c r="H74" s="499"/>
      <c r="I74" s="1195">
        <f>88*0.075</f>
        <v>6.6</v>
      </c>
      <c r="J74" s="1195"/>
      <c r="K74" s="499"/>
    </row>
    <row r="75" spans="1:11" ht="15.75" hidden="1" thickBot="1" x14ac:dyDescent="0.3">
      <c r="A75" s="581" t="s">
        <v>720</v>
      </c>
      <c r="B75" s="582" t="s">
        <v>897</v>
      </c>
      <c r="C75" s="583" t="s">
        <v>10</v>
      </c>
      <c r="D75" s="584"/>
      <c r="E75" s="584"/>
      <c r="F75" s="567">
        <f>+SUM(D75:E75)</f>
        <v>0</v>
      </c>
      <c r="G75" s="568"/>
      <c r="H75" s="499"/>
      <c r="I75" s="499"/>
      <c r="J75" s="500"/>
      <c r="K75" s="499"/>
    </row>
    <row r="76" spans="1:11" x14ac:dyDescent="0.25">
      <c r="A76" s="569"/>
      <c r="B76" s="570"/>
      <c r="C76" s="462"/>
      <c r="D76" s="571"/>
      <c r="E76" s="571"/>
      <c r="F76" s="571"/>
      <c r="G76" s="446"/>
      <c r="H76" s="499"/>
      <c r="I76" s="499"/>
      <c r="J76" s="500"/>
      <c r="K76" s="499"/>
    </row>
    <row r="77" spans="1:11" x14ac:dyDescent="0.25">
      <c r="A77" s="500"/>
      <c r="B77" s="570" t="s">
        <v>898</v>
      </c>
      <c r="C77" s="500"/>
      <c r="D77" s="500"/>
      <c r="E77" s="572"/>
      <c r="F77" s="500"/>
      <c r="G77" s="499"/>
      <c r="H77" s="499"/>
      <c r="I77" s="499"/>
      <c r="J77" s="500"/>
      <c r="K77" s="499"/>
    </row>
    <row r="78" spans="1:11" x14ac:dyDescent="0.25">
      <c r="A78" s="500"/>
      <c r="B78" s="573" t="s">
        <v>899</v>
      </c>
      <c r="C78" s="500"/>
      <c r="D78" s="500">
        <f>1300+10</f>
        <v>1310</v>
      </c>
      <c r="E78" s="572">
        <v>1300</v>
      </c>
      <c r="F78" s="500"/>
      <c r="G78" s="499"/>
      <c r="H78" s="499"/>
      <c r="I78" s="499"/>
      <c r="J78" s="500"/>
      <c r="K78" s="499"/>
    </row>
    <row r="79" spans="1:11" x14ac:dyDescent="0.25">
      <c r="A79" s="500"/>
      <c r="B79" s="499" t="s">
        <v>900</v>
      </c>
      <c r="C79" s="500"/>
      <c r="D79" s="500">
        <f>+D78/2</f>
        <v>655</v>
      </c>
      <c r="E79" s="572">
        <f>+E78/2</f>
        <v>650</v>
      </c>
      <c r="F79" s="500"/>
      <c r="G79" s="499"/>
      <c r="H79" s="499"/>
      <c r="I79" s="499"/>
      <c r="J79" s="500"/>
      <c r="K79" s="499"/>
    </row>
    <row r="80" spans="1:11" x14ac:dyDescent="0.25">
      <c r="A80" s="500"/>
      <c r="B80" s="573" t="s">
        <v>901</v>
      </c>
      <c r="C80" s="500"/>
      <c r="D80" s="500"/>
      <c r="E80" s="572"/>
      <c r="F80" s="500"/>
      <c r="G80" s="499"/>
      <c r="H80" s="499"/>
      <c r="I80" s="499"/>
      <c r="J80" s="500"/>
      <c r="K80" s="499"/>
    </row>
    <row r="81" spans="1:11" x14ac:dyDescent="0.25">
      <c r="A81" s="499"/>
      <c r="B81" s="499"/>
      <c r="C81" s="499"/>
      <c r="D81" s="500"/>
      <c r="E81" s="572"/>
      <c r="F81" s="500"/>
      <c r="G81" s="499"/>
      <c r="H81" s="499"/>
      <c r="I81" s="499"/>
      <c r="J81" s="499"/>
      <c r="K81" s="499"/>
    </row>
  </sheetData>
  <mergeCells count="14">
    <mergeCell ref="G45:G46"/>
    <mergeCell ref="I74:J74"/>
    <mergeCell ref="A42:A43"/>
    <mergeCell ref="A45:A46"/>
    <mergeCell ref="B45:B46"/>
    <mergeCell ref="C45:C46"/>
    <mergeCell ref="D45:E45"/>
    <mergeCell ref="F45:F46"/>
    <mergeCell ref="A40:A41"/>
    <mergeCell ref="A11:A13"/>
    <mergeCell ref="A16:A18"/>
    <mergeCell ref="A19:A22"/>
    <mergeCell ref="A33:A36"/>
    <mergeCell ref="A37:A39"/>
  </mergeCells>
  <hyperlinks>
    <hyperlink ref="M2" location="'Bảng dien giai KL hoan cong'!A1" display="Quay lai"/>
  </hyperlink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6"/>
  <sheetViews>
    <sheetView view="pageBreakPreview" topLeftCell="A25" zoomScale="85" zoomScaleNormal="100" zoomScaleSheetLayoutView="85" workbookViewId="0"/>
  </sheetViews>
  <sheetFormatPr defaultRowHeight="15" x14ac:dyDescent="0.25"/>
  <cols>
    <col min="1" max="1" width="10.7109375" customWidth="1"/>
    <col min="4" max="4" width="12.5703125" customWidth="1"/>
    <col min="5" max="5" width="13.85546875" customWidth="1"/>
    <col min="6" max="6" width="10.42578125" customWidth="1"/>
    <col min="8" max="8" width="10.5703125" customWidth="1"/>
    <col min="9" max="9" width="12.85546875" customWidth="1"/>
    <col min="10" max="10" width="13.28515625" customWidth="1"/>
  </cols>
  <sheetData>
    <row r="2" spans="1:10" x14ac:dyDescent="0.25">
      <c r="A2" s="1162" t="s">
        <v>661</v>
      </c>
      <c r="B2" s="1162"/>
      <c r="C2" s="1162"/>
      <c r="D2" s="1162"/>
      <c r="E2" s="1162"/>
      <c r="F2" s="1162"/>
      <c r="G2" s="1162"/>
      <c r="H2" s="1162"/>
      <c r="I2" s="1162"/>
      <c r="J2" s="1162"/>
    </row>
    <row r="4" spans="1:10" ht="30" x14ac:dyDescent="0.25">
      <c r="A4" s="1167" t="s">
        <v>383</v>
      </c>
      <c r="B4" s="1210" t="s">
        <v>384</v>
      </c>
      <c r="C4" s="1019" t="s">
        <v>378</v>
      </c>
      <c r="D4" s="1167" t="s">
        <v>590</v>
      </c>
      <c r="E4" s="1019" t="s">
        <v>591</v>
      </c>
      <c r="F4" s="990" t="s">
        <v>380</v>
      </c>
      <c r="G4" s="990" t="s">
        <v>381</v>
      </c>
      <c r="H4" s="990" t="s">
        <v>514</v>
      </c>
      <c r="I4" s="1019" t="s">
        <v>386</v>
      </c>
      <c r="J4" s="990" t="s">
        <v>0</v>
      </c>
    </row>
    <row r="5" spans="1:10" ht="15" customHeight="1" x14ac:dyDescent="0.25">
      <c r="A5" s="1172"/>
      <c r="B5" s="1211"/>
      <c r="C5" s="1020" t="s">
        <v>556</v>
      </c>
      <c r="D5" s="1172"/>
      <c r="E5" s="1020" t="s">
        <v>556</v>
      </c>
      <c r="F5" s="991" t="s">
        <v>585</v>
      </c>
      <c r="G5" s="1020" t="s">
        <v>416</v>
      </c>
      <c r="H5" s="991" t="s">
        <v>124</v>
      </c>
      <c r="I5" s="1020" t="s">
        <v>410</v>
      </c>
      <c r="J5" s="991"/>
    </row>
    <row r="6" spans="1:10" x14ac:dyDescent="0.25">
      <c r="A6" s="1185" t="s">
        <v>595</v>
      </c>
      <c r="B6" s="116" t="s">
        <v>357</v>
      </c>
      <c r="C6" s="206">
        <v>25</v>
      </c>
      <c r="D6" s="206" t="s">
        <v>437</v>
      </c>
      <c r="E6" s="206">
        <v>11700</v>
      </c>
      <c r="F6" s="206">
        <v>12</v>
      </c>
      <c r="G6" s="206">
        <f>VLOOKUP(C6,'CKN T4 '!$M$5:$N$19,2,0)</f>
        <v>3.85</v>
      </c>
      <c r="H6" s="206">
        <f>ROUND(E6*F6/1000,2)</f>
        <v>140.4</v>
      </c>
      <c r="I6" s="206">
        <f>ROUND(H6*G6,2)</f>
        <v>540.54</v>
      </c>
      <c r="J6" s="116"/>
    </row>
    <row r="7" spans="1:10" x14ac:dyDescent="0.25">
      <c r="A7" s="1185"/>
      <c r="B7" s="114" t="s">
        <v>358</v>
      </c>
      <c r="C7" s="132">
        <v>25</v>
      </c>
      <c r="D7" s="132" t="s">
        <v>437</v>
      </c>
      <c r="E7" s="132">
        <v>10700</v>
      </c>
      <c r="F7" s="132">
        <v>12</v>
      </c>
      <c r="G7" s="132">
        <f>VLOOKUP(C7,'CKN T4 '!$M$5:$N$19,2,0)</f>
        <v>3.85</v>
      </c>
      <c r="H7" s="132">
        <f t="shared" ref="H7:H19" si="0">ROUND(E7*F7/1000,2)</f>
        <v>128.4</v>
      </c>
      <c r="I7" s="132">
        <f t="shared" ref="I7:I19" si="1">ROUND(H7*G7,2)</f>
        <v>494.34</v>
      </c>
      <c r="J7" s="114"/>
    </row>
    <row r="8" spans="1:10" x14ac:dyDescent="0.25">
      <c r="A8" s="1185"/>
      <c r="B8" s="114" t="s">
        <v>361</v>
      </c>
      <c r="C8" s="132">
        <v>22</v>
      </c>
      <c r="D8" s="132" t="s">
        <v>437</v>
      </c>
      <c r="E8" s="132">
        <v>11700</v>
      </c>
      <c r="F8" s="132">
        <v>24</v>
      </c>
      <c r="G8" s="132">
        <f>VLOOKUP(C8,'CKN T4 '!$M$5:$N$19,2,0)</f>
        <v>2.98</v>
      </c>
      <c r="H8" s="132">
        <f t="shared" si="0"/>
        <v>280.8</v>
      </c>
      <c r="I8" s="132">
        <f t="shared" si="1"/>
        <v>836.78</v>
      </c>
      <c r="J8" s="114"/>
    </row>
    <row r="9" spans="1:10" x14ac:dyDescent="0.25">
      <c r="A9" s="1185"/>
      <c r="B9" s="114" t="s">
        <v>363</v>
      </c>
      <c r="C9" s="132">
        <v>20</v>
      </c>
      <c r="D9" s="132" t="s">
        <v>437</v>
      </c>
      <c r="E9" s="132">
        <v>11700</v>
      </c>
      <c r="F9" s="132">
        <v>72</v>
      </c>
      <c r="G9" s="132">
        <f>VLOOKUP(C9,'CKN T4 '!$M$5:$N$19,2,0)</f>
        <v>2.4700000000000002</v>
      </c>
      <c r="H9" s="132">
        <f t="shared" si="0"/>
        <v>842.4</v>
      </c>
      <c r="I9" s="132">
        <f t="shared" si="1"/>
        <v>2080.73</v>
      </c>
      <c r="J9" s="114"/>
    </row>
    <row r="10" spans="1:10" x14ac:dyDescent="0.25">
      <c r="A10" s="1185"/>
      <c r="B10" s="114" t="s">
        <v>370</v>
      </c>
      <c r="C10" s="132">
        <v>20</v>
      </c>
      <c r="D10" s="132" t="s">
        <v>437</v>
      </c>
      <c r="E10" s="132">
        <v>8920</v>
      </c>
      <c r="F10" s="132">
        <v>12</v>
      </c>
      <c r="G10" s="132">
        <f>VLOOKUP(C10,'CKN T4 '!$M$5:$N$19,2,0)</f>
        <v>2.4700000000000002</v>
      </c>
      <c r="H10" s="132">
        <f t="shared" si="0"/>
        <v>107.04</v>
      </c>
      <c r="I10" s="132">
        <f t="shared" si="1"/>
        <v>264.39</v>
      </c>
      <c r="J10" s="114"/>
    </row>
    <row r="11" spans="1:10" x14ac:dyDescent="0.25">
      <c r="A11" s="1185"/>
      <c r="B11" s="114" t="s">
        <v>371</v>
      </c>
      <c r="C11" s="132">
        <v>20</v>
      </c>
      <c r="D11" s="132" t="s">
        <v>437</v>
      </c>
      <c r="E11" s="132">
        <v>9920</v>
      </c>
      <c r="F11" s="132">
        <v>12</v>
      </c>
      <c r="G11" s="132">
        <f>VLOOKUP(C11,'CKN T4 '!$M$5:$N$19,2,0)</f>
        <v>2.4700000000000002</v>
      </c>
      <c r="H11" s="132">
        <f t="shared" si="0"/>
        <v>119.04</v>
      </c>
      <c r="I11" s="132">
        <f t="shared" si="1"/>
        <v>294.02999999999997</v>
      </c>
      <c r="J11" s="114"/>
    </row>
    <row r="12" spans="1:10" x14ac:dyDescent="0.25">
      <c r="A12" s="1185"/>
      <c r="B12" s="114" t="s">
        <v>480</v>
      </c>
      <c r="C12" s="132">
        <v>18</v>
      </c>
      <c r="D12" s="132" t="s">
        <v>437</v>
      </c>
      <c r="E12" s="132">
        <v>1455</v>
      </c>
      <c r="F12" s="132">
        <v>4</v>
      </c>
      <c r="G12" s="132">
        <f>VLOOKUP(C12,'CKN T4 '!$M$5:$N$19,2,0)</f>
        <v>2</v>
      </c>
      <c r="H12" s="132">
        <f t="shared" si="0"/>
        <v>5.82</v>
      </c>
      <c r="I12" s="132">
        <f t="shared" si="1"/>
        <v>11.64</v>
      </c>
      <c r="J12" s="114"/>
    </row>
    <row r="13" spans="1:10" x14ac:dyDescent="0.25">
      <c r="A13" s="1185"/>
      <c r="B13" s="114" t="s">
        <v>481</v>
      </c>
      <c r="C13" s="132">
        <v>10</v>
      </c>
      <c r="D13" s="132" t="s">
        <v>463</v>
      </c>
      <c r="E13" s="132">
        <v>1213880</v>
      </c>
      <c r="F13" s="132">
        <v>1</v>
      </c>
      <c r="G13" s="132">
        <f>VLOOKUP(C13,'CKN T4 '!$M$5:$N$19,2,0)</f>
        <v>0.61699999999999999</v>
      </c>
      <c r="H13" s="132">
        <f t="shared" si="0"/>
        <v>1213.8800000000001</v>
      </c>
      <c r="I13" s="132">
        <f t="shared" si="1"/>
        <v>748.96</v>
      </c>
      <c r="J13" s="114"/>
    </row>
    <row r="14" spans="1:10" x14ac:dyDescent="0.25">
      <c r="A14" s="1185"/>
      <c r="B14" s="114" t="s">
        <v>592</v>
      </c>
      <c r="C14" s="132">
        <v>25</v>
      </c>
      <c r="D14" s="132" t="s">
        <v>437</v>
      </c>
      <c r="E14" s="132">
        <v>3135</v>
      </c>
      <c r="F14" s="132">
        <v>5</v>
      </c>
      <c r="G14" s="132">
        <f>VLOOKUP(C14,'CKN T4 '!$M$5:$N$19,2,0)</f>
        <v>3.85</v>
      </c>
      <c r="H14" s="132">
        <f t="shared" si="0"/>
        <v>15.68</v>
      </c>
      <c r="I14" s="132">
        <f t="shared" si="1"/>
        <v>60.37</v>
      </c>
      <c r="J14" s="114"/>
    </row>
    <row r="15" spans="1:10" x14ac:dyDescent="0.25">
      <c r="A15" s="1185"/>
      <c r="B15" s="114" t="s">
        <v>482</v>
      </c>
      <c r="C15" s="132">
        <v>25</v>
      </c>
      <c r="D15" s="132" t="s">
        <v>437</v>
      </c>
      <c r="E15" s="132">
        <v>3145</v>
      </c>
      <c r="F15" s="132">
        <v>5</v>
      </c>
      <c r="G15" s="132">
        <f>VLOOKUP(C15,'CKN T4 '!$M$5:$N$19,2,0)</f>
        <v>3.85</v>
      </c>
      <c r="H15" s="132">
        <f t="shared" si="0"/>
        <v>15.73</v>
      </c>
      <c r="I15" s="132">
        <f t="shared" si="1"/>
        <v>60.56</v>
      </c>
      <c r="J15" s="114"/>
    </row>
    <row r="16" spans="1:10" x14ac:dyDescent="0.25">
      <c r="A16" s="1185"/>
      <c r="B16" s="114" t="s">
        <v>483</v>
      </c>
      <c r="C16" s="132">
        <v>25</v>
      </c>
      <c r="D16" s="132" t="s">
        <v>437</v>
      </c>
      <c r="E16" s="132">
        <v>3155</v>
      </c>
      <c r="F16" s="132">
        <v>22</v>
      </c>
      <c r="G16" s="132">
        <f>VLOOKUP(C16,'CKN T4 '!$M$5:$N$19,2,0)</f>
        <v>3.85</v>
      </c>
      <c r="H16" s="132">
        <f t="shared" si="0"/>
        <v>69.41</v>
      </c>
      <c r="I16" s="132">
        <f t="shared" si="1"/>
        <v>267.23</v>
      </c>
      <c r="J16" s="114"/>
    </row>
    <row r="17" spans="1:14" x14ac:dyDescent="0.25">
      <c r="A17" s="1185"/>
      <c r="B17" s="114" t="s">
        <v>486</v>
      </c>
      <c r="C17" s="132">
        <v>16</v>
      </c>
      <c r="D17" s="132" t="s">
        <v>437</v>
      </c>
      <c r="E17" s="132">
        <v>2192</v>
      </c>
      <c r="F17" s="132">
        <v>1</v>
      </c>
      <c r="G17" s="132">
        <f>VLOOKUP(C17,'CKN T4 '!$M$5:$N$19,2,0)</f>
        <v>1.58</v>
      </c>
      <c r="H17" s="132">
        <f t="shared" si="0"/>
        <v>2.19</v>
      </c>
      <c r="I17" s="132">
        <f t="shared" si="1"/>
        <v>3.46</v>
      </c>
      <c r="J17" s="114"/>
    </row>
    <row r="18" spans="1:14" x14ac:dyDescent="0.25">
      <c r="A18" s="1185"/>
      <c r="B18" s="114" t="s">
        <v>365</v>
      </c>
      <c r="C18" s="132">
        <v>12</v>
      </c>
      <c r="D18" s="132" t="s">
        <v>463</v>
      </c>
      <c r="E18" s="132">
        <v>500</v>
      </c>
      <c r="F18" s="132">
        <v>32</v>
      </c>
      <c r="G18" s="132">
        <f>VLOOKUP(C18,'CKN T4 '!$M$5:$N$19,2,0)</f>
        <v>0.88800000000000001</v>
      </c>
      <c r="H18" s="132">
        <f t="shared" si="0"/>
        <v>16</v>
      </c>
      <c r="I18" s="132">
        <f t="shared" si="1"/>
        <v>14.21</v>
      </c>
      <c r="J18" s="114"/>
    </row>
    <row r="19" spans="1:14" x14ac:dyDescent="0.25">
      <c r="A19" s="1185"/>
      <c r="B19" s="114" t="s">
        <v>367</v>
      </c>
      <c r="C19" s="132">
        <v>12</v>
      </c>
      <c r="D19" s="132" t="s">
        <v>463</v>
      </c>
      <c r="E19" s="132">
        <v>420</v>
      </c>
      <c r="F19" s="132">
        <v>96</v>
      </c>
      <c r="G19" s="132">
        <f>VLOOKUP(C19,'CKN T4 '!$M$5:$N$19,2,0)</f>
        <v>0.88800000000000001</v>
      </c>
      <c r="H19" s="132">
        <f t="shared" si="0"/>
        <v>40.32</v>
      </c>
      <c r="I19" s="132">
        <f t="shared" si="1"/>
        <v>35.799999999999997</v>
      </c>
      <c r="J19" s="114"/>
    </row>
    <row r="20" spans="1:14" x14ac:dyDescent="0.25">
      <c r="A20" s="1186"/>
      <c r="B20" s="237" t="s">
        <v>487</v>
      </c>
      <c r="C20" s="237" t="s">
        <v>488</v>
      </c>
      <c r="D20" s="237"/>
      <c r="E20" s="242"/>
      <c r="F20" s="242">
        <v>128</v>
      </c>
      <c r="G20" s="242">
        <v>1.3939999999999999</v>
      </c>
      <c r="H20" s="242"/>
      <c r="I20" s="242">
        <f>F20*G20</f>
        <v>178.43199999999999</v>
      </c>
      <c r="J20" s="237"/>
      <c r="N20" t="s">
        <v>612</v>
      </c>
    </row>
    <row r="21" spans="1:14" x14ac:dyDescent="0.25">
      <c r="A21" s="1204" t="s">
        <v>399</v>
      </c>
      <c r="B21" s="1200" t="s">
        <v>593</v>
      </c>
      <c r="C21" s="1200"/>
      <c r="D21" s="1200"/>
      <c r="E21" s="1200"/>
      <c r="F21" s="1200" t="s">
        <v>594</v>
      </c>
      <c r="G21" s="1200"/>
      <c r="H21" s="204">
        <v>10</v>
      </c>
      <c r="I21" s="205">
        <f>SUMIF($C$6:$C$19,H21,$I$6:$I$19)</f>
        <v>748.96</v>
      </c>
      <c r="J21" s="205" t="s">
        <v>410</v>
      </c>
    </row>
    <row r="22" spans="1:14" x14ac:dyDescent="0.25">
      <c r="A22" s="1205"/>
      <c r="B22" s="1203"/>
      <c r="C22" s="1203"/>
      <c r="D22" s="1203"/>
      <c r="E22" s="1203"/>
      <c r="F22" s="1201"/>
      <c r="G22" s="1201"/>
      <c r="H22" s="241">
        <v>12</v>
      </c>
      <c r="I22" s="238">
        <f t="shared" ref="I22:I27" si="2">SUMIF($C$6:$C$19,H22,$I$6:$I$19)</f>
        <v>50.01</v>
      </c>
      <c r="J22" s="205" t="s">
        <v>410</v>
      </c>
    </row>
    <row r="23" spans="1:14" x14ac:dyDescent="0.25">
      <c r="A23" s="1205"/>
      <c r="B23" s="1203"/>
      <c r="C23" s="1203"/>
      <c r="D23" s="1203"/>
      <c r="E23" s="1203"/>
      <c r="F23" s="1202" t="s">
        <v>437</v>
      </c>
      <c r="G23" s="1202"/>
      <c r="H23" s="236">
        <v>16</v>
      </c>
      <c r="I23" s="239">
        <f t="shared" si="2"/>
        <v>3.46</v>
      </c>
      <c r="J23" s="205" t="s">
        <v>410</v>
      </c>
    </row>
    <row r="24" spans="1:14" x14ac:dyDescent="0.25">
      <c r="A24" s="1205"/>
      <c r="B24" s="1203"/>
      <c r="C24" s="1203"/>
      <c r="D24" s="1203"/>
      <c r="E24" s="1203"/>
      <c r="F24" s="1203"/>
      <c r="G24" s="1203"/>
      <c r="H24" s="235">
        <v>18</v>
      </c>
      <c r="I24" s="240">
        <f t="shared" si="2"/>
        <v>11.64</v>
      </c>
      <c r="J24" s="205" t="s">
        <v>410</v>
      </c>
    </row>
    <row r="25" spans="1:14" x14ac:dyDescent="0.25">
      <c r="A25" s="1205"/>
      <c r="B25" s="1203"/>
      <c r="C25" s="1203"/>
      <c r="D25" s="1203"/>
      <c r="E25" s="1203"/>
      <c r="F25" s="1203"/>
      <c r="G25" s="1203"/>
      <c r="H25" s="235">
        <v>20</v>
      </c>
      <c r="I25" s="240">
        <f t="shared" si="2"/>
        <v>2639.1499999999996</v>
      </c>
      <c r="J25" s="205" t="s">
        <v>410</v>
      </c>
    </row>
    <row r="26" spans="1:14" x14ac:dyDescent="0.25">
      <c r="A26" s="1205"/>
      <c r="B26" s="1203"/>
      <c r="C26" s="1203"/>
      <c r="D26" s="1203"/>
      <c r="E26" s="1203"/>
      <c r="F26" s="1203"/>
      <c r="G26" s="1203"/>
      <c r="H26" s="235">
        <v>22</v>
      </c>
      <c r="I26" s="240">
        <f t="shared" si="2"/>
        <v>836.78</v>
      </c>
      <c r="J26" s="205" t="s">
        <v>410</v>
      </c>
    </row>
    <row r="27" spans="1:14" x14ac:dyDescent="0.25">
      <c r="A27" s="1206"/>
      <c r="B27" s="1201"/>
      <c r="C27" s="1201"/>
      <c r="D27" s="1201"/>
      <c r="E27" s="1201"/>
      <c r="F27" s="1201"/>
      <c r="G27" s="1201"/>
      <c r="H27" s="241">
        <v>25</v>
      </c>
      <c r="I27" s="238">
        <f t="shared" si="2"/>
        <v>1423.0399999999997</v>
      </c>
      <c r="J27" s="205" t="s">
        <v>410</v>
      </c>
    </row>
    <row r="28" spans="1:14" x14ac:dyDescent="0.25">
      <c r="A28" s="1204" t="s">
        <v>641</v>
      </c>
      <c r="B28" s="1207" t="s">
        <v>593</v>
      </c>
      <c r="C28" s="1207"/>
      <c r="D28" s="1207"/>
      <c r="E28" s="1207"/>
      <c r="F28" s="1200" t="s">
        <v>594</v>
      </c>
      <c r="G28" s="1200"/>
      <c r="H28" s="204">
        <v>10</v>
      </c>
      <c r="I28" s="300">
        <f>I21*4</f>
        <v>2995.84</v>
      </c>
      <c r="J28" s="205" t="s">
        <v>410</v>
      </c>
    </row>
    <row r="29" spans="1:14" x14ac:dyDescent="0.25">
      <c r="A29" s="1205"/>
      <c r="B29" s="1208"/>
      <c r="C29" s="1208"/>
      <c r="D29" s="1208"/>
      <c r="E29" s="1208"/>
      <c r="F29" s="1203"/>
      <c r="G29" s="1203"/>
      <c r="H29" s="235">
        <v>12</v>
      </c>
      <c r="I29" s="301">
        <f t="shared" ref="I29:I34" si="3">I22*4</f>
        <v>200.04</v>
      </c>
      <c r="J29" s="205" t="s">
        <v>410</v>
      </c>
    </row>
    <row r="30" spans="1:14" ht="15" customHeight="1" x14ac:dyDescent="0.25">
      <c r="A30" s="1205"/>
      <c r="B30" s="1208"/>
      <c r="C30" s="1208"/>
      <c r="D30" s="1208"/>
      <c r="E30" s="1208"/>
      <c r="F30" s="1203" t="s">
        <v>437</v>
      </c>
      <c r="G30" s="1203"/>
      <c r="H30" s="235">
        <v>16</v>
      </c>
      <c r="I30" s="301">
        <f t="shared" si="3"/>
        <v>13.84</v>
      </c>
      <c r="J30" s="205" t="s">
        <v>410</v>
      </c>
    </row>
    <row r="31" spans="1:14" x14ac:dyDescent="0.25">
      <c r="A31" s="1205"/>
      <c r="B31" s="1208"/>
      <c r="C31" s="1208"/>
      <c r="D31" s="1208"/>
      <c r="E31" s="1208"/>
      <c r="F31" s="1203"/>
      <c r="G31" s="1203"/>
      <c r="H31" s="235">
        <v>18</v>
      </c>
      <c r="I31" s="301">
        <f t="shared" si="3"/>
        <v>46.56</v>
      </c>
      <c r="J31" s="205" t="s">
        <v>410</v>
      </c>
    </row>
    <row r="32" spans="1:14" x14ac:dyDescent="0.25">
      <c r="A32" s="1205"/>
      <c r="B32" s="1208"/>
      <c r="C32" s="1208"/>
      <c r="D32" s="1208"/>
      <c r="E32" s="1208"/>
      <c r="F32" s="1203"/>
      <c r="G32" s="1203"/>
      <c r="H32" s="235">
        <v>20</v>
      </c>
      <c r="I32" s="301">
        <f t="shared" si="3"/>
        <v>10556.599999999999</v>
      </c>
      <c r="J32" s="205" t="s">
        <v>410</v>
      </c>
    </row>
    <row r="33" spans="1:10" x14ac:dyDescent="0.25">
      <c r="A33" s="1205"/>
      <c r="B33" s="1208"/>
      <c r="C33" s="1208"/>
      <c r="D33" s="1208"/>
      <c r="E33" s="1208"/>
      <c r="F33" s="1203"/>
      <c r="G33" s="1203"/>
      <c r="H33" s="235">
        <v>22</v>
      </c>
      <c r="I33" s="301">
        <f t="shared" si="3"/>
        <v>3347.12</v>
      </c>
      <c r="J33" s="205" t="s">
        <v>410</v>
      </c>
    </row>
    <row r="34" spans="1:10" x14ac:dyDescent="0.25">
      <c r="A34" s="1205"/>
      <c r="B34" s="1209"/>
      <c r="C34" s="1209"/>
      <c r="D34" s="1209"/>
      <c r="E34" s="1209"/>
      <c r="F34" s="1201"/>
      <c r="G34" s="1201"/>
      <c r="H34" s="241">
        <v>25</v>
      </c>
      <c r="I34" s="308">
        <f t="shared" si="3"/>
        <v>5692.1599999999989</v>
      </c>
      <c r="J34" s="205" t="s">
        <v>410</v>
      </c>
    </row>
    <row r="35" spans="1:10" x14ac:dyDescent="0.25">
      <c r="A35" s="1205"/>
      <c r="B35" s="306" t="s">
        <v>642</v>
      </c>
      <c r="C35" s="309"/>
      <c r="D35" s="310"/>
      <c r="E35" s="310"/>
      <c r="F35" s="310"/>
      <c r="G35" s="310"/>
      <c r="H35" s="311"/>
      <c r="I35" s="307" t="s">
        <v>650</v>
      </c>
      <c r="J35" s="116" t="s">
        <v>658</v>
      </c>
    </row>
    <row r="36" spans="1:10" x14ac:dyDescent="0.25">
      <c r="A36" s="1205"/>
      <c r="B36" s="302" t="s">
        <v>643</v>
      </c>
      <c r="C36" s="312"/>
      <c r="D36" s="313"/>
      <c r="E36" s="313"/>
      <c r="F36" s="313"/>
      <c r="G36" s="313"/>
      <c r="H36" s="314"/>
      <c r="I36" s="303" t="s">
        <v>651</v>
      </c>
      <c r="J36" s="116" t="s">
        <v>658</v>
      </c>
    </row>
    <row r="37" spans="1:10" x14ac:dyDescent="0.25">
      <c r="A37" s="1205"/>
      <c r="B37" s="302" t="s">
        <v>644</v>
      </c>
      <c r="C37" s="312"/>
      <c r="D37" s="313"/>
      <c r="E37" s="313"/>
      <c r="F37" s="313"/>
      <c r="G37" s="313"/>
      <c r="H37" s="314"/>
      <c r="I37" s="303" t="s">
        <v>653</v>
      </c>
      <c r="J37" s="116" t="s">
        <v>658</v>
      </c>
    </row>
    <row r="38" spans="1:10" x14ac:dyDescent="0.25">
      <c r="A38" s="1205"/>
      <c r="B38" s="302" t="s">
        <v>645</v>
      </c>
      <c r="C38" s="312"/>
      <c r="D38" s="313"/>
      <c r="E38" s="313"/>
      <c r="F38" s="313"/>
      <c r="G38" s="313"/>
      <c r="H38" s="314"/>
      <c r="I38" s="303" t="s">
        <v>652</v>
      </c>
      <c r="J38" s="116" t="s">
        <v>658</v>
      </c>
    </row>
    <row r="39" spans="1:10" x14ac:dyDescent="0.25">
      <c r="A39" s="1205"/>
      <c r="B39" s="302" t="s">
        <v>646</v>
      </c>
      <c r="C39" s="312"/>
      <c r="D39" s="313"/>
      <c r="E39" s="313"/>
      <c r="F39" s="313"/>
      <c r="G39" s="313"/>
      <c r="H39" s="314"/>
      <c r="I39" s="303">
        <v>197.52</v>
      </c>
      <c r="J39" s="114" t="s">
        <v>659</v>
      </c>
    </row>
    <row r="40" spans="1:10" x14ac:dyDescent="0.25">
      <c r="A40" s="1205"/>
      <c r="B40" s="302" t="s">
        <v>647</v>
      </c>
      <c r="C40" s="312"/>
      <c r="D40" s="313"/>
      <c r="E40" s="313"/>
      <c r="F40" s="313"/>
      <c r="G40" s="313"/>
      <c r="H40" s="314"/>
      <c r="I40" s="303">
        <v>759.64</v>
      </c>
      <c r="J40" s="114" t="s">
        <v>659</v>
      </c>
    </row>
    <row r="41" spans="1:10" x14ac:dyDescent="0.25">
      <c r="A41" s="1205"/>
      <c r="B41" s="302" t="s">
        <v>496</v>
      </c>
      <c r="C41" s="312"/>
      <c r="D41" s="313"/>
      <c r="E41" s="313"/>
      <c r="F41" s="313"/>
      <c r="G41" s="313"/>
      <c r="H41" s="314"/>
      <c r="I41" s="303">
        <v>723.8</v>
      </c>
      <c r="J41" s="114" t="s">
        <v>659</v>
      </c>
    </row>
    <row r="42" spans="1:10" x14ac:dyDescent="0.25">
      <c r="A42" s="1205"/>
      <c r="B42" s="302" t="s">
        <v>648</v>
      </c>
      <c r="C42" s="312"/>
      <c r="D42" s="313"/>
      <c r="E42" s="313"/>
      <c r="F42" s="313"/>
      <c r="G42" s="313"/>
      <c r="H42" s="314"/>
      <c r="I42" s="303" t="s">
        <v>654</v>
      </c>
      <c r="J42" s="114" t="s">
        <v>658</v>
      </c>
    </row>
    <row r="43" spans="1:10" x14ac:dyDescent="0.25">
      <c r="A43" s="1206"/>
      <c r="B43" s="304" t="s">
        <v>649</v>
      </c>
      <c r="C43" s="315"/>
      <c r="D43" s="316"/>
      <c r="E43" s="316"/>
      <c r="F43" s="316"/>
      <c r="G43" s="316"/>
      <c r="H43" s="317"/>
      <c r="I43" s="305" t="s">
        <v>655</v>
      </c>
      <c r="J43" s="114" t="s">
        <v>658</v>
      </c>
    </row>
    <row r="45" spans="1:10" x14ac:dyDescent="0.25">
      <c r="A45" s="1162" t="s">
        <v>660</v>
      </c>
      <c r="B45" s="1162"/>
      <c r="C45" s="1162"/>
      <c r="D45" s="1162"/>
      <c r="E45" s="1162"/>
      <c r="F45" s="1162"/>
      <c r="G45" s="1162"/>
      <c r="H45" s="1162"/>
      <c r="I45" s="1162"/>
      <c r="J45" s="1162"/>
    </row>
    <row r="46" spans="1:10" ht="12" customHeight="1" x14ac:dyDescent="0.25"/>
    <row r="47" spans="1:10" ht="30" x14ac:dyDescent="0.25">
      <c r="A47" s="1167" t="s">
        <v>383</v>
      </c>
      <c r="B47" s="1210" t="s">
        <v>384</v>
      </c>
      <c r="C47" s="1036" t="s">
        <v>378</v>
      </c>
      <c r="D47" s="1167" t="s">
        <v>590</v>
      </c>
      <c r="E47" s="1036" t="s">
        <v>591</v>
      </c>
      <c r="F47" s="1033" t="s">
        <v>380</v>
      </c>
      <c r="G47" s="1033" t="s">
        <v>381</v>
      </c>
      <c r="H47" s="1033" t="s">
        <v>514</v>
      </c>
      <c r="I47" s="1036" t="s">
        <v>386</v>
      </c>
      <c r="J47" s="1033" t="s">
        <v>0</v>
      </c>
    </row>
    <row r="48" spans="1:10" x14ac:dyDescent="0.25">
      <c r="A48" s="1172"/>
      <c r="B48" s="1211"/>
      <c r="C48" s="1037" t="s">
        <v>556</v>
      </c>
      <c r="D48" s="1172"/>
      <c r="E48" s="1037" t="s">
        <v>556</v>
      </c>
      <c r="F48" s="1034" t="s">
        <v>585</v>
      </c>
      <c r="G48" s="1037" t="s">
        <v>416</v>
      </c>
      <c r="H48" s="1034" t="s">
        <v>124</v>
      </c>
      <c r="I48" s="1037" t="s">
        <v>410</v>
      </c>
      <c r="J48" s="1034"/>
    </row>
    <row r="49" spans="1:10" x14ac:dyDescent="0.25">
      <c r="A49" s="1185" t="s">
        <v>595</v>
      </c>
      <c r="B49" s="206" t="s">
        <v>357</v>
      </c>
      <c r="C49" s="206">
        <v>25</v>
      </c>
      <c r="D49" s="206" t="s">
        <v>437</v>
      </c>
      <c r="E49" s="206">
        <v>11700</v>
      </c>
      <c r="F49" s="206">
        <v>12</v>
      </c>
      <c r="G49" s="206">
        <f>VLOOKUP(C49,'CKN T4 '!$M$5:$N$19,2,0)</f>
        <v>3.85</v>
      </c>
      <c r="H49" s="206">
        <f>ROUND(E49*F49/1000,2)</f>
        <v>140.4</v>
      </c>
      <c r="I49" s="206">
        <f>ROUND(H49*G49,2)</f>
        <v>540.54</v>
      </c>
      <c r="J49" s="116"/>
    </row>
    <row r="50" spans="1:10" x14ac:dyDescent="0.25">
      <c r="A50" s="1185"/>
      <c r="B50" s="132" t="s">
        <v>358</v>
      </c>
      <c r="C50" s="132">
        <v>25</v>
      </c>
      <c r="D50" s="132" t="s">
        <v>437</v>
      </c>
      <c r="E50" s="132">
        <v>10700</v>
      </c>
      <c r="F50" s="132">
        <v>12</v>
      </c>
      <c r="G50" s="132">
        <f>VLOOKUP(C50,'CKN T4 '!$M$5:$N$19,2,0)</f>
        <v>3.85</v>
      </c>
      <c r="H50" s="132">
        <f t="shared" ref="H50:H62" si="4">ROUND(E50*F50/1000,2)</f>
        <v>128.4</v>
      </c>
      <c r="I50" s="132">
        <f t="shared" ref="I50:I62" si="5">ROUND(H50*G50,2)</f>
        <v>494.34</v>
      </c>
      <c r="J50" s="114"/>
    </row>
    <row r="51" spans="1:10" x14ac:dyDescent="0.25">
      <c r="A51" s="1185"/>
      <c r="B51" s="132" t="s">
        <v>361</v>
      </c>
      <c r="C51" s="132">
        <v>22</v>
      </c>
      <c r="D51" s="132" t="s">
        <v>437</v>
      </c>
      <c r="E51" s="132">
        <v>11700</v>
      </c>
      <c r="F51" s="132">
        <v>24</v>
      </c>
      <c r="G51" s="132">
        <f>VLOOKUP(C51,'CKN T4 '!$M$5:$N$19,2,0)</f>
        <v>2.98</v>
      </c>
      <c r="H51" s="132">
        <f t="shared" si="4"/>
        <v>280.8</v>
      </c>
      <c r="I51" s="132">
        <f t="shared" si="5"/>
        <v>836.78</v>
      </c>
      <c r="J51" s="114"/>
    </row>
    <row r="52" spans="1:10" x14ac:dyDescent="0.25">
      <c r="A52" s="1185"/>
      <c r="B52" s="132" t="s">
        <v>363</v>
      </c>
      <c r="C52" s="132">
        <v>20</v>
      </c>
      <c r="D52" s="132" t="s">
        <v>437</v>
      </c>
      <c r="E52" s="132">
        <v>11700</v>
      </c>
      <c r="F52" s="132">
        <v>72</v>
      </c>
      <c r="G52" s="132">
        <f>VLOOKUP(C52,'CKN T4 '!$M$5:$N$19,2,0)</f>
        <v>2.4700000000000002</v>
      </c>
      <c r="H52" s="132">
        <f t="shared" si="4"/>
        <v>842.4</v>
      </c>
      <c r="I52" s="132">
        <f t="shared" si="5"/>
        <v>2080.73</v>
      </c>
      <c r="J52" s="114"/>
    </row>
    <row r="53" spans="1:10" x14ac:dyDescent="0.25">
      <c r="A53" s="1185"/>
      <c r="B53" s="132" t="s">
        <v>370</v>
      </c>
      <c r="C53" s="132">
        <v>20</v>
      </c>
      <c r="D53" s="132" t="s">
        <v>437</v>
      </c>
      <c r="E53" s="132">
        <v>4920</v>
      </c>
      <c r="F53" s="132">
        <v>12</v>
      </c>
      <c r="G53" s="132">
        <f>VLOOKUP(C53,'CKN T4 '!$M$5:$N$19,2,0)</f>
        <v>2.4700000000000002</v>
      </c>
      <c r="H53" s="132">
        <f t="shared" si="4"/>
        <v>59.04</v>
      </c>
      <c r="I53" s="132">
        <f t="shared" si="5"/>
        <v>145.83000000000001</v>
      </c>
      <c r="J53" s="114"/>
    </row>
    <row r="54" spans="1:10" x14ac:dyDescent="0.25">
      <c r="A54" s="1185"/>
      <c r="B54" s="132" t="s">
        <v>371</v>
      </c>
      <c r="C54" s="132">
        <v>20</v>
      </c>
      <c r="D54" s="132" t="s">
        <v>437</v>
      </c>
      <c r="E54" s="132">
        <v>5920</v>
      </c>
      <c r="F54" s="132">
        <v>12</v>
      </c>
      <c r="G54" s="132">
        <f>VLOOKUP(C54,'CKN T4 '!$M$5:$N$19,2,0)</f>
        <v>2.4700000000000002</v>
      </c>
      <c r="H54" s="132">
        <f t="shared" si="4"/>
        <v>71.040000000000006</v>
      </c>
      <c r="I54" s="132">
        <f t="shared" si="5"/>
        <v>175.47</v>
      </c>
      <c r="J54" s="114"/>
    </row>
    <row r="55" spans="1:10" x14ac:dyDescent="0.25">
      <c r="A55" s="1185"/>
      <c r="B55" s="132" t="s">
        <v>480</v>
      </c>
      <c r="C55" s="132">
        <v>18</v>
      </c>
      <c r="D55" s="132" t="s">
        <v>437</v>
      </c>
      <c r="E55" s="132">
        <v>1455</v>
      </c>
      <c r="F55" s="132">
        <v>4</v>
      </c>
      <c r="G55" s="132">
        <f>VLOOKUP(C55,'CKN T4 '!$M$5:$N$19,2,0)</f>
        <v>2</v>
      </c>
      <c r="H55" s="132">
        <f t="shared" si="4"/>
        <v>5.82</v>
      </c>
      <c r="I55" s="132">
        <f t="shared" si="5"/>
        <v>11.64</v>
      </c>
      <c r="J55" s="114"/>
    </row>
    <row r="56" spans="1:10" x14ac:dyDescent="0.25">
      <c r="A56" s="1185"/>
      <c r="B56" s="132" t="s">
        <v>481</v>
      </c>
      <c r="C56" s="132">
        <v>10</v>
      </c>
      <c r="D56" s="132" t="s">
        <v>594</v>
      </c>
      <c r="E56" s="132">
        <v>1147340</v>
      </c>
      <c r="F56" s="132">
        <v>1</v>
      </c>
      <c r="G56" s="132">
        <f>VLOOKUP(C56,'CKN T4 '!$M$5:$N$19,2,0)</f>
        <v>0.61699999999999999</v>
      </c>
      <c r="H56" s="132">
        <f t="shared" si="4"/>
        <v>1147.3399999999999</v>
      </c>
      <c r="I56" s="132">
        <f t="shared" si="5"/>
        <v>707.91</v>
      </c>
      <c r="J56" s="114"/>
    </row>
    <row r="57" spans="1:10" x14ac:dyDescent="0.25">
      <c r="A57" s="1185"/>
      <c r="B57" s="132" t="s">
        <v>592</v>
      </c>
      <c r="C57" s="132">
        <v>25</v>
      </c>
      <c r="D57" s="132" t="s">
        <v>437</v>
      </c>
      <c r="E57" s="132">
        <v>3135</v>
      </c>
      <c r="F57" s="132">
        <v>5</v>
      </c>
      <c r="G57" s="132">
        <f>VLOOKUP(C57,'CKN T4 '!$M$5:$N$19,2,0)</f>
        <v>3.85</v>
      </c>
      <c r="H57" s="132">
        <f t="shared" si="4"/>
        <v>15.68</v>
      </c>
      <c r="I57" s="132">
        <f t="shared" si="5"/>
        <v>60.37</v>
      </c>
      <c r="J57" s="114"/>
    </row>
    <row r="58" spans="1:10" x14ac:dyDescent="0.25">
      <c r="A58" s="1185"/>
      <c r="B58" s="132" t="s">
        <v>482</v>
      </c>
      <c r="C58" s="132">
        <v>25</v>
      </c>
      <c r="D58" s="132" t="s">
        <v>437</v>
      </c>
      <c r="E58" s="132">
        <v>3145</v>
      </c>
      <c r="F58" s="132">
        <v>5</v>
      </c>
      <c r="G58" s="132">
        <f>VLOOKUP(C58,'CKN T4 '!$M$5:$N$19,2,0)</f>
        <v>3.85</v>
      </c>
      <c r="H58" s="132">
        <f t="shared" si="4"/>
        <v>15.73</v>
      </c>
      <c r="I58" s="132">
        <f t="shared" si="5"/>
        <v>60.56</v>
      </c>
      <c r="J58" s="114"/>
    </row>
    <row r="59" spans="1:10" x14ac:dyDescent="0.25">
      <c r="A59" s="1185"/>
      <c r="B59" s="132" t="s">
        <v>483</v>
      </c>
      <c r="C59" s="132">
        <v>25</v>
      </c>
      <c r="D59" s="132" t="s">
        <v>437</v>
      </c>
      <c r="E59" s="132">
        <v>3155</v>
      </c>
      <c r="F59" s="132">
        <v>20</v>
      </c>
      <c r="G59" s="132">
        <f>VLOOKUP(C59,'CKN T4 '!$M$5:$N$19,2,0)</f>
        <v>3.85</v>
      </c>
      <c r="H59" s="132">
        <f t="shared" si="4"/>
        <v>63.1</v>
      </c>
      <c r="I59" s="132">
        <f t="shared" si="5"/>
        <v>242.94</v>
      </c>
      <c r="J59" s="114"/>
    </row>
    <row r="60" spans="1:10" x14ac:dyDescent="0.25">
      <c r="A60" s="1185"/>
      <c r="B60" s="132" t="s">
        <v>486</v>
      </c>
      <c r="C60" s="132">
        <v>16</v>
      </c>
      <c r="D60" s="132" t="s">
        <v>437</v>
      </c>
      <c r="E60" s="132">
        <v>2192</v>
      </c>
      <c r="F60" s="132">
        <v>1</v>
      </c>
      <c r="G60" s="132">
        <f>VLOOKUP(C60,'CKN T4 '!$M$5:$N$19,2,0)</f>
        <v>1.58</v>
      </c>
      <c r="H60" s="132">
        <f t="shared" si="4"/>
        <v>2.19</v>
      </c>
      <c r="I60" s="132">
        <f t="shared" si="5"/>
        <v>3.46</v>
      </c>
      <c r="J60" s="114"/>
    </row>
    <row r="61" spans="1:10" x14ac:dyDescent="0.25">
      <c r="A61" s="1185"/>
      <c r="B61" s="132" t="s">
        <v>365</v>
      </c>
      <c r="C61" s="132">
        <v>12</v>
      </c>
      <c r="D61" s="132" t="s">
        <v>594</v>
      </c>
      <c r="E61" s="132">
        <v>500</v>
      </c>
      <c r="F61" s="132">
        <v>30</v>
      </c>
      <c r="G61" s="132">
        <f>VLOOKUP(C61,'CKN T4 '!$M$5:$N$19,2,0)</f>
        <v>0.88800000000000001</v>
      </c>
      <c r="H61" s="132">
        <f t="shared" si="4"/>
        <v>15</v>
      </c>
      <c r="I61" s="132">
        <f t="shared" si="5"/>
        <v>13.32</v>
      </c>
      <c r="J61" s="114"/>
    </row>
    <row r="62" spans="1:10" x14ac:dyDescent="0.25">
      <c r="A62" s="1185"/>
      <c r="B62" s="132" t="s">
        <v>367</v>
      </c>
      <c r="C62" s="132">
        <v>12</v>
      </c>
      <c r="D62" s="132" t="s">
        <v>594</v>
      </c>
      <c r="E62" s="132">
        <v>420</v>
      </c>
      <c r="F62" s="132">
        <v>90</v>
      </c>
      <c r="G62" s="132">
        <f>VLOOKUP(C62,'CKN T4 '!$M$5:$N$19,2,0)</f>
        <v>0.88800000000000001</v>
      </c>
      <c r="H62" s="132">
        <f t="shared" si="4"/>
        <v>37.799999999999997</v>
      </c>
      <c r="I62" s="132">
        <f t="shared" si="5"/>
        <v>33.57</v>
      </c>
      <c r="J62" s="114"/>
    </row>
    <row r="63" spans="1:10" x14ac:dyDescent="0.25">
      <c r="A63" s="1186"/>
      <c r="B63" s="242" t="s">
        <v>487</v>
      </c>
      <c r="C63" s="237" t="s">
        <v>488</v>
      </c>
      <c r="D63" s="237"/>
      <c r="E63" s="242"/>
      <c r="F63" s="242">
        <v>120</v>
      </c>
      <c r="G63" s="242">
        <v>1.3939999999999999</v>
      </c>
      <c r="H63" s="242"/>
      <c r="I63" s="242">
        <f>F63*G63</f>
        <v>167.28</v>
      </c>
      <c r="J63" s="237"/>
    </row>
    <row r="64" spans="1:10" x14ac:dyDescent="0.25">
      <c r="A64" s="1204" t="s">
        <v>399</v>
      </c>
      <c r="B64" s="1200" t="s">
        <v>593</v>
      </c>
      <c r="C64" s="1200"/>
      <c r="D64" s="1200"/>
      <c r="E64" s="1200"/>
      <c r="F64" s="1200" t="s">
        <v>594</v>
      </c>
      <c r="G64" s="1200"/>
      <c r="H64" s="204">
        <v>10</v>
      </c>
      <c r="I64" s="205">
        <f>SUMIF($C$49:$C$62,H64,$I$49:$I$62)</f>
        <v>707.91</v>
      </c>
      <c r="J64" s="205" t="s">
        <v>410</v>
      </c>
    </row>
    <row r="65" spans="1:10" x14ac:dyDescent="0.25">
      <c r="A65" s="1205"/>
      <c r="B65" s="1203"/>
      <c r="C65" s="1203"/>
      <c r="D65" s="1203"/>
      <c r="E65" s="1203"/>
      <c r="F65" s="1201"/>
      <c r="G65" s="1201"/>
      <c r="H65" s="241">
        <v>12</v>
      </c>
      <c r="I65" s="205">
        <f t="shared" ref="I65:I70" si="6">SUMIF($C$49:$C$62,H65,$I$49:$I$62)</f>
        <v>46.89</v>
      </c>
      <c r="J65" s="205" t="s">
        <v>410</v>
      </c>
    </row>
    <row r="66" spans="1:10" x14ac:dyDescent="0.25">
      <c r="A66" s="1205"/>
      <c r="B66" s="1203"/>
      <c r="C66" s="1203"/>
      <c r="D66" s="1203"/>
      <c r="E66" s="1203"/>
      <c r="F66" s="1202" t="s">
        <v>437</v>
      </c>
      <c r="G66" s="1202"/>
      <c r="H66" s="236">
        <v>16</v>
      </c>
      <c r="I66" s="205">
        <f t="shared" si="6"/>
        <v>3.46</v>
      </c>
      <c r="J66" s="205" t="s">
        <v>410</v>
      </c>
    </row>
    <row r="67" spans="1:10" x14ac:dyDescent="0.25">
      <c r="A67" s="1205"/>
      <c r="B67" s="1203"/>
      <c r="C67" s="1203"/>
      <c r="D67" s="1203"/>
      <c r="E67" s="1203"/>
      <c r="F67" s="1203"/>
      <c r="G67" s="1203"/>
      <c r="H67" s="235">
        <v>18</v>
      </c>
      <c r="I67" s="205">
        <f t="shared" si="6"/>
        <v>11.64</v>
      </c>
      <c r="J67" s="205" t="s">
        <v>410</v>
      </c>
    </row>
    <row r="68" spans="1:10" x14ac:dyDescent="0.25">
      <c r="A68" s="1205"/>
      <c r="B68" s="1203"/>
      <c r="C68" s="1203"/>
      <c r="D68" s="1203"/>
      <c r="E68" s="1203"/>
      <c r="F68" s="1203"/>
      <c r="G68" s="1203"/>
      <c r="H68" s="235">
        <v>20</v>
      </c>
      <c r="I68" s="205">
        <f t="shared" si="6"/>
        <v>2402.0299999999997</v>
      </c>
      <c r="J68" s="205" t="s">
        <v>410</v>
      </c>
    </row>
    <row r="69" spans="1:10" x14ac:dyDescent="0.25">
      <c r="A69" s="1205"/>
      <c r="B69" s="1203"/>
      <c r="C69" s="1203"/>
      <c r="D69" s="1203"/>
      <c r="E69" s="1203"/>
      <c r="F69" s="1203"/>
      <c r="G69" s="1203"/>
      <c r="H69" s="235">
        <v>22</v>
      </c>
      <c r="I69" s="205">
        <f t="shared" si="6"/>
        <v>836.78</v>
      </c>
      <c r="J69" s="205" t="s">
        <v>410</v>
      </c>
    </row>
    <row r="70" spans="1:10" x14ac:dyDescent="0.25">
      <c r="A70" s="1206"/>
      <c r="B70" s="1201"/>
      <c r="C70" s="1201"/>
      <c r="D70" s="1201"/>
      <c r="E70" s="1201"/>
      <c r="F70" s="1201"/>
      <c r="G70" s="1201"/>
      <c r="H70" s="241">
        <v>25</v>
      </c>
      <c r="I70" s="205">
        <f t="shared" si="6"/>
        <v>1398.7499999999998</v>
      </c>
      <c r="J70" s="205" t="s">
        <v>410</v>
      </c>
    </row>
    <row r="71" spans="1:10" x14ac:dyDescent="0.25">
      <c r="A71" s="1204" t="s">
        <v>641</v>
      </c>
      <c r="B71" s="1212" t="s">
        <v>593</v>
      </c>
      <c r="C71" s="1212"/>
      <c r="D71" s="1212"/>
      <c r="E71" s="1212"/>
      <c r="F71" s="1200" t="s">
        <v>594</v>
      </c>
      <c r="G71" s="1200"/>
      <c r="H71" s="204">
        <v>10</v>
      </c>
      <c r="I71" s="205">
        <f>I64*4</f>
        <v>2831.64</v>
      </c>
      <c r="J71" s="205" t="s">
        <v>410</v>
      </c>
    </row>
    <row r="72" spans="1:10" x14ac:dyDescent="0.25">
      <c r="A72" s="1205"/>
      <c r="B72" s="1213"/>
      <c r="C72" s="1213"/>
      <c r="D72" s="1213"/>
      <c r="E72" s="1213"/>
      <c r="F72" s="1203"/>
      <c r="G72" s="1203"/>
      <c r="H72" s="235">
        <v>12</v>
      </c>
      <c r="I72" s="205">
        <f t="shared" ref="I72:I77" si="7">I65*4</f>
        <v>187.56</v>
      </c>
      <c r="J72" s="205" t="s">
        <v>410</v>
      </c>
    </row>
    <row r="73" spans="1:10" x14ac:dyDescent="0.25">
      <c r="A73" s="1205"/>
      <c r="B73" s="1213"/>
      <c r="C73" s="1213"/>
      <c r="D73" s="1213"/>
      <c r="E73" s="1213"/>
      <c r="F73" s="1203" t="s">
        <v>437</v>
      </c>
      <c r="G73" s="1203"/>
      <c r="H73" s="235">
        <v>16</v>
      </c>
      <c r="I73" s="205">
        <f t="shared" si="7"/>
        <v>13.84</v>
      </c>
      <c r="J73" s="205" t="s">
        <v>410</v>
      </c>
    </row>
    <row r="74" spans="1:10" x14ac:dyDescent="0.25">
      <c r="A74" s="1205"/>
      <c r="B74" s="1213"/>
      <c r="C74" s="1213"/>
      <c r="D74" s="1213"/>
      <c r="E74" s="1213"/>
      <c r="F74" s="1203"/>
      <c r="G74" s="1203"/>
      <c r="H74" s="235">
        <v>18</v>
      </c>
      <c r="I74" s="205">
        <f t="shared" si="7"/>
        <v>46.56</v>
      </c>
      <c r="J74" s="205" t="s">
        <v>410</v>
      </c>
    </row>
    <row r="75" spans="1:10" x14ac:dyDescent="0.25">
      <c r="A75" s="1205"/>
      <c r="B75" s="1213"/>
      <c r="C75" s="1213"/>
      <c r="D75" s="1213"/>
      <c r="E75" s="1213"/>
      <c r="F75" s="1203"/>
      <c r="G75" s="1203"/>
      <c r="H75" s="235">
        <v>20</v>
      </c>
      <c r="I75" s="205">
        <f t="shared" si="7"/>
        <v>9608.119999999999</v>
      </c>
      <c r="J75" s="205" t="s">
        <v>410</v>
      </c>
    </row>
    <row r="76" spans="1:10" x14ac:dyDescent="0.25">
      <c r="A76" s="1205"/>
      <c r="B76" s="1213"/>
      <c r="C76" s="1213"/>
      <c r="D76" s="1213"/>
      <c r="E76" s="1213"/>
      <c r="F76" s="1203"/>
      <c r="G76" s="1203"/>
      <c r="H76" s="235">
        <v>22</v>
      </c>
      <c r="I76" s="205">
        <f t="shared" si="7"/>
        <v>3347.12</v>
      </c>
      <c r="J76" s="205" t="s">
        <v>410</v>
      </c>
    </row>
    <row r="77" spans="1:10" x14ac:dyDescent="0.25">
      <c r="A77" s="1205"/>
      <c r="B77" s="1214"/>
      <c r="C77" s="1214"/>
      <c r="D77" s="1214"/>
      <c r="E77" s="1214"/>
      <c r="F77" s="1201"/>
      <c r="G77" s="1201"/>
      <c r="H77" s="241">
        <v>25</v>
      </c>
      <c r="I77" s="205">
        <f t="shared" si="7"/>
        <v>5594.9999999999991</v>
      </c>
      <c r="J77" s="205" t="s">
        <v>410</v>
      </c>
    </row>
    <row r="78" spans="1:10" x14ac:dyDescent="0.25">
      <c r="A78" s="1205"/>
      <c r="B78" s="306" t="s">
        <v>642</v>
      </c>
      <c r="C78" s="309"/>
      <c r="D78" s="310"/>
      <c r="E78" s="310"/>
      <c r="F78" s="310"/>
      <c r="G78" s="310"/>
      <c r="H78" s="311"/>
      <c r="I78" s="307" t="s">
        <v>656</v>
      </c>
      <c r="J78" s="116" t="s">
        <v>658</v>
      </c>
    </row>
    <row r="79" spans="1:10" x14ac:dyDescent="0.25">
      <c r="A79" s="1205"/>
      <c r="B79" s="302" t="s">
        <v>643</v>
      </c>
      <c r="C79" s="312"/>
      <c r="D79" s="313"/>
      <c r="E79" s="313"/>
      <c r="F79" s="313"/>
      <c r="G79" s="313"/>
      <c r="H79" s="314"/>
      <c r="I79" s="303" t="s">
        <v>657</v>
      </c>
      <c r="J79" s="116" t="s">
        <v>658</v>
      </c>
    </row>
    <row r="80" spans="1:10" x14ac:dyDescent="0.25">
      <c r="A80" s="1205"/>
      <c r="B80" s="302" t="s">
        <v>644</v>
      </c>
      <c r="C80" s="312"/>
      <c r="D80" s="313"/>
      <c r="E80" s="313"/>
      <c r="F80" s="313"/>
      <c r="G80" s="313"/>
      <c r="H80" s="314"/>
      <c r="I80" s="303" t="s">
        <v>653</v>
      </c>
      <c r="J80" s="116" t="s">
        <v>658</v>
      </c>
    </row>
    <row r="81" spans="1:10" x14ac:dyDescent="0.25">
      <c r="A81" s="1205"/>
      <c r="B81" s="302" t="s">
        <v>645</v>
      </c>
      <c r="C81" s="312"/>
      <c r="D81" s="313"/>
      <c r="E81" s="313"/>
      <c r="F81" s="313"/>
      <c r="G81" s="313"/>
      <c r="H81" s="314"/>
      <c r="I81" s="303" t="s">
        <v>652</v>
      </c>
      <c r="J81" s="116" t="s">
        <v>658</v>
      </c>
    </row>
    <row r="82" spans="1:10" x14ac:dyDescent="0.25">
      <c r="A82" s="1205"/>
      <c r="B82" s="302" t="s">
        <v>646</v>
      </c>
      <c r="C82" s="312"/>
      <c r="D82" s="313"/>
      <c r="E82" s="313"/>
      <c r="F82" s="313"/>
      <c r="G82" s="313"/>
      <c r="H82" s="314"/>
      <c r="I82" s="303">
        <v>197.52</v>
      </c>
      <c r="J82" s="114" t="s">
        <v>659</v>
      </c>
    </row>
    <row r="83" spans="1:10" x14ac:dyDescent="0.25">
      <c r="A83" s="1205"/>
      <c r="B83" s="302" t="s">
        <v>647</v>
      </c>
      <c r="C83" s="312"/>
      <c r="D83" s="313"/>
      <c r="E83" s="313"/>
      <c r="F83" s="313"/>
      <c r="G83" s="313"/>
      <c r="H83" s="314"/>
      <c r="I83" s="303">
        <v>759.64</v>
      </c>
      <c r="J83" s="114" t="s">
        <v>659</v>
      </c>
    </row>
    <row r="84" spans="1:10" x14ac:dyDescent="0.25">
      <c r="A84" s="1205"/>
      <c r="B84" s="302" t="s">
        <v>496</v>
      </c>
      <c r="C84" s="312"/>
      <c r="D84" s="313"/>
      <c r="E84" s="313"/>
      <c r="F84" s="313"/>
      <c r="G84" s="313"/>
      <c r="H84" s="314"/>
      <c r="I84" s="303">
        <v>669.2</v>
      </c>
      <c r="J84" s="114" t="s">
        <v>659</v>
      </c>
    </row>
    <row r="85" spans="1:10" x14ac:dyDescent="0.25">
      <c r="A85" s="1205"/>
      <c r="B85" s="302" t="s">
        <v>648</v>
      </c>
      <c r="C85" s="312"/>
      <c r="D85" s="313"/>
      <c r="E85" s="313"/>
      <c r="F85" s="313"/>
      <c r="G85" s="313"/>
      <c r="H85" s="314"/>
      <c r="I85" s="303" t="s">
        <v>654</v>
      </c>
      <c r="J85" s="114" t="s">
        <v>658</v>
      </c>
    </row>
    <row r="86" spans="1:10" x14ac:dyDescent="0.25">
      <c r="A86" s="1206"/>
      <c r="B86" s="304" t="s">
        <v>649</v>
      </c>
      <c r="C86" s="315"/>
      <c r="D86" s="316"/>
      <c r="E86" s="316"/>
      <c r="F86" s="316"/>
      <c r="G86" s="316"/>
      <c r="H86" s="317"/>
      <c r="I86" s="305" t="s">
        <v>655</v>
      </c>
      <c r="J86" s="114" t="s">
        <v>658</v>
      </c>
    </row>
  </sheetData>
  <mergeCells count="26">
    <mergeCell ref="F64:G65"/>
    <mergeCell ref="F66:G70"/>
    <mergeCell ref="A71:A86"/>
    <mergeCell ref="B71:E77"/>
    <mergeCell ref="F71:G72"/>
    <mergeCell ref="F73:G77"/>
    <mergeCell ref="A47:A48"/>
    <mergeCell ref="B47:B48"/>
    <mergeCell ref="D47:D48"/>
    <mergeCell ref="A49:A63"/>
    <mergeCell ref="A64:A70"/>
    <mergeCell ref="B64:E70"/>
    <mergeCell ref="A2:J2"/>
    <mergeCell ref="F28:G29"/>
    <mergeCell ref="F30:G34"/>
    <mergeCell ref="B28:E34"/>
    <mergeCell ref="A28:A43"/>
    <mergeCell ref="A6:A20"/>
    <mergeCell ref="A4:A5"/>
    <mergeCell ref="B4:B5"/>
    <mergeCell ref="D4:D5"/>
    <mergeCell ref="A45:J45"/>
    <mergeCell ref="F21:G22"/>
    <mergeCell ref="F23:G27"/>
    <mergeCell ref="B21:E27"/>
    <mergeCell ref="A21:A27"/>
  </mergeCells>
  <pageMargins left="0.7" right="0.7" top="0.75" bottom="0.75" header="0.3" footer="0.3"/>
  <pageSetup paperSize="256" scale="7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1"/>
  <sheetViews>
    <sheetView showGridLines="0" topLeftCell="A16" zoomScale="90" zoomScaleNormal="90" workbookViewId="0">
      <selection activeCell="B41" sqref="B41"/>
    </sheetView>
  </sheetViews>
  <sheetFormatPr defaultColWidth="9" defaultRowHeight="12.75" x14ac:dyDescent="0.2"/>
  <cols>
    <col min="1" max="1" width="4" style="325" bestFit="1" customWidth="1"/>
    <col min="2" max="2" width="70.5703125" style="325" customWidth="1"/>
    <col min="3" max="3" width="9" style="325"/>
    <col min="4" max="4" width="14.85546875" style="325" customWidth="1"/>
    <col min="5" max="5" width="13.85546875" style="325" hidden="1" customWidth="1"/>
    <col min="6" max="6" width="14.28515625" style="319" hidden="1" customWidth="1"/>
    <col min="7" max="7" width="20.85546875" style="325" customWidth="1"/>
    <col min="8" max="8" width="22.7109375" style="325" hidden="1" customWidth="1"/>
    <col min="9" max="11" width="0" style="325" hidden="1" customWidth="1"/>
    <col min="12" max="256" width="9" style="325"/>
    <col min="257" max="257" width="4" style="325" bestFit="1" customWidth="1"/>
    <col min="258" max="258" width="70.5703125" style="325" customWidth="1"/>
    <col min="259" max="259" width="9" style="325"/>
    <col min="260" max="260" width="12.42578125" style="325" bestFit="1" customWidth="1"/>
    <col min="261" max="261" width="13.85546875" style="325" bestFit="1" customWidth="1"/>
    <col min="262" max="262" width="14.28515625" style="325" customWidth="1"/>
    <col min="263" max="263" width="27.42578125" style="325" customWidth="1"/>
    <col min="264" max="264" width="22.7109375" style="325" customWidth="1"/>
    <col min="265" max="512" width="9" style="325"/>
    <col min="513" max="513" width="4" style="325" bestFit="1" customWidth="1"/>
    <col min="514" max="514" width="70.5703125" style="325" customWidth="1"/>
    <col min="515" max="515" width="9" style="325"/>
    <col min="516" max="516" width="12.42578125" style="325" bestFit="1" customWidth="1"/>
    <col min="517" max="517" width="13.85546875" style="325" bestFit="1" customWidth="1"/>
    <col min="518" max="518" width="14.28515625" style="325" customWidth="1"/>
    <col min="519" max="519" width="27.42578125" style="325" customWidth="1"/>
    <col min="520" max="520" width="22.7109375" style="325" customWidth="1"/>
    <col min="521" max="768" width="9" style="325"/>
    <col min="769" max="769" width="4" style="325" bestFit="1" customWidth="1"/>
    <col min="770" max="770" width="70.5703125" style="325" customWidth="1"/>
    <col min="771" max="771" width="9" style="325"/>
    <col min="772" max="772" width="12.42578125" style="325" bestFit="1" customWidth="1"/>
    <col min="773" max="773" width="13.85546875" style="325" bestFit="1" customWidth="1"/>
    <col min="774" max="774" width="14.28515625" style="325" customWidth="1"/>
    <col min="775" max="775" width="27.42578125" style="325" customWidth="1"/>
    <col min="776" max="776" width="22.7109375" style="325" customWidth="1"/>
    <col min="777" max="1024" width="9" style="325"/>
    <col min="1025" max="1025" width="4" style="325" bestFit="1" customWidth="1"/>
    <col min="1026" max="1026" width="70.5703125" style="325" customWidth="1"/>
    <col min="1027" max="1027" width="9" style="325"/>
    <col min="1028" max="1028" width="12.42578125" style="325" bestFit="1" customWidth="1"/>
    <col min="1029" max="1029" width="13.85546875" style="325" bestFit="1" customWidth="1"/>
    <col min="1030" max="1030" width="14.28515625" style="325" customWidth="1"/>
    <col min="1031" max="1031" width="27.42578125" style="325" customWidth="1"/>
    <col min="1032" max="1032" width="22.7109375" style="325" customWidth="1"/>
    <col min="1033" max="1280" width="9" style="325"/>
    <col min="1281" max="1281" width="4" style="325" bestFit="1" customWidth="1"/>
    <col min="1282" max="1282" width="70.5703125" style="325" customWidth="1"/>
    <col min="1283" max="1283" width="9" style="325"/>
    <col min="1284" max="1284" width="12.42578125" style="325" bestFit="1" customWidth="1"/>
    <col min="1285" max="1285" width="13.85546875" style="325" bestFit="1" customWidth="1"/>
    <col min="1286" max="1286" width="14.28515625" style="325" customWidth="1"/>
    <col min="1287" max="1287" width="27.42578125" style="325" customWidth="1"/>
    <col min="1288" max="1288" width="22.7109375" style="325" customWidth="1"/>
    <col min="1289" max="1536" width="9" style="325"/>
    <col min="1537" max="1537" width="4" style="325" bestFit="1" customWidth="1"/>
    <col min="1538" max="1538" width="70.5703125" style="325" customWidth="1"/>
    <col min="1539" max="1539" width="9" style="325"/>
    <col min="1540" max="1540" width="12.42578125" style="325" bestFit="1" customWidth="1"/>
    <col min="1541" max="1541" width="13.85546875" style="325" bestFit="1" customWidth="1"/>
    <col min="1542" max="1542" width="14.28515625" style="325" customWidth="1"/>
    <col min="1543" max="1543" width="27.42578125" style="325" customWidth="1"/>
    <col min="1544" max="1544" width="22.7109375" style="325" customWidth="1"/>
    <col min="1545" max="1792" width="9" style="325"/>
    <col min="1793" max="1793" width="4" style="325" bestFit="1" customWidth="1"/>
    <col min="1794" max="1794" width="70.5703125" style="325" customWidth="1"/>
    <col min="1795" max="1795" width="9" style="325"/>
    <col min="1796" max="1796" width="12.42578125" style="325" bestFit="1" customWidth="1"/>
    <col min="1797" max="1797" width="13.85546875" style="325" bestFit="1" customWidth="1"/>
    <col min="1798" max="1798" width="14.28515625" style="325" customWidth="1"/>
    <col min="1799" max="1799" width="27.42578125" style="325" customWidth="1"/>
    <col min="1800" max="1800" width="22.7109375" style="325" customWidth="1"/>
    <col min="1801" max="2048" width="9" style="325"/>
    <col min="2049" max="2049" width="4" style="325" bestFit="1" customWidth="1"/>
    <col min="2050" max="2050" width="70.5703125" style="325" customWidth="1"/>
    <col min="2051" max="2051" width="9" style="325"/>
    <col min="2052" max="2052" width="12.42578125" style="325" bestFit="1" customWidth="1"/>
    <col min="2053" max="2053" width="13.85546875" style="325" bestFit="1" customWidth="1"/>
    <col min="2054" max="2054" width="14.28515625" style="325" customWidth="1"/>
    <col min="2055" max="2055" width="27.42578125" style="325" customWidth="1"/>
    <col min="2056" max="2056" width="22.7109375" style="325" customWidth="1"/>
    <col min="2057" max="2304" width="9" style="325"/>
    <col min="2305" max="2305" width="4" style="325" bestFit="1" customWidth="1"/>
    <col min="2306" max="2306" width="70.5703125" style="325" customWidth="1"/>
    <col min="2307" max="2307" width="9" style="325"/>
    <col min="2308" max="2308" width="12.42578125" style="325" bestFit="1" customWidth="1"/>
    <col min="2309" max="2309" width="13.85546875" style="325" bestFit="1" customWidth="1"/>
    <col min="2310" max="2310" width="14.28515625" style="325" customWidth="1"/>
    <col min="2311" max="2311" width="27.42578125" style="325" customWidth="1"/>
    <col min="2312" max="2312" width="22.7109375" style="325" customWidth="1"/>
    <col min="2313" max="2560" width="9" style="325"/>
    <col min="2561" max="2561" width="4" style="325" bestFit="1" customWidth="1"/>
    <col min="2562" max="2562" width="70.5703125" style="325" customWidth="1"/>
    <col min="2563" max="2563" width="9" style="325"/>
    <col min="2564" max="2564" width="12.42578125" style="325" bestFit="1" customWidth="1"/>
    <col min="2565" max="2565" width="13.85546875" style="325" bestFit="1" customWidth="1"/>
    <col min="2566" max="2566" width="14.28515625" style="325" customWidth="1"/>
    <col min="2567" max="2567" width="27.42578125" style="325" customWidth="1"/>
    <col min="2568" max="2568" width="22.7109375" style="325" customWidth="1"/>
    <col min="2569" max="2816" width="9" style="325"/>
    <col min="2817" max="2817" width="4" style="325" bestFit="1" customWidth="1"/>
    <col min="2818" max="2818" width="70.5703125" style="325" customWidth="1"/>
    <col min="2819" max="2819" width="9" style="325"/>
    <col min="2820" max="2820" width="12.42578125" style="325" bestFit="1" customWidth="1"/>
    <col min="2821" max="2821" width="13.85546875" style="325" bestFit="1" customWidth="1"/>
    <col min="2822" max="2822" width="14.28515625" style="325" customWidth="1"/>
    <col min="2823" max="2823" width="27.42578125" style="325" customWidth="1"/>
    <col min="2824" max="2824" width="22.7109375" style="325" customWidth="1"/>
    <col min="2825" max="3072" width="9" style="325"/>
    <col min="3073" max="3073" width="4" style="325" bestFit="1" customWidth="1"/>
    <col min="3074" max="3074" width="70.5703125" style="325" customWidth="1"/>
    <col min="3075" max="3075" width="9" style="325"/>
    <col min="3076" max="3076" width="12.42578125" style="325" bestFit="1" customWidth="1"/>
    <col min="3077" max="3077" width="13.85546875" style="325" bestFit="1" customWidth="1"/>
    <col min="3078" max="3078" width="14.28515625" style="325" customWidth="1"/>
    <col min="3079" max="3079" width="27.42578125" style="325" customWidth="1"/>
    <col min="3080" max="3080" width="22.7109375" style="325" customWidth="1"/>
    <col min="3081" max="3328" width="9" style="325"/>
    <col min="3329" max="3329" width="4" style="325" bestFit="1" customWidth="1"/>
    <col min="3330" max="3330" width="70.5703125" style="325" customWidth="1"/>
    <col min="3331" max="3331" width="9" style="325"/>
    <col min="3332" max="3332" width="12.42578125" style="325" bestFit="1" customWidth="1"/>
    <col min="3333" max="3333" width="13.85546875" style="325" bestFit="1" customWidth="1"/>
    <col min="3334" max="3334" width="14.28515625" style="325" customWidth="1"/>
    <col min="3335" max="3335" width="27.42578125" style="325" customWidth="1"/>
    <col min="3336" max="3336" width="22.7109375" style="325" customWidth="1"/>
    <col min="3337" max="3584" width="9" style="325"/>
    <col min="3585" max="3585" width="4" style="325" bestFit="1" customWidth="1"/>
    <col min="3586" max="3586" width="70.5703125" style="325" customWidth="1"/>
    <col min="3587" max="3587" width="9" style="325"/>
    <col min="3588" max="3588" width="12.42578125" style="325" bestFit="1" customWidth="1"/>
    <col min="3589" max="3589" width="13.85546875" style="325" bestFit="1" customWidth="1"/>
    <col min="3590" max="3590" width="14.28515625" style="325" customWidth="1"/>
    <col min="3591" max="3591" width="27.42578125" style="325" customWidth="1"/>
    <col min="3592" max="3592" width="22.7109375" style="325" customWidth="1"/>
    <col min="3593" max="3840" width="9" style="325"/>
    <col min="3841" max="3841" width="4" style="325" bestFit="1" customWidth="1"/>
    <col min="3842" max="3842" width="70.5703125" style="325" customWidth="1"/>
    <col min="3843" max="3843" width="9" style="325"/>
    <col min="3844" max="3844" width="12.42578125" style="325" bestFit="1" customWidth="1"/>
    <col min="3845" max="3845" width="13.85546875" style="325" bestFit="1" customWidth="1"/>
    <col min="3846" max="3846" width="14.28515625" style="325" customWidth="1"/>
    <col min="3847" max="3847" width="27.42578125" style="325" customWidth="1"/>
    <col min="3848" max="3848" width="22.7109375" style="325" customWidth="1"/>
    <col min="3849" max="4096" width="9" style="325"/>
    <col min="4097" max="4097" width="4" style="325" bestFit="1" customWidth="1"/>
    <col min="4098" max="4098" width="70.5703125" style="325" customWidth="1"/>
    <col min="4099" max="4099" width="9" style="325"/>
    <col min="4100" max="4100" width="12.42578125" style="325" bestFit="1" customWidth="1"/>
    <col min="4101" max="4101" width="13.85546875" style="325" bestFit="1" customWidth="1"/>
    <col min="4102" max="4102" width="14.28515625" style="325" customWidth="1"/>
    <col min="4103" max="4103" width="27.42578125" style="325" customWidth="1"/>
    <col min="4104" max="4104" width="22.7109375" style="325" customWidth="1"/>
    <col min="4105" max="4352" width="9" style="325"/>
    <col min="4353" max="4353" width="4" style="325" bestFit="1" customWidth="1"/>
    <col min="4354" max="4354" width="70.5703125" style="325" customWidth="1"/>
    <col min="4355" max="4355" width="9" style="325"/>
    <col min="4356" max="4356" width="12.42578125" style="325" bestFit="1" customWidth="1"/>
    <col min="4357" max="4357" width="13.85546875" style="325" bestFit="1" customWidth="1"/>
    <col min="4358" max="4358" width="14.28515625" style="325" customWidth="1"/>
    <col min="4359" max="4359" width="27.42578125" style="325" customWidth="1"/>
    <col min="4360" max="4360" width="22.7109375" style="325" customWidth="1"/>
    <col min="4361" max="4608" width="9" style="325"/>
    <col min="4609" max="4609" width="4" style="325" bestFit="1" customWidth="1"/>
    <col min="4610" max="4610" width="70.5703125" style="325" customWidth="1"/>
    <col min="4611" max="4611" width="9" style="325"/>
    <col min="4612" max="4612" width="12.42578125" style="325" bestFit="1" customWidth="1"/>
    <col min="4613" max="4613" width="13.85546875" style="325" bestFit="1" customWidth="1"/>
    <col min="4614" max="4614" width="14.28515625" style="325" customWidth="1"/>
    <col min="4615" max="4615" width="27.42578125" style="325" customWidth="1"/>
    <col min="4616" max="4616" width="22.7109375" style="325" customWidth="1"/>
    <col min="4617" max="4864" width="9" style="325"/>
    <col min="4865" max="4865" width="4" style="325" bestFit="1" customWidth="1"/>
    <col min="4866" max="4866" width="70.5703125" style="325" customWidth="1"/>
    <col min="4867" max="4867" width="9" style="325"/>
    <col min="4868" max="4868" width="12.42578125" style="325" bestFit="1" customWidth="1"/>
    <col min="4869" max="4869" width="13.85546875" style="325" bestFit="1" customWidth="1"/>
    <col min="4870" max="4870" width="14.28515625" style="325" customWidth="1"/>
    <col min="4871" max="4871" width="27.42578125" style="325" customWidth="1"/>
    <col min="4872" max="4872" width="22.7109375" style="325" customWidth="1"/>
    <col min="4873" max="5120" width="9" style="325"/>
    <col min="5121" max="5121" width="4" style="325" bestFit="1" customWidth="1"/>
    <col min="5122" max="5122" width="70.5703125" style="325" customWidth="1"/>
    <col min="5123" max="5123" width="9" style="325"/>
    <col min="5124" max="5124" width="12.42578125" style="325" bestFit="1" customWidth="1"/>
    <col min="5125" max="5125" width="13.85546875" style="325" bestFit="1" customWidth="1"/>
    <col min="5126" max="5126" width="14.28515625" style="325" customWidth="1"/>
    <col min="5127" max="5127" width="27.42578125" style="325" customWidth="1"/>
    <col min="5128" max="5128" width="22.7109375" style="325" customWidth="1"/>
    <col min="5129" max="5376" width="9" style="325"/>
    <col min="5377" max="5377" width="4" style="325" bestFit="1" customWidth="1"/>
    <col min="5378" max="5378" width="70.5703125" style="325" customWidth="1"/>
    <col min="5379" max="5379" width="9" style="325"/>
    <col min="5380" max="5380" width="12.42578125" style="325" bestFit="1" customWidth="1"/>
    <col min="5381" max="5381" width="13.85546875" style="325" bestFit="1" customWidth="1"/>
    <col min="5382" max="5382" width="14.28515625" style="325" customWidth="1"/>
    <col min="5383" max="5383" width="27.42578125" style="325" customWidth="1"/>
    <col min="5384" max="5384" width="22.7109375" style="325" customWidth="1"/>
    <col min="5385" max="5632" width="9" style="325"/>
    <col min="5633" max="5633" width="4" style="325" bestFit="1" customWidth="1"/>
    <col min="5634" max="5634" width="70.5703125" style="325" customWidth="1"/>
    <col min="5635" max="5635" width="9" style="325"/>
    <col min="5636" max="5636" width="12.42578125" style="325" bestFit="1" customWidth="1"/>
    <col min="5637" max="5637" width="13.85546875" style="325" bestFit="1" customWidth="1"/>
    <col min="5638" max="5638" width="14.28515625" style="325" customWidth="1"/>
    <col min="5639" max="5639" width="27.42578125" style="325" customWidth="1"/>
    <col min="5640" max="5640" width="22.7109375" style="325" customWidth="1"/>
    <col min="5641" max="5888" width="9" style="325"/>
    <col min="5889" max="5889" width="4" style="325" bestFit="1" customWidth="1"/>
    <col min="5890" max="5890" width="70.5703125" style="325" customWidth="1"/>
    <col min="5891" max="5891" width="9" style="325"/>
    <col min="5892" max="5892" width="12.42578125" style="325" bestFit="1" customWidth="1"/>
    <col min="5893" max="5893" width="13.85546875" style="325" bestFit="1" customWidth="1"/>
    <col min="5894" max="5894" width="14.28515625" style="325" customWidth="1"/>
    <col min="5895" max="5895" width="27.42578125" style="325" customWidth="1"/>
    <col min="5896" max="5896" width="22.7109375" style="325" customWidth="1"/>
    <col min="5897" max="6144" width="9" style="325"/>
    <col min="6145" max="6145" width="4" style="325" bestFit="1" customWidth="1"/>
    <col min="6146" max="6146" width="70.5703125" style="325" customWidth="1"/>
    <col min="6147" max="6147" width="9" style="325"/>
    <col min="6148" max="6148" width="12.42578125" style="325" bestFit="1" customWidth="1"/>
    <col min="6149" max="6149" width="13.85546875" style="325" bestFit="1" customWidth="1"/>
    <col min="6150" max="6150" width="14.28515625" style="325" customWidth="1"/>
    <col min="6151" max="6151" width="27.42578125" style="325" customWidth="1"/>
    <col min="6152" max="6152" width="22.7109375" style="325" customWidth="1"/>
    <col min="6153" max="6400" width="9" style="325"/>
    <col min="6401" max="6401" width="4" style="325" bestFit="1" customWidth="1"/>
    <col min="6402" max="6402" width="70.5703125" style="325" customWidth="1"/>
    <col min="6403" max="6403" width="9" style="325"/>
    <col min="6404" max="6404" width="12.42578125" style="325" bestFit="1" customWidth="1"/>
    <col min="6405" max="6405" width="13.85546875" style="325" bestFit="1" customWidth="1"/>
    <col min="6406" max="6406" width="14.28515625" style="325" customWidth="1"/>
    <col min="6407" max="6407" width="27.42578125" style="325" customWidth="1"/>
    <col min="6408" max="6408" width="22.7109375" style="325" customWidth="1"/>
    <col min="6409" max="6656" width="9" style="325"/>
    <col min="6657" max="6657" width="4" style="325" bestFit="1" customWidth="1"/>
    <col min="6658" max="6658" width="70.5703125" style="325" customWidth="1"/>
    <col min="6659" max="6659" width="9" style="325"/>
    <col min="6660" max="6660" width="12.42578125" style="325" bestFit="1" customWidth="1"/>
    <col min="6661" max="6661" width="13.85546875" style="325" bestFit="1" customWidth="1"/>
    <col min="6662" max="6662" width="14.28515625" style="325" customWidth="1"/>
    <col min="6663" max="6663" width="27.42578125" style="325" customWidth="1"/>
    <col min="6664" max="6664" width="22.7109375" style="325" customWidth="1"/>
    <col min="6665" max="6912" width="9" style="325"/>
    <col min="6913" max="6913" width="4" style="325" bestFit="1" customWidth="1"/>
    <col min="6914" max="6914" width="70.5703125" style="325" customWidth="1"/>
    <col min="6915" max="6915" width="9" style="325"/>
    <col min="6916" max="6916" width="12.42578125" style="325" bestFit="1" customWidth="1"/>
    <col min="6917" max="6917" width="13.85546875" style="325" bestFit="1" customWidth="1"/>
    <col min="6918" max="6918" width="14.28515625" style="325" customWidth="1"/>
    <col min="6919" max="6919" width="27.42578125" style="325" customWidth="1"/>
    <col min="6920" max="6920" width="22.7109375" style="325" customWidth="1"/>
    <col min="6921" max="7168" width="9" style="325"/>
    <col min="7169" max="7169" width="4" style="325" bestFit="1" customWidth="1"/>
    <col min="7170" max="7170" width="70.5703125" style="325" customWidth="1"/>
    <col min="7171" max="7171" width="9" style="325"/>
    <col min="7172" max="7172" width="12.42578125" style="325" bestFit="1" customWidth="1"/>
    <col min="7173" max="7173" width="13.85546875" style="325" bestFit="1" customWidth="1"/>
    <col min="7174" max="7174" width="14.28515625" style="325" customWidth="1"/>
    <col min="7175" max="7175" width="27.42578125" style="325" customWidth="1"/>
    <col min="7176" max="7176" width="22.7109375" style="325" customWidth="1"/>
    <col min="7177" max="7424" width="9" style="325"/>
    <col min="7425" max="7425" width="4" style="325" bestFit="1" customWidth="1"/>
    <col min="7426" max="7426" width="70.5703125" style="325" customWidth="1"/>
    <col min="7427" max="7427" width="9" style="325"/>
    <col min="7428" max="7428" width="12.42578125" style="325" bestFit="1" customWidth="1"/>
    <col min="7429" max="7429" width="13.85546875" style="325" bestFit="1" customWidth="1"/>
    <col min="7430" max="7430" width="14.28515625" style="325" customWidth="1"/>
    <col min="7431" max="7431" width="27.42578125" style="325" customWidth="1"/>
    <col min="7432" max="7432" width="22.7109375" style="325" customWidth="1"/>
    <col min="7433" max="7680" width="9" style="325"/>
    <col min="7681" max="7681" width="4" style="325" bestFit="1" customWidth="1"/>
    <col min="7682" max="7682" width="70.5703125" style="325" customWidth="1"/>
    <col min="7683" max="7683" width="9" style="325"/>
    <col min="7684" max="7684" width="12.42578125" style="325" bestFit="1" customWidth="1"/>
    <col min="7685" max="7685" width="13.85546875" style="325" bestFit="1" customWidth="1"/>
    <col min="7686" max="7686" width="14.28515625" style="325" customWidth="1"/>
    <col min="7687" max="7687" width="27.42578125" style="325" customWidth="1"/>
    <col min="7688" max="7688" width="22.7109375" style="325" customWidth="1"/>
    <col min="7689" max="7936" width="9" style="325"/>
    <col min="7937" max="7937" width="4" style="325" bestFit="1" customWidth="1"/>
    <col min="7938" max="7938" width="70.5703125" style="325" customWidth="1"/>
    <col min="7939" max="7939" width="9" style="325"/>
    <col min="7940" max="7940" width="12.42578125" style="325" bestFit="1" customWidth="1"/>
    <col min="7941" max="7941" width="13.85546875" style="325" bestFit="1" customWidth="1"/>
    <col min="7942" max="7942" width="14.28515625" style="325" customWidth="1"/>
    <col min="7943" max="7943" width="27.42578125" style="325" customWidth="1"/>
    <col min="7944" max="7944" width="22.7109375" style="325" customWidth="1"/>
    <col min="7945" max="8192" width="9" style="325"/>
    <col min="8193" max="8193" width="4" style="325" bestFit="1" customWidth="1"/>
    <col min="8194" max="8194" width="70.5703125" style="325" customWidth="1"/>
    <col min="8195" max="8195" width="9" style="325"/>
    <col min="8196" max="8196" width="12.42578125" style="325" bestFit="1" customWidth="1"/>
    <col min="8197" max="8197" width="13.85546875" style="325" bestFit="1" customWidth="1"/>
    <col min="8198" max="8198" width="14.28515625" style="325" customWidth="1"/>
    <col min="8199" max="8199" width="27.42578125" style="325" customWidth="1"/>
    <col min="8200" max="8200" width="22.7109375" style="325" customWidth="1"/>
    <col min="8201" max="8448" width="9" style="325"/>
    <col min="8449" max="8449" width="4" style="325" bestFit="1" customWidth="1"/>
    <col min="8450" max="8450" width="70.5703125" style="325" customWidth="1"/>
    <col min="8451" max="8451" width="9" style="325"/>
    <col min="8452" max="8452" width="12.42578125" style="325" bestFit="1" customWidth="1"/>
    <col min="8453" max="8453" width="13.85546875" style="325" bestFit="1" customWidth="1"/>
    <col min="8454" max="8454" width="14.28515625" style="325" customWidth="1"/>
    <col min="8455" max="8455" width="27.42578125" style="325" customWidth="1"/>
    <col min="8456" max="8456" width="22.7109375" style="325" customWidth="1"/>
    <col min="8457" max="8704" width="9" style="325"/>
    <col min="8705" max="8705" width="4" style="325" bestFit="1" customWidth="1"/>
    <col min="8706" max="8706" width="70.5703125" style="325" customWidth="1"/>
    <col min="8707" max="8707" width="9" style="325"/>
    <col min="8708" max="8708" width="12.42578125" style="325" bestFit="1" customWidth="1"/>
    <col min="8709" max="8709" width="13.85546875" style="325" bestFit="1" customWidth="1"/>
    <col min="8710" max="8710" width="14.28515625" style="325" customWidth="1"/>
    <col min="8711" max="8711" width="27.42578125" style="325" customWidth="1"/>
    <col min="8712" max="8712" width="22.7109375" style="325" customWidth="1"/>
    <col min="8713" max="8960" width="9" style="325"/>
    <col min="8961" max="8961" width="4" style="325" bestFit="1" customWidth="1"/>
    <col min="8962" max="8962" width="70.5703125" style="325" customWidth="1"/>
    <col min="8963" max="8963" width="9" style="325"/>
    <col min="8964" max="8964" width="12.42578125" style="325" bestFit="1" customWidth="1"/>
    <col min="8965" max="8965" width="13.85546875" style="325" bestFit="1" customWidth="1"/>
    <col min="8966" max="8966" width="14.28515625" style="325" customWidth="1"/>
    <col min="8967" max="8967" width="27.42578125" style="325" customWidth="1"/>
    <col min="8968" max="8968" width="22.7109375" style="325" customWidth="1"/>
    <col min="8969" max="9216" width="9" style="325"/>
    <col min="9217" max="9217" width="4" style="325" bestFit="1" customWidth="1"/>
    <col min="9218" max="9218" width="70.5703125" style="325" customWidth="1"/>
    <col min="9219" max="9219" width="9" style="325"/>
    <col min="9220" max="9220" width="12.42578125" style="325" bestFit="1" customWidth="1"/>
    <col min="9221" max="9221" width="13.85546875" style="325" bestFit="1" customWidth="1"/>
    <col min="9222" max="9222" width="14.28515625" style="325" customWidth="1"/>
    <col min="9223" max="9223" width="27.42578125" style="325" customWidth="1"/>
    <col min="9224" max="9224" width="22.7109375" style="325" customWidth="1"/>
    <col min="9225" max="9472" width="9" style="325"/>
    <col min="9473" max="9473" width="4" style="325" bestFit="1" customWidth="1"/>
    <col min="9474" max="9474" width="70.5703125" style="325" customWidth="1"/>
    <col min="9475" max="9475" width="9" style="325"/>
    <col min="9476" max="9476" width="12.42578125" style="325" bestFit="1" customWidth="1"/>
    <col min="9477" max="9477" width="13.85546875" style="325" bestFit="1" customWidth="1"/>
    <col min="9478" max="9478" width="14.28515625" style="325" customWidth="1"/>
    <col min="9479" max="9479" width="27.42578125" style="325" customWidth="1"/>
    <col min="9480" max="9480" width="22.7109375" style="325" customWidth="1"/>
    <col min="9481" max="9728" width="9" style="325"/>
    <col min="9729" max="9729" width="4" style="325" bestFit="1" customWidth="1"/>
    <col min="9730" max="9730" width="70.5703125" style="325" customWidth="1"/>
    <col min="9731" max="9731" width="9" style="325"/>
    <col min="9732" max="9732" width="12.42578125" style="325" bestFit="1" customWidth="1"/>
    <col min="9733" max="9733" width="13.85546875" style="325" bestFit="1" customWidth="1"/>
    <col min="9734" max="9734" width="14.28515625" style="325" customWidth="1"/>
    <col min="9735" max="9735" width="27.42578125" style="325" customWidth="1"/>
    <col min="9736" max="9736" width="22.7109375" style="325" customWidth="1"/>
    <col min="9737" max="9984" width="9" style="325"/>
    <col min="9985" max="9985" width="4" style="325" bestFit="1" customWidth="1"/>
    <col min="9986" max="9986" width="70.5703125" style="325" customWidth="1"/>
    <col min="9987" max="9987" width="9" style="325"/>
    <col min="9988" max="9988" width="12.42578125" style="325" bestFit="1" customWidth="1"/>
    <col min="9989" max="9989" width="13.85546875" style="325" bestFit="1" customWidth="1"/>
    <col min="9990" max="9990" width="14.28515625" style="325" customWidth="1"/>
    <col min="9991" max="9991" width="27.42578125" style="325" customWidth="1"/>
    <col min="9992" max="9992" width="22.7109375" style="325" customWidth="1"/>
    <col min="9993" max="10240" width="9" style="325"/>
    <col min="10241" max="10241" width="4" style="325" bestFit="1" customWidth="1"/>
    <col min="10242" max="10242" width="70.5703125" style="325" customWidth="1"/>
    <col min="10243" max="10243" width="9" style="325"/>
    <col min="10244" max="10244" width="12.42578125" style="325" bestFit="1" customWidth="1"/>
    <col min="10245" max="10245" width="13.85546875" style="325" bestFit="1" customWidth="1"/>
    <col min="10246" max="10246" width="14.28515625" style="325" customWidth="1"/>
    <col min="10247" max="10247" width="27.42578125" style="325" customWidth="1"/>
    <col min="10248" max="10248" width="22.7109375" style="325" customWidth="1"/>
    <col min="10249" max="10496" width="9" style="325"/>
    <col min="10497" max="10497" width="4" style="325" bestFit="1" customWidth="1"/>
    <col min="10498" max="10498" width="70.5703125" style="325" customWidth="1"/>
    <col min="10499" max="10499" width="9" style="325"/>
    <col min="10500" max="10500" width="12.42578125" style="325" bestFit="1" customWidth="1"/>
    <col min="10501" max="10501" width="13.85546875" style="325" bestFit="1" customWidth="1"/>
    <col min="10502" max="10502" width="14.28515625" style="325" customWidth="1"/>
    <col min="10503" max="10503" width="27.42578125" style="325" customWidth="1"/>
    <col min="10504" max="10504" width="22.7109375" style="325" customWidth="1"/>
    <col min="10505" max="10752" width="9" style="325"/>
    <col min="10753" max="10753" width="4" style="325" bestFit="1" customWidth="1"/>
    <col min="10754" max="10754" width="70.5703125" style="325" customWidth="1"/>
    <col min="10755" max="10755" width="9" style="325"/>
    <col min="10756" max="10756" width="12.42578125" style="325" bestFit="1" customWidth="1"/>
    <col min="10757" max="10757" width="13.85546875" style="325" bestFit="1" customWidth="1"/>
    <col min="10758" max="10758" width="14.28515625" style="325" customWidth="1"/>
    <col min="10759" max="10759" width="27.42578125" style="325" customWidth="1"/>
    <col min="10760" max="10760" width="22.7109375" style="325" customWidth="1"/>
    <col min="10761" max="11008" width="9" style="325"/>
    <col min="11009" max="11009" width="4" style="325" bestFit="1" customWidth="1"/>
    <col min="11010" max="11010" width="70.5703125" style="325" customWidth="1"/>
    <col min="11011" max="11011" width="9" style="325"/>
    <col min="11012" max="11012" width="12.42578125" style="325" bestFit="1" customWidth="1"/>
    <col min="11013" max="11013" width="13.85546875" style="325" bestFit="1" customWidth="1"/>
    <col min="11014" max="11014" width="14.28515625" style="325" customWidth="1"/>
    <col min="11015" max="11015" width="27.42578125" style="325" customWidth="1"/>
    <col min="11016" max="11016" width="22.7109375" style="325" customWidth="1"/>
    <col min="11017" max="11264" width="9" style="325"/>
    <col min="11265" max="11265" width="4" style="325" bestFit="1" customWidth="1"/>
    <col min="11266" max="11266" width="70.5703125" style="325" customWidth="1"/>
    <col min="11267" max="11267" width="9" style="325"/>
    <col min="11268" max="11268" width="12.42578125" style="325" bestFit="1" customWidth="1"/>
    <col min="11269" max="11269" width="13.85546875" style="325" bestFit="1" customWidth="1"/>
    <col min="11270" max="11270" width="14.28515625" style="325" customWidth="1"/>
    <col min="11271" max="11271" width="27.42578125" style="325" customWidth="1"/>
    <col min="11272" max="11272" width="22.7109375" style="325" customWidth="1"/>
    <col min="11273" max="11520" width="9" style="325"/>
    <col min="11521" max="11521" width="4" style="325" bestFit="1" customWidth="1"/>
    <col min="11522" max="11522" width="70.5703125" style="325" customWidth="1"/>
    <col min="11523" max="11523" width="9" style="325"/>
    <col min="11524" max="11524" width="12.42578125" style="325" bestFit="1" customWidth="1"/>
    <col min="11525" max="11525" width="13.85546875" style="325" bestFit="1" customWidth="1"/>
    <col min="11526" max="11526" width="14.28515625" style="325" customWidth="1"/>
    <col min="11527" max="11527" width="27.42578125" style="325" customWidth="1"/>
    <col min="11528" max="11528" width="22.7109375" style="325" customWidth="1"/>
    <col min="11529" max="11776" width="9" style="325"/>
    <col min="11777" max="11777" width="4" style="325" bestFit="1" customWidth="1"/>
    <col min="11778" max="11778" width="70.5703125" style="325" customWidth="1"/>
    <col min="11779" max="11779" width="9" style="325"/>
    <col min="11780" max="11780" width="12.42578125" style="325" bestFit="1" customWidth="1"/>
    <col min="11781" max="11781" width="13.85546875" style="325" bestFit="1" customWidth="1"/>
    <col min="11782" max="11782" width="14.28515625" style="325" customWidth="1"/>
    <col min="11783" max="11783" width="27.42578125" style="325" customWidth="1"/>
    <col min="11784" max="11784" width="22.7109375" style="325" customWidth="1"/>
    <col min="11785" max="12032" width="9" style="325"/>
    <col min="12033" max="12033" width="4" style="325" bestFit="1" customWidth="1"/>
    <col min="12034" max="12034" width="70.5703125" style="325" customWidth="1"/>
    <col min="12035" max="12035" width="9" style="325"/>
    <col min="12036" max="12036" width="12.42578125" style="325" bestFit="1" customWidth="1"/>
    <col min="12037" max="12037" width="13.85546875" style="325" bestFit="1" customWidth="1"/>
    <col min="12038" max="12038" width="14.28515625" style="325" customWidth="1"/>
    <col min="12039" max="12039" width="27.42578125" style="325" customWidth="1"/>
    <col min="12040" max="12040" width="22.7109375" style="325" customWidth="1"/>
    <col min="12041" max="12288" width="9" style="325"/>
    <col min="12289" max="12289" width="4" style="325" bestFit="1" customWidth="1"/>
    <col min="12290" max="12290" width="70.5703125" style="325" customWidth="1"/>
    <col min="12291" max="12291" width="9" style="325"/>
    <col min="12292" max="12292" width="12.42578125" style="325" bestFit="1" customWidth="1"/>
    <col min="12293" max="12293" width="13.85546875" style="325" bestFit="1" customWidth="1"/>
    <col min="12294" max="12294" width="14.28515625" style="325" customWidth="1"/>
    <col min="12295" max="12295" width="27.42578125" style="325" customWidth="1"/>
    <col min="12296" max="12296" width="22.7109375" style="325" customWidth="1"/>
    <col min="12297" max="12544" width="9" style="325"/>
    <col min="12545" max="12545" width="4" style="325" bestFit="1" customWidth="1"/>
    <col min="12546" max="12546" width="70.5703125" style="325" customWidth="1"/>
    <col min="12547" max="12547" width="9" style="325"/>
    <col min="12548" max="12548" width="12.42578125" style="325" bestFit="1" customWidth="1"/>
    <col min="12549" max="12549" width="13.85546875" style="325" bestFit="1" customWidth="1"/>
    <col min="12550" max="12550" width="14.28515625" style="325" customWidth="1"/>
    <col min="12551" max="12551" width="27.42578125" style="325" customWidth="1"/>
    <col min="12552" max="12552" width="22.7109375" style="325" customWidth="1"/>
    <col min="12553" max="12800" width="9" style="325"/>
    <col min="12801" max="12801" width="4" style="325" bestFit="1" customWidth="1"/>
    <col min="12802" max="12802" width="70.5703125" style="325" customWidth="1"/>
    <col min="12803" max="12803" width="9" style="325"/>
    <col min="12804" max="12804" width="12.42578125" style="325" bestFit="1" customWidth="1"/>
    <col min="12805" max="12805" width="13.85546875" style="325" bestFit="1" customWidth="1"/>
    <col min="12806" max="12806" width="14.28515625" style="325" customWidth="1"/>
    <col min="12807" max="12807" width="27.42578125" style="325" customWidth="1"/>
    <col min="12808" max="12808" width="22.7109375" style="325" customWidth="1"/>
    <col min="12809" max="13056" width="9" style="325"/>
    <col min="13057" max="13057" width="4" style="325" bestFit="1" customWidth="1"/>
    <col min="13058" max="13058" width="70.5703125" style="325" customWidth="1"/>
    <col min="13059" max="13059" width="9" style="325"/>
    <col min="13060" max="13060" width="12.42578125" style="325" bestFit="1" customWidth="1"/>
    <col min="13061" max="13061" width="13.85546875" style="325" bestFit="1" customWidth="1"/>
    <col min="13062" max="13062" width="14.28515625" style="325" customWidth="1"/>
    <col min="13063" max="13063" width="27.42578125" style="325" customWidth="1"/>
    <col min="13064" max="13064" width="22.7109375" style="325" customWidth="1"/>
    <col min="13065" max="13312" width="9" style="325"/>
    <col min="13313" max="13313" width="4" style="325" bestFit="1" customWidth="1"/>
    <col min="13314" max="13314" width="70.5703125" style="325" customWidth="1"/>
    <col min="13315" max="13315" width="9" style="325"/>
    <col min="13316" max="13316" width="12.42578125" style="325" bestFit="1" customWidth="1"/>
    <col min="13317" max="13317" width="13.85546875" style="325" bestFit="1" customWidth="1"/>
    <col min="13318" max="13318" width="14.28515625" style="325" customWidth="1"/>
    <col min="13319" max="13319" width="27.42578125" style="325" customWidth="1"/>
    <col min="13320" max="13320" width="22.7109375" style="325" customWidth="1"/>
    <col min="13321" max="13568" width="9" style="325"/>
    <col min="13569" max="13569" width="4" style="325" bestFit="1" customWidth="1"/>
    <col min="13570" max="13570" width="70.5703125" style="325" customWidth="1"/>
    <col min="13571" max="13571" width="9" style="325"/>
    <col min="13572" max="13572" width="12.42578125" style="325" bestFit="1" customWidth="1"/>
    <col min="13573" max="13573" width="13.85546875" style="325" bestFit="1" customWidth="1"/>
    <col min="13574" max="13574" width="14.28515625" style="325" customWidth="1"/>
    <col min="13575" max="13575" width="27.42578125" style="325" customWidth="1"/>
    <col min="13576" max="13576" width="22.7109375" style="325" customWidth="1"/>
    <col min="13577" max="13824" width="9" style="325"/>
    <col min="13825" max="13825" width="4" style="325" bestFit="1" customWidth="1"/>
    <col min="13826" max="13826" width="70.5703125" style="325" customWidth="1"/>
    <col min="13827" max="13827" width="9" style="325"/>
    <col min="13828" max="13828" width="12.42578125" style="325" bestFit="1" customWidth="1"/>
    <col min="13829" max="13829" width="13.85546875" style="325" bestFit="1" customWidth="1"/>
    <col min="13830" max="13830" width="14.28515625" style="325" customWidth="1"/>
    <col min="13831" max="13831" width="27.42578125" style="325" customWidth="1"/>
    <col min="13832" max="13832" width="22.7109375" style="325" customWidth="1"/>
    <col min="13833" max="14080" width="9" style="325"/>
    <col min="14081" max="14081" width="4" style="325" bestFit="1" customWidth="1"/>
    <col min="14082" max="14082" width="70.5703125" style="325" customWidth="1"/>
    <col min="14083" max="14083" width="9" style="325"/>
    <col min="14084" max="14084" width="12.42578125" style="325" bestFit="1" customWidth="1"/>
    <col min="14085" max="14085" width="13.85546875" style="325" bestFit="1" customWidth="1"/>
    <col min="14086" max="14086" width="14.28515625" style="325" customWidth="1"/>
    <col min="14087" max="14087" width="27.42578125" style="325" customWidth="1"/>
    <col min="14088" max="14088" width="22.7109375" style="325" customWidth="1"/>
    <col min="14089" max="14336" width="9" style="325"/>
    <col min="14337" max="14337" width="4" style="325" bestFit="1" customWidth="1"/>
    <col min="14338" max="14338" width="70.5703125" style="325" customWidth="1"/>
    <col min="14339" max="14339" width="9" style="325"/>
    <col min="14340" max="14340" width="12.42578125" style="325" bestFit="1" customWidth="1"/>
    <col min="14341" max="14341" width="13.85546875" style="325" bestFit="1" customWidth="1"/>
    <col min="14342" max="14342" width="14.28515625" style="325" customWidth="1"/>
    <col min="14343" max="14343" width="27.42578125" style="325" customWidth="1"/>
    <col min="14344" max="14344" width="22.7109375" style="325" customWidth="1"/>
    <col min="14345" max="14592" width="9" style="325"/>
    <col min="14593" max="14593" width="4" style="325" bestFit="1" customWidth="1"/>
    <col min="14594" max="14594" width="70.5703125" style="325" customWidth="1"/>
    <col min="14595" max="14595" width="9" style="325"/>
    <col min="14596" max="14596" width="12.42578125" style="325" bestFit="1" customWidth="1"/>
    <col min="14597" max="14597" width="13.85546875" style="325" bestFit="1" customWidth="1"/>
    <col min="14598" max="14598" width="14.28515625" style="325" customWidth="1"/>
    <col min="14599" max="14599" width="27.42578125" style="325" customWidth="1"/>
    <col min="14600" max="14600" width="22.7109375" style="325" customWidth="1"/>
    <col min="14601" max="14848" width="9" style="325"/>
    <col min="14849" max="14849" width="4" style="325" bestFit="1" customWidth="1"/>
    <col min="14850" max="14850" width="70.5703125" style="325" customWidth="1"/>
    <col min="14851" max="14851" width="9" style="325"/>
    <col min="14852" max="14852" width="12.42578125" style="325" bestFit="1" customWidth="1"/>
    <col min="14853" max="14853" width="13.85546875" style="325" bestFit="1" customWidth="1"/>
    <col min="14854" max="14854" width="14.28515625" style="325" customWidth="1"/>
    <col min="14855" max="14855" width="27.42578125" style="325" customWidth="1"/>
    <col min="14856" max="14856" width="22.7109375" style="325" customWidth="1"/>
    <col min="14857" max="15104" width="9" style="325"/>
    <col min="15105" max="15105" width="4" style="325" bestFit="1" customWidth="1"/>
    <col min="15106" max="15106" width="70.5703125" style="325" customWidth="1"/>
    <col min="15107" max="15107" width="9" style="325"/>
    <col min="15108" max="15108" width="12.42578125" style="325" bestFit="1" customWidth="1"/>
    <col min="15109" max="15109" width="13.85546875" style="325" bestFit="1" customWidth="1"/>
    <col min="15110" max="15110" width="14.28515625" style="325" customWidth="1"/>
    <col min="15111" max="15111" width="27.42578125" style="325" customWidth="1"/>
    <col min="15112" max="15112" width="22.7109375" style="325" customWidth="1"/>
    <col min="15113" max="15360" width="9" style="325"/>
    <col min="15361" max="15361" width="4" style="325" bestFit="1" customWidth="1"/>
    <col min="15362" max="15362" width="70.5703125" style="325" customWidth="1"/>
    <col min="15363" max="15363" width="9" style="325"/>
    <col min="15364" max="15364" width="12.42578125" style="325" bestFit="1" customWidth="1"/>
    <col min="15365" max="15365" width="13.85546875" style="325" bestFit="1" customWidth="1"/>
    <col min="15366" max="15366" width="14.28515625" style="325" customWidth="1"/>
    <col min="15367" max="15367" width="27.42578125" style="325" customWidth="1"/>
    <col min="15368" max="15368" width="22.7109375" style="325" customWidth="1"/>
    <col min="15369" max="15616" width="9" style="325"/>
    <col min="15617" max="15617" width="4" style="325" bestFit="1" customWidth="1"/>
    <col min="15618" max="15618" width="70.5703125" style="325" customWidth="1"/>
    <col min="15619" max="15619" width="9" style="325"/>
    <col min="15620" max="15620" width="12.42578125" style="325" bestFit="1" customWidth="1"/>
    <col min="15621" max="15621" width="13.85546875" style="325" bestFit="1" customWidth="1"/>
    <col min="15622" max="15622" width="14.28515625" style="325" customWidth="1"/>
    <col min="15623" max="15623" width="27.42578125" style="325" customWidth="1"/>
    <col min="15624" max="15624" width="22.7109375" style="325" customWidth="1"/>
    <col min="15625" max="15872" width="9" style="325"/>
    <col min="15873" max="15873" width="4" style="325" bestFit="1" customWidth="1"/>
    <col min="15874" max="15874" width="70.5703125" style="325" customWidth="1"/>
    <col min="15875" max="15875" width="9" style="325"/>
    <col min="15876" max="15876" width="12.42578125" style="325" bestFit="1" customWidth="1"/>
    <col min="15877" max="15877" width="13.85546875" style="325" bestFit="1" customWidth="1"/>
    <col min="15878" max="15878" width="14.28515625" style="325" customWidth="1"/>
    <col min="15879" max="15879" width="27.42578125" style="325" customWidth="1"/>
    <col min="15880" max="15880" width="22.7109375" style="325" customWidth="1"/>
    <col min="15881" max="16128" width="9" style="325"/>
    <col min="16129" max="16129" width="4" style="325" bestFit="1" customWidth="1"/>
    <col min="16130" max="16130" width="70.5703125" style="325" customWidth="1"/>
    <col min="16131" max="16131" width="9" style="325"/>
    <col min="16132" max="16132" width="12.42578125" style="325" bestFit="1" customWidth="1"/>
    <col min="16133" max="16133" width="13.85546875" style="325" bestFit="1" customWidth="1"/>
    <col min="16134" max="16134" width="14.28515625" style="325" customWidth="1"/>
    <col min="16135" max="16135" width="27.42578125" style="325" customWidth="1"/>
    <col min="16136" max="16136" width="22.7109375" style="325" customWidth="1"/>
    <col min="16137" max="16384" width="9" style="325"/>
  </cols>
  <sheetData>
    <row r="2" spans="1:11" ht="13.5" thickBot="1" x14ac:dyDescent="0.25"/>
    <row r="3" spans="1:11" ht="32.25" customHeight="1" thickTop="1" x14ac:dyDescent="0.2">
      <c r="A3" s="996" t="s">
        <v>377</v>
      </c>
      <c r="B3" s="996" t="s">
        <v>547</v>
      </c>
      <c r="C3" s="996" t="s">
        <v>668</v>
      </c>
      <c r="D3" s="996" t="s">
        <v>669</v>
      </c>
      <c r="E3" s="934" t="s">
        <v>670</v>
      </c>
      <c r="G3" s="994" t="s">
        <v>611</v>
      </c>
      <c r="H3" s="321" t="s">
        <v>671</v>
      </c>
      <c r="I3" s="322" t="s">
        <v>672</v>
      </c>
      <c r="J3" s="323" t="s">
        <v>673</v>
      </c>
      <c r="K3" s="324" t="s">
        <v>674</v>
      </c>
    </row>
    <row r="4" spans="1:11" ht="21" customHeight="1" x14ac:dyDescent="0.2">
      <c r="A4" s="352">
        <v>1</v>
      </c>
      <c r="B4" s="327" t="s">
        <v>675</v>
      </c>
      <c r="C4" s="328" t="s">
        <v>124</v>
      </c>
      <c r="D4" s="942">
        <v>-0.76700000000000002</v>
      </c>
      <c r="E4" s="935">
        <v>-0.76700000000000002</v>
      </c>
      <c r="G4" s="995"/>
      <c r="H4" s="331" t="s">
        <v>676</v>
      </c>
      <c r="I4" s="332">
        <v>0</v>
      </c>
      <c r="J4" s="333">
        <v>20.12</v>
      </c>
      <c r="K4" s="334">
        <f>+I4*J4</f>
        <v>0</v>
      </c>
    </row>
    <row r="5" spans="1:11" ht="21" customHeight="1" x14ac:dyDescent="0.2">
      <c r="A5" s="352">
        <v>2</v>
      </c>
      <c r="B5" s="327" t="s">
        <v>677</v>
      </c>
      <c r="C5" s="328" t="s">
        <v>124</v>
      </c>
      <c r="D5" s="942">
        <f>+D4-3.5</f>
        <v>-4.2670000000000003</v>
      </c>
      <c r="E5" s="935">
        <f>+E4-3</f>
        <v>-3.7669999999999999</v>
      </c>
      <c r="G5" s="330"/>
      <c r="H5" s="331" t="s">
        <v>678</v>
      </c>
      <c r="I5" s="332">
        <f>15*3*4+3*3*4</f>
        <v>216</v>
      </c>
      <c r="J5" s="335">
        <v>24.44</v>
      </c>
      <c r="K5" s="334">
        <f>+I5*J5</f>
        <v>5279.04</v>
      </c>
    </row>
    <row r="6" spans="1:11" ht="21" customHeight="1" x14ac:dyDescent="0.2">
      <c r="A6" s="352">
        <v>3</v>
      </c>
      <c r="B6" s="327" t="s">
        <v>679</v>
      </c>
      <c r="C6" s="328" t="s">
        <v>124</v>
      </c>
      <c r="D6" s="942">
        <f>+D5-D7</f>
        <v>-80.766999999999996</v>
      </c>
      <c r="E6" s="935">
        <f>+E5-E7</f>
        <v>-81.766999999999996</v>
      </c>
      <c r="G6" s="330"/>
      <c r="H6" s="331" t="s">
        <v>680</v>
      </c>
      <c r="I6" s="332">
        <f>12*3*4+2*3*4</f>
        <v>168</v>
      </c>
      <c r="J6" s="335">
        <v>6.36</v>
      </c>
      <c r="K6" s="334">
        <f>+I6*J6</f>
        <v>1068.48</v>
      </c>
    </row>
    <row r="7" spans="1:11" ht="21" customHeight="1" x14ac:dyDescent="0.2">
      <c r="A7" s="352">
        <v>4</v>
      </c>
      <c r="B7" s="327" t="s">
        <v>681</v>
      </c>
      <c r="C7" s="328" t="s">
        <v>124</v>
      </c>
      <c r="D7" s="942">
        <v>76.5</v>
      </c>
      <c r="E7" s="935">
        <v>78</v>
      </c>
      <c r="G7" s="330"/>
      <c r="H7" s="331" t="s">
        <v>682</v>
      </c>
      <c r="I7" s="332">
        <f>12*4*2+1*3*4+5*3*2+4</f>
        <v>142</v>
      </c>
      <c r="J7" s="335">
        <v>5.36</v>
      </c>
      <c r="K7" s="334">
        <f>+I7*J7</f>
        <v>761.12</v>
      </c>
    </row>
    <row r="8" spans="1:11" ht="21" customHeight="1" x14ac:dyDescent="0.2">
      <c r="A8" s="352">
        <v>5</v>
      </c>
      <c r="B8" s="327" t="s">
        <v>683</v>
      </c>
      <c r="C8" s="328" t="s">
        <v>124</v>
      </c>
      <c r="D8" s="942">
        <v>-10.5</v>
      </c>
      <c r="E8" s="935">
        <v>-10.5</v>
      </c>
      <c r="G8" s="330"/>
      <c r="H8" s="331" t="s">
        <v>684</v>
      </c>
      <c r="I8" s="319">
        <v>4</v>
      </c>
      <c r="J8" s="335">
        <v>3.5</v>
      </c>
      <c r="K8" s="334">
        <f>+I8*J8</f>
        <v>14</v>
      </c>
    </row>
    <row r="9" spans="1:11" ht="21" customHeight="1" x14ac:dyDescent="0.2">
      <c r="A9" s="352">
        <v>6</v>
      </c>
      <c r="B9" s="327" t="s">
        <v>685</v>
      </c>
      <c r="C9" s="328" t="s">
        <v>576</v>
      </c>
      <c r="D9" s="942">
        <v>16</v>
      </c>
      <c r="E9" s="935">
        <v>14</v>
      </c>
      <c r="G9" s="330"/>
      <c r="H9" s="331" t="s">
        <v>686</v>
      </c>
      <c r="I9" s="332">
        <f>15*4*2+5*4*2</f>
        <v>160</v>
      </c>
      <c r="J9" s="335">
        <v>2.46</v>
      </c>
      <c r="K9" s="334">
        <f>I9*J9</f>
        <v>393.6</v>
      </c>
    </row>
    <row r="10" spans="1:11" ht="21" customHeight="1" x14ac:dyDescent="0.2">
      <c r="A10" s="352"/>
      <c r="B10" s="327" t="s">
        <v>687</v>
      </c>
      <c r="C10" s="328" t="s">
        <v>124</v>
      </c>
      <c r="D10" s="942"/>
      <c r="E10" s="337"/>
      <c r="G10" s="330"/>
      <c r="H10" s="331"/>
      <c r="I10" s="332"/>
      <c r="J10" s="335"/>
      <c r="K10" s="334"/>
    </row>
    <row r="11" spans="1:11" ht="21" customHeight="1" x14ac:dyDescent="0.2">
      <c r="A11" s="327"/>
      <c r="B11" s="327" t="s">
        <v>688</v>
      </c>
      <c r="C11" s="352" t="s">
        <v>124</v>
      </c>
      <c r="D11" s="352">
        <v>1.7</v>
      </c>
      <c r="E11" s="339">
        <v>1.5</v>
      </c>
      <c r="G11" s="330">
        <f>+E5-E11-0.1</f>
        <v>-5.3669999999999991</v>
      </c>
      <c r="H11" s="331" t="s">
        <v>689</v>
      </c>
      <c r="I11" s="332">
        <f>+I6</f>
        <v>168</v>
      </c>
      <c r="J11" s="335">
        <v>3.83</v>
      </c>
      <c r="K11" s="334">
        <f>+I11*J11</f>
        <v>643.44000000000005</v>
      </c>
    </row>
    <row r="12" spans="1:11" ht="21" customHeight="1" x14ac:dyDescent="0.2">
      <c r="A12" s="352">
        <v>7</v>
      </c>
      <c r="B12" s="340" t="s">
        <v>690</v>
      </c>
      <c r="C12" s="328" t="s">
        <v>124</v>
      </c>
      <c r="D12" s="942"/>
      <c r="E12" s="935"/>
      <c r="G12" s="330"/>
      <c r="H12" s="341" t="s">
        <v>691</v>
      </c>
      <c r="I12" s="342">
        <f>15*2+3*2</f>
        <v>36</v>
      </c>
      <c r="J12" s="343">
        <v>11.87</v>
      </c>
      <c r="K12" s="334">
        <f>+I12*J12</f>
        <v>427.32</v>
      </c>
    </row>
    <row r="13" spans="1:11" ht="21" customHeight="1" x14ac:dyDescent="0.2">
      <c r="A13" s="352">
        <v>7</v>
      </c>
      <c r="B13" s="340" t="s">
        <v>692</v>
      </c>
      <c r="C13" s="328" t="s">
        <v>124</v>
      </c>
      <c r="D13" s="942">
        <v>3</v>
      </c>
      <c r="E13" s="935">
        <v>3</v>
      </c>
      <c r="G13" s="330"/>
      <c r="H13" s="344" t="s">
        <v>693</v>
      </c>
      <c r="I13" s="345"/>
      <c r="J13" s="346"/>
      <c r="K13" s="347">
        <f>+ROUND(SUM(K4:K12),0)</f>
        <v>8587</v>
      </c>
    </row>
    <row r="14" spans="1:11" ht="21" customHeight="1" x14ac:dyDescent="0.2">
      <c r="A14" s="352">
        <v>8</v>
      </c>
      <c r="B14" s="348" t="s">
        <v>694</v>
      </c>
      <c r="C14" s="349" t="s">
        <v>124</v>
      </c>
      <c r="D14" s="943">
        <v>1</v>
      </c>
      <c r="E14" s="936">
        <v>0</v>
      </c>
      <c r="F14" s="351">
        <f>+D13-D5-0.15</f>
        <v>7.117</v>
      </c>
      <c r="G14" s="330"/>
    </row>
    <row r="15" spans="1:11" ht="21" customHeight="1" x14ac:dyDescent="0.2">
      <c r="A15" s="352"/>
      <c r="B15" s="327" t="s">
        <v>695</v>
      </c>
      <c r="C15" s="352" t="s">
        <v>124</v>
      </c>
      <c r="D15" s="942"/>
      <c r="E15" s="935"/>
      <c r="G15" s="353"/>
    </row>
    <row r="16" spans="1:11" ht="21" customHeight="1" x14ac:dyDescent="0.2">
      <c r="A16" s="352"/>
      <c r="B16" s="327" t="s">
        <v>696</v>
      </c>
      <c r="C16" s="352" t="s">
        <v>124</v>
      </c>
      <c r="D16" s="942"/>
      <c r="E16" s="935"/>
      <c r="G16" s="330"/>
    </row>
    <row r="17" spans="1:8" ht="21" customHeight="1" x14ac:dyDescent="0.2">
      <c r="A17" s="356"/>
      <c r="B17" s="355" t="s">
        <v>697</v>
      </c>
      <c r="C17" s="356" t="s">
        <v>68</v>
      </c>
      <c r="D17" s="415">
        <f>321113472/10^6</f>
        <v>321.113472</v>
      </c>
      <c r="E17" s="937">
        <f>229592417/10^6</f>
        <v>229.59241700000001</v>
      </c>
      <c r="G17" s="330"/>
    </row>
    <row r="18" spans="1:8" ht="21" customHeight="1" x14ac:dyDescent="0.2">
      <c r="A18" s="352"/>
      <c r="B18" s="327" t="s">
        <v>698</v>
      </c>
      <c r="C18" s="352" t="s">
        <v>124</v>
      </c>
      <c r="D18" s="942">
        <f>+D15</f>
        <v>0</v>
      </c>
      <c r="E18" s="935">
        <f>+E15</f>
        <v>0</v>
      </c>
      <c r="G18" s="320"/>
    </row>
    <row r="19" spans="1:8" ht="21" customHeight="1" x14ac:dyDescent="0.2">
      <c r="A19" s="352"/>
      <c r="B19" s="327" t="s">
        <v>699</v>
      </c>
      <c r="C19" s="352" t="s">
        <v>124</v>
      </c>
      <c r="D19" s="942">
        <f>+D16</f>
        <v>0</v>
      </c>
      <c r="E19" s="935">
        <f>+E16</f>
        <v>0</v>
      </c>
      <c r="G19" s="330"/>
    </row>
    <row r="20" spans="1:8" ht="21" customHeight="1" x14ac:dyDescent="0.2">
      <c r="A20" s="356"/>
      <c r="B20" s="355" t="s">
        <v>700</v>
      </c>
      <c r="C20" s="356" t="s">
        <v>68</v>
      </c>
      <c r="D20" s="356">
        <f>+D19*D18</f>
        <v>0</v>
      </c>
      <c r="E20" s="938">
        <f>+E19*E18</f>
        <v>0</v>
      </c>
      <c r="G20" s="330"/>
    </row>
    <row r="21" spans="1:8" ht="21" customHeight="1" x14ac:dyDescent="0.2">
      <c r="A21" s="352"/>
      <c r="B21" s="327" t="s">
        <v>701</v>
      </c>
      <c r="C21" s="352" t="s">
        <v>124</v>
      </c>
      <c r="D21" s="942">
        <f>+D15</f>
        <v>0</v>
      </c>
      <c r="E21" s="935">
        <f>+E15</f>
        <v>0</v>
      </c>
      <c r="G21" s="320"/>
    </row>
    <row r="22" spans="1:8" ht="21" customHeight="1" x14ac:dyDescent="0.2">
      <c r="A22" s="352"/>
      <c r="B22" s="327" t="s">
        <v>702</v>
      </c>
      <c r="C22" s="352" t="s">
        <v>124</v>
      </c>
      <c r="D22" s="942">
        <f>+D19</f>
        <v>0</v>
      </c>
      <c r="E22" s="935">
        <f>+E19</f>
        <v>0</v>
      </c>
      <c r="G22" s="320"/>
      <c r="H22" s="357">
        <f>+E8-E5+E11+0.1</f>
        <v>-5.1330000000000009</v>
      </c>
    </row>
    <row r="23" spans="1:8" ht="21" customHeight="1" x14ac:dyDescent="0.2">
      <c r="A23" s="356"/>
      <c r="B23" s="355" t="s">
        <v>703</v>
      </c>
      <c r="C23" s="356" t="s">
        <v>68</v>
      </c>
      <c r="D23" s="356">
        <f>+D22*D21</f>
        <v>0</v>
      </c>
      <c r="E23" s="938">
        <f>+E22*E21</f>
        <v>0</v>
      </c>
      <c r="G23" s="358"/>
      <c r="H23" s="325">
        <f>+H22*E23</f>
        <v>0</v>
      </c>
    </row>
    <row r="24" spans="1:8" ht="21" customHeight="1" x14ac:dyDescent="0.2">
      <c r="A24" s="352"/>
      <c r="B24" s="359" t="s">
        <v>704</v>
      </c>
      <c r="C24" s="352" t="s">
        <v>124</v>
      </c>
      <c r="D24" s="944">
        <f>+D8-D6</f>
        <v>70.266999999999996</v>
      </c>
      <c r="E24" s="939">
        <f>+E8-E6</f>
        <v>71.266999999999996</v>
      </c>
      <c r="G24" s="358"/>
    </row>
    <row r="25" spans="1:8" ht="21" customHeight="1" x14ac:dyDescent="0.2">
      <c r="A25" s="352"/>
      <c r="B25" s="359" t="s">
        <v>705</v>
      </c>
      <c r="C25" s="352" t="s">
        <v>124</v>
      </c>
      <c r="D25" s="944"/>
      <c r="E25" s="939"/>
      <c r="G25" s="336"/>
    </row>
    <row r="26" spans="1:8" ht="21" customHeight="1" x14ac:dyDescent="0.2">
      <c r="A26" s="352"/>
      <c r="B26" s="359" t="s">
        <v>706</v>
      </c>
      <c r="C26" s="352" t="s">
        <v>124</v>
      </c>
      <c r="D26" s="945">
        <v>0</v>
      </c>
      <c r="E26" s="940">
        <v>0</v>
      </c>
      <c r="G26" s="320"/>
    </row>
    <row r="27" spans="1:8" ht="21" customHeight="1" x14ac:dyDescent="0.2">
      <c r="A27" s="352"/>
      <c r="B27" s="327" t="s">
        <v>707</v>
      </c>
      <c r="C27" s="328" t="s">
        <v>124</v>
      </c>
      <c r="D27" s="328">
        <v>25</v>
      </c>
      <c r="E27" s="941">
        <v>25</v>
      </c>
      <c r="G27" s="320">
        <f>3.9-E27</f>
        <v>-21.1</v>
      </c>
    </row>
    <row r="28" spans="1:8" ht="21" customHeight="1" x14ac:dyDescent="0.2">
      <c r="A28" s="352"/>
      <c r="B28" s="340" t="s">
        <v>708</v>
      </c>
      <c r="C28" s="328" t="s">
        <v>60</v>
      </c>
      <c r="D28" s="328">
        <f>+(33+25)*2+4</f>
        <v>120</v>
      </c>
      <c r="E28" s="941">
        <f>+(33+25)*2+4</f>
        <v>120</v>
      </c>
      <c r="G28" s="320"/>
    </row>
    <row r="29" spans="1:8" ht="21" customHeight="1" x14ac:dyDescent="0.2">
      <c r="A29" s="352"/>
      <c r="B29" s="340" t="s">
        <v>709</v>
      </c>
      <c r="C29" s="328" t="s">
        <v>124</v>
      </c>
      <c r="D29" s="942">
        <v>12</v>
      </c>
      <c r="E29" s="935">
        <f>14.7+E8</f>
        <v>4.1999999999999993</v>
      </c>
      <c r="G29" s="320"/>
    </row>
    <row r="30" spans="1:8" ht="21" customHeight="1" x14ac:dyDescent="0.2">
      <c r="A30" s="352"/>
      <c r="B30" s="340" t="s">
        <v>710</v>
      </c>
      <c r="C30" s="328" t="s">
        <v>60</v>
      </c>
      <c r="D30" s="328">
        <v>14</v>
      </c>
      <c r="E30" s="941">
        <v>14</v>
      </c>
      <c r="G30" s="320"/>
      <c r="H30" s="325">
        <f>5.2-20</f>
        <v>-14.8</v>
      </c>
    </row>
    <row r="31" spans="1:8" ht="21" customHeight="1" x14ac:dyDescent="0.2">
      <c r="A31" s="352"/>
      <c r="B31" s="340" t="s">
        <v>711</v>
      </c>
      <c r="C31" s="328" t="s">
        <v>124</v>
      </c>
      <c r="D31" s="942">
        <f>+E31</f>
        <v>12.3</v>
      </c>
      <c r="E31" s="935">
        <f>22.8-10.5</f>
        <v>12.3</v>
      </c>
      <c r="G31" s="320"/>
    </row>
    <row r="32" spans="1:8" ht="21" customHeight="1" x14ac:dyDescent="0.2">
      <c r="A32" s="352"/>
      <c r="B32" s="340" t="s">
        <v>712</v>
      </c>
      <c r="C32" s="328" t="s">
        <v>124</v>
      </c>
      <c r="D32" s="328">
        <v>25</v>
      </c>
      <c r="E32" s="941">
        <v>25</v>
      </c>
      <c r="G32" s="320"/>
    </row>
    <row r="33" spans="1:8" ht="21" customHeight="1" x14ac:dyDescent="0.2">
      <c r="A33" s="352"/>
      <c r="B33" s="340" t="s">
        <v>713</v>
      </c>
      <c r="C33" s="328" t="s">
        <v>124</v>
      </c>
      <c r="D33" s="942">
        <f>22-10.5</f>
        <v>11.5</v>
      </c>
      <c r="E33" s="935">
        <f>22-10.5</f>
        <v>11.5</v>
      </c>
      <c r="G33" s="320"/>
    </row>
    <row r="34" spans="1:8" x14ac:dyDescent="0.2">
      <c r="A34" s="992"/>
      <c r="B34" s="993"/>
      <c r="C34" s="993"/>
      <c r="D34" s="336"/>
      <c r="G34" s="320"/>
    </row>
    <row r="35" spans="1:8" x14ac:dyDescent="0.2">
      <c r="A35" s="338"/>
      <c r="B35" s="366"/>
      <c r="C35" s="320"/>
      <c r="D35" s="320"/>
      <c r="E35" s="320"/>
      <c r="F35" s="320"/>
      <c r="G35" s="320"/>
    </row>
    <row r="36" spans="1:8" ht="15.75" customHeight="1" thickBot="1" x14ac:dyDescent="0.25">
      <c r="A36" s="1215" t="s">
        <v>1456</v>
      </c>
      <c r="B36" s="1215"/>
      <c r="C36" s="1215"/>
      <c r="D36" s="1215"/>
      <c r="E36" s="1215"/>
      <c r="F36" s="1215"/>
      <c r="G36" s="1215"/>
    </row>
    <row r="37" spans="1:8" ht="15.95" customHeight="1" x14ac:dyDescent="0.2">
      <c r="A37" s="1220" t="s">
        <v>377</v>
      </c>
      <c r="B37" s="1222" t="s">
        <v>547</v>
      </c>
      <c r="C37" s="1222" t="s">
        <v>715</v>
      </c>
      <c r="D37" s="1223" t="s">
        <v>555</v>
      </c>
      <c r="E37" s="1223"/>
      <c r="F37" s="1224" t="s">
        <v>716</v>
      </c>
      <c r="G37" s="1216" t="s">
        <v>613</v>
      </c>
    </row>
    <row r="38" spans="1:8" x14ac:dyDescent="0.2">
      <c r="A38" s="1221"/>
      <c r="B38" s="1216"/>
      <c r="C38" s="1216"/>
      <c r="D38" s="1218" t="s">
        <v>717</v>
      </c>
      <c r="E38" s="1218" t="s">
        <v>718</v>
      </c>
      <c r="F38" s="1225"/>
      <c r="G38" s="1217"/>
    </row>
    <row r="39" spans="1:8" ht="19.5" customHeight="1" x14ac:dyDescent="0.2">
      <c r="A39" s="1221"/>
      <c r="B39" s="1216"/>
      <c r="C39" s="1216"/>
      <c r="D39" s="1218"/>
      <c r="E39" s="1218"/>
      <c r="F39" s="1225"/>
      <c r="G39" s="1216"/>
    </row>
    <row r="40" spans="1:8" ht="15.95" customHeight="1" x14ac:dyDescent="0.2">
      <c r="A40" s="368">
        <v>1</v>
      </c>
      <c r="B40" s="369" t="s">
        <v>719</v>
      </c>
      <c r="C40" s="370"/>
      <c r="D40" s="1135"/>
      <c r="E40" s="371"/>
      <c r="F40" s="372"/>
      <c r="G40" s="373"/>
      <c r="H40" s="374"/>
    </row>
    <row r="41" spans="1:8" ht="15.95" customHeight="1" x14ac:dyDescent="0.2">
      <c r="A41" s="368" t="s">
        <v>720</v>
      </c>
      <c r="B41" s="375" t="s">
        <v>721</v>
      </c>
      <c r="C41" s="376" t="s">
        <v>124</v>
      </c>
      <c r="D41" s="1136">
        <f>+ROUND($D$9*D24,2)</f>
        <v>1124.27</v>
      </c>
      <c r="E41" s="352">
        <f>+ROUND($E$9*E24,2)</f>
        <v>997.74</v>
      </c>
      <c r="F41" s="377">
        <f>+IF(D41-E41=0,"-",D41-E41)</f>
        <v>126.52999999999997</v>
      </c>
      <c r="G41" s="378"/>
      <c r="H41" s="374"/>
    </row>
    <row r="42" spans="1:8" ht="15.95" customHeight="1" x14ac:dyDescent="0.2">
      <c r="A42" s="368" t="s">
        <v>720</v>
      </c>
      <c r="B42" s="379" t="s">
        <v>722</v>
      </c>
      <c r="C42" s="380" t="s">
        <v>116</v>
      </c>
      <c r="D42" s="1135">
        <f>+PI()*(0.8^2-0.79^2)*7850/1000*D32*D9</f>
        <v>156.84715482312427</v>
      </c>
      <c r="E42" s="381">
        <f>+PI()*(0.8^2-0.79^2)*7850/1000*E32*E9</f>
        <v>137.24126047023373</v>
      </c>
      <c r="F42" s="377">
        <f t="shared" ref="F42:F88" si="0">+IF(D42-E42=0,"-",D42-E42)</f>
        <v>19.605894352890544</v>
      </c>
      <c r="G42" s="382"/>
      <c r="H42" s="383"/>
    </row>
    <row r="43" spans="1:8" ht="15.95" customHeight="1" x14ac:dyDescent="0.2">
      <c r="A43" s="368" t="s">
        <v>720</v>
      </c>
      <c r="B43" s="379" t="s">
        <v>723</v>
      </c>
      <c r="C43" s="380" t="s">
        <v>116</v>
      </c>
      <c r="D43" s="1135">
        <f>+PI()*(0.8^2-0.79^2)*7850/1000*(D32-(D13-D5+0.15))*D9</f>
        <v>110.31374093019974</v>
      </c>
      <c r="E43" s="381">
        <f>+PI()*(0.8^2-0.79^2)*7850/1000*(E32-(E13-E5+0.15))*E9</f>
        <v>99.269348523329455</v>
      </c>
      <c r="F43" s="377">
        <f t="shared" si="0"/>
        <v>11.044392406870287</v>
      </c>
      <c r="G43" s="382"/>
      <c r="H43" s="383"/>
    </row>
    <row r="44" spans="1:8" ht="15.95" customHeight="1" x14ac:dyDescent="0.2">
      <c r="A44" s="384" t="s">
        <v>720</v>
      </c>
      <c r="B44" s="379" t="s">
        <v>724</v>
      </c>
      <c r="C44" s="376" t="s">
        <v>725</v>
      </c>
      <c r="D44" s="1137" t="str">
        <f>D9&amp;"/"&amp;D9*D33</f>
        <v>16/184</v>
      </c>
      <c r="E44" s="385" t="str">
        <f>E9&amp;"/"&amp;E9*E33</f>
        <v>14/161</v>
      </c>
      <c r="F44" s="386" t="str">
        <f>2&amp;"/"&amp;184-161</f>
        <v>2/23</v>
      </c>
      <c r="G44" s="382"/>
      <c r="H44" s="383"/>
    </row>
    <row r="45" spans="1:8" ht="15.95" customHeight="1" x14ac:dyDescent="0.2">
      <c r="A45" s="384" t="s">
        <v>720</v>
      </c>
      <c r="B45" s="379" t="s">
        <v>726</v>
      </c>
      <c r="C45" s="376" t="s">
        <v>725</v>
      </c>
      <c r="D45" s="1137" t="str">
        <f>D9&amp;"/"&amp;D9*(D32-D33)</f>
        <v>16/216</v>
      </c>
      <c r="E45" s="385" t="str">
        <f>E9&amp;"/"&amp;E9*(E32-E33)</f>
        <v>14/189</v>
      </c>
      <c r="F45" s="386" t="str">
        <f>2&amp;"/"&amp;216-189</f>
        <v>2/27</v>
      </c>
      <c r="G45" s="382"/>
      <c r="H45" s="383"/>
    </row>
    <row r="46" spans="1:8" ht="15.95" customHeight="1" x14ac:dyDescent="0.2">
      <c r="A46" s="368" t="s">
        <v>720</v>
      </c>
      <c r="B46" s="379" t="s">
        <v>727</v>
      </c>
      <c r="C46" s="376" t="s">
        <v>40</v>
      </c>
      <c r="D46" s="1137" t="str">
        <f>D9&amp;"/"&amp;D9*1</f>
        <v>16/16</v>
      </c>
      <c r="E46" s="385" t="str">
        <f>E9&amp;"/"&amp;E9*1</f>
        <v>14/14</v>
      </c>
      <c r="F46" s="386" t="str">
        <f>2&amp;"/"&amp;2*1</f>
        <v>2/2</v>
      </c>
      <c r="G46" s="373"/>
    </row>
    <row r="47" spans="1:8" ht="15.95" customHeight="1" x14ac:dyDescent="0.2">
      <c r="A47" s="368" t="s">
        <v>720</v>
      </c>
      <c r="B47" s="379" t="s">
        <v>728</v>
      </c>
      <c r="C47" s="376" t="s">
        <v>116</v>
      </c>
      <c r="D47" s="1138">
        <f>ROUND(D42-D43,2)</f>
        <v>46.53</v>
      </c>
      <c r="E47" s="387">
        <f>ROUND(E42-E43,2)</f>
        <v>37.97</v>
      </c>
      <c r="F47" s="377">
        <f t="shared" si="0"/>
        <v>8.5600000000000023</v>
      </c>
      <c r="G47" s="373"/>
    </row>
    <row r="48" spans="1:8" ht="15.95" customHeight="1" x14ac:dyDescent="0.2">
      <c r="A48" s="368" t="s">
        <v>720</v>
      </c>
      <c r="B48" s="379" t="s">
        <v>729</v>
      </c>
      <c r="C48" s="376" t="s">
        <v>40</v>
      </c>
      <c r="D48" s="1139" t="str">
        <f>D9&amp;"/"&amp;D9*(D7+1.43)</f>
        <v>16/1246,88</v>
      </c>
      <c r="E48" s="388" t="str">
        <f>E9&amp;"/"&amp;E9*(E7+1.43)</f>
        <v>14/1112,02</v>
      </c>
      <c r="F48" s="389" t="str">
        <f>2&amp;"/"&amp;1246-1112.02</f>
        <v>2/133,98</v>
      </c>
      <c r="G48" s="373"/>
    </row>
    <row r="49" spans="1:9" ht="15.95" customHeight="1" x14ac:dyDescent="0.2">
      <c r="A49" s="368" t="s">
        <v>720</v>
      </c>
      <c r="B49" s="379" t="s">
        <v>730</v>
      </c>
      <c r="C49" s="376" t="s">
        <v>10</v>
      </c>
      <c r="D49" s="1139">
        <f>ROUND(PI()*0.75^2*1.28*D9,2)</f>
        <v>36.19</v>
      </c>
      <c r="E49" s="388">
        <f>ROUND(PI()*0.75^2*1.28*E9,2)</f>
        <v>31.67</v>
      </c>
      <c r="F49" s="377">
        <f t="shared" si="0"/>
        <v>4.519999999999996</v>
      </c>
      <c r="G49" s="373"/>
    </row>
    <row r="50" spans="1:9" ht="15.95" customHeight="1" x14ac:dyDescent="0.2">
      <c r="A50" s="368" t="s">
        <v>720</v>
      </c>
      <c r="B50" s="379" t="s">
        <v>731</v>
      </c>
      <c r="C50" s="376" t="s">
        <v>10</v>
      </c>
      <c r="D50" s="1139">
        <f>ROUND(0.75^2*PI()*(D13-D6)*D9,2)</f>
        <v>2368.46</v>
      </c>
      <c r="E50" s="388">
        <f>ROUND(0.75^2*PI()*(E13-E6)*E9,2)</f>
        <v>2097.14</v>
      </c>
      <c r="F50" s="377">
        <f t="shared" si="0"/>
        <v>271.32000000000016</v>
      </c>
      <c r="G50" s="373"/>
    </row>
    <row r="51" spans="1:9" ht="15.95" customHeight="1" x14ac:dyDescent="0.2">
      <c r="A51" s="368" t="s">
        <v>720</v>
      </c>
      <c r="B51" s="379" t="s">
        <v>732</v>
      </c>
      <c r="C51" s="376" t="s">
        <v>576</v>
      </c>
      <c r="D51" s="1139">
        <v>1</v>
      </c>
      <c r="E51" s="388">
        <v>1</v>
      </c>
      <c r="F51" s="377" t="str">
        <f t="shared" si="0"/>
        <v>-</v>
      </c>
      <c r="G51" s="373"/>
    </row>
    <row r="52" spans="1:9" ht="15.95" customHeight="1" x14ac:dyDescent="0.2">
      <c r="A52" s="1128">
        <f>+A40+1</f>
        <v>2</v>
      </c>
      <c r="B52" s="1129" t="s">
        <v>733</v>
      </c>
      <c r="C52" s="451"/>
      <c r="D52" s="1139"/>
      <c r="E52" s="1130"/>
      <c r="F52" s="1131" t="str">
        <f t="shared" si="0"/>
        <v>-</v>
      </c>
      <c r="G52" s="1132"/>
    </row>
    <row r="53" spans="1:9" ht="15.95" customHeight="1" x14ac:dyDescent="0.2">
      <c r="A53" s="368" t="s">
        <v>720</v>
      </c>
      <c r="B53" s="379" t="s">
        <v>734</v>
      </c>
      <c r="C53" s="376" t="s">
        <v>116</v>
      </c>
      <c r="D53" s="1136">
        <f>+ROUND('[4]Thung chup T5 DIEU CHINH'!I24/1000,2)</f>
        <v>26.08</v>
      </c>
      <c r="E53" s="352">
        <f>ROUND('[4]Thung chup T5 DUYET'!I24/1000,2)</f>
        <v>22.26</v>
      </c>
      <c r="F53" s="377">
        <f t="shared" si="0"/>
        <v>3.8199999999999967</v>
      </c>
      <c r="G53" s="373"/>
      <c r="H53" s="325">
        <f>+E53</f>
        <v>22.26</v>
      </c>
    </row>
    <row r="54" spans="1:9" ht="15.95" customHeight="1" x14ac:dyDescent="0.2">
      <c r="A54" s="368" t="s">
        <v>720</v>
      </c>
      <c r="B54" s="379" t="s">
        <v>735</v>
      </c>
      <c r="C54" s="376" t="s">
        <v>116</v>
      </c>
      <c r="D54" s="1136">
        <f>+ROUND('[4]Thung chup T5 DIEU CHINH'!I25/1000,2)</f>
        <v>53.87</v>
      </c>
      <c r="E54" s="352">
        <f>ROUND('[4]Thung chup T5 DUYET'!I25/1000,2)</f>
        <v>40.94</v>
      </c>
      <c r="F54" s="377">
        <f t="shared" si="0"/>
        <v>12.93</v>
      </c>
      <c r="G54" s="373"/>
      <c r="H54" s="325">
        <f>+E54</f>
        <v>40.94</v>
      </c>
    </row>
    <row r="55" spans="1:9" ht="15.95" customHeight="1" x14ac:dyDescent="0.2">
      <c r="A55" s="368" t="s">
        <v>720</v>
      </c>
      <c r="B55" s="390" t="s">
        <v>736</v>
      </c>
      <c r="C55" s="391" t="s">
        <v>737</v>
      </c>
      <c r="D55" s="1140"/>
      <c r="E55" s="327"/>
      <c r="F55" s="377" t="str">
        <f t="shared" si="0"/>
        <v>-</v>
      </c>
      <c r="G55" s="373"/>
    </row>
    <row r="56" spans="1:9" ht="15.95" customHeight="1" x14ac:dyDescent="0.2">
      <c r="A56" s="368" t="s">
        <v>738</v>
      </c>
      <c r="B56" s="390" t="s">
        <v>739</v>
      </c>
      <c r="C56" s="391" t="s">
        <v>116</v>
      </c>
      <c r="D56" s="1139">
        <f>+'[4]Gia p«c tich '!H22/1000</f>
        <v>9.0704400000000014</v>
      </c>
      <c r="E56" s="388">
        <f>+'[4]Gia p«c tich '!H10/1000</f>
        <v>7.7866399999999993</v>
      </c>
      <c r="F56" s="377">
        <f t="shared" si="0"/>
        <v>1.2838000000000021</v>
      </c>
      <c r="G56" s="373"/>
    </row>
    <row r="57" spans="1:9" ht="15.95" customHeight="1" x14ac:dyDescent="0.2">
      <c r="A57" s="368" t="s">
        <v>738</v>
      </c>
      <c r="B57" s="390" t="s">
        <v>740</v>
      </c>
      <c r="C57" s="391" t="s">
        <v>116</v>
      </c>
      <c r="D57" s="1139">
        <f>+'[4]Gia p«c tich '!H23/1000</f>
        <v>15.695549999999999</v>
      </c>
      <c r="E57" s="388">
        <f>+'[4]Gia p«c tich '!H11/1000</f>
        <v>14.20599</v>
      </c>
      <c r="F57" s="377">
        <f t="shared" si="0"/>
        <v>1.4895599999999991</v>
      </c>
      <c r="G57" s="373"/>
    </row>
    <row r="58" spans="1:9" ht="15.95" customHeight="1" x14ac:dyDescent="0.2">
      <c r="A58" s="368" t="s">
        <v>738</v>
      </c>
      <c r="B58" s="390" t="s">
        <v>741</v>
      </c>
      <c r="C58" s="380" t="s">
        <v>742</v>
      </c>
      <c r="D58" s="1141" t="str">
        <f>+E58</f>
        <v>4/0,38</v>
      </c>
      <c r="E58" s="388" t="str">
        <f>4&amp;"/"&amp;+ROUND(PI()*(0.032^2/4)*7850/1000,2)*9.5*4</f>
        <v>4/0,38</v>
      </c>
      <c r="F58" s="377" t="s">
        <v>720</v>
      </c>
      <c r="G58" s="392"/>
      <c r="H58" s="393"/>
      <c r="I58" s="393"/>
    </row>
    <row r="59" spans="1:9" ht="15.95" customHeight="1" x14ac:dyDescent="0.2">
      <c r="A59" s="368" t="s">
        <v>720</v>
      </c>
      <c r="B59" s="390" t="s">
        <v>743</v>
      </c>
      <c r="C59" s="391" t="s">
        <v>744</v>
      </c>
      <c r="D59" s="1139" t="str">
        <f>1&amp;"/"&amp;ROUND('[4]Thung chup T5 DIEU CHINH'!N24/1000,2)</f>
        <v>1/79,95</v>
      </c>
      <c r="E59" s="388" t="str">
        <f>1&amp;"/"&amp;ROUND('[4]Thung chup T5 DUYET'!N24/1000,2)</f>
        <v>1/63,2</v>
      </c>
      <c r="F59" s="389" t="str">
        <f>1&amp;"/"&amp;79.95-63.2</f>
        <v>1/16,75</v>
      </c>
      <c r="G59" s="373"/>
    </row>
    <row r="60" spans="1:9" ht="15.95" customHeight="1" x14ac:dyDescent="0.2">
      <c r="A60" s="368" t="s">
        <v>720</v>
      </c>
      <c r="B60" s="379" t="s">
        <v>745</v>
      </c>
      <c r="C60" s="376" t="s">
        <v>746</v>
      </c>
      <c r="D60" s="1139" t="str">
        <f>13.6*10 &amp;"/"&amp;ROUND(13.6*10 *103/1000,2)</f>
        <v>136/14,01</v>
      </c>
      <c r="E60" s="388" t="str">
        <f>17.2*8 &amp;"/"&amp;ROUND(17.2*8 *103/1000,2)</f>
        <v>137,6/14,17</v>
      </c>
      <c r="F60" s="389" t="str">
        <f>ROUND(136-137.6,2)&amp;"/"&amp;ROUND(14.01-14.17,2)</f>
        <v>-1,6/-0,16</v>
      </c>
      <c r="G60" s="373"/>
      <c r="H60" s="325">
        <v>14.17</v>
      </c>
    </row>
    <row r="61" spans="1:9" ht="15.95" customHeight="1" x14ac:dyDescent="0.2">
      <c r="A61" s="368" t="s">
        <v>720</v>
      </c>
      <c r="B61" s="379" t="s">
        <v>747</v>
      </c>
      <c r="C61" s="376" t="s">
        <v>746</v>
      </c>
      <c r="D61" s="1139" t="str">
        <f>(18.69*8-10*8*0.4)&amp;"/"&amp;ROUND((18.69*8-10*8*0.4)*31.8/1000,2)</f>
        <v>117,52/3,74</v>
      </c>
      <c r="E61" s="388" t="str">
        <f>(2*1.62*5+4*1.62*5*3)&amp;"/"&amp;ROUND((2*1.62*5+4*1.62*5*3)*31.8/1000,2)</f>
        <v>113,4/3,61</v>
      </c>
      <c r="F61" s="389" t="str">
        <f>ROUND(117.52-113.4,2)&amp;"/"&amp;ROUND(3.74-3.61,2)</f>
        <v>4,12/0,13</v>
      </c>
      <c r="G61" s="373"/>
      <c r="H61" s="325">
        <v>3.61</v>
      </c>
    </row>
    <row r="62" spans="1:9" ht="15.95" customHeight="1" x14ac:dyDescent="0.2">
      <c r="A62" s="368" t="s">
        <v>720</v>
      </c>
      <c r="B62" s="379" t="s">
        <v>748</v>
      </c>
      <c r="C62" s="376" t="s">
        <v>116</v>
      </c>
      <c r="D62" s="1139">
        <f>+ROUND((D17-PI()*0.75^2*D9)*0.01*7850/1000,2)</f>
        <v>22.99</v>
      </c>
      <c r="E62" s="388">
        <f>+ROUND((E17-PI()*0.75^2*E9)*0.01*7850/1000,2)</f>
        <v>16.079999999999998</v>
      </c>
      <c r="F62" s="377">
        <f t="shared" si="0"/>
        <v>6.91</v>
      </c>
      <c r="G62" s="373"/>
      <c r="H62" s="325">
        <v>16.079999999999998</v>
      </c>
    </row>
    <row r="63" spans="1:9" ht="15.95" customHeight="1" x14ac:dyDescent="0.2">
      <c r="A63" s="368" t="s">
        <v>720</v>
      </c>
      <c r="B63" s="379" t="s">
        <v>749</v>
      </c>
      <c r="C63" s="376" t="s">
        <v>116</v>
      </c>
      <c r="D63" s="1139">
        <v>1.5</v>
      </c>
      <c r="E63" s="388">
        <v>1.5</v>
      </c>
      <c r="F63" s="377" t="str">
        <f t="shared" si="0"/>
        <v>-</v>
      </c>
      <c r="G63" s="373"/>
      <c r="H63" s="325">
        <v>1.5</v>
      </c>
    </row>
    <row r="64" spans="1:9" ht="15.95" customHeight="1" x14ac:dyDescent="0.2">
      <c r="A64" s="368" t="s">
        <v>720</v>
      </c>
      <c r="B64" s="379" t="s">
        <v>750</v>
      </c>
      <c r="C64" s="376" t="s">
        <v>746</v>
      </c>
      <c r="D64" s="1139" t="str">
        <f>14*28.1&amp;"/"&amp;ROUND(14*28.1*27.2/1000,2)</f>
        <v>393,4/10,7</v>
      </c>
      <c r="E64" s="388" t="str">
        <f>16*28&amp;"/"&amp;ROUND(16*28*27.2/1000,2)</f>
        <v>448/12,19</v>
      </c>
      <c r="F64" s="389" t="str">
        <f>ROUND(393.4-448,2)&amp;"/"&amp;ROUND(10.7-12.19,2)</f>
        <v>-54,6/-1,49</v>
      </c>
      <c r="G64" s="373"/>
      <c r="H64" s="325">
        <v>12.19</v>
      </c>
    </row>
    <row r="65" spans="1:8" s="395" customFormat="1" ht="15.95" customHeight="1" x14ac:dyDescent="0.2">
      <c r="A65" s="368" t="s">
        <v>720</v>
      </c>
      <c r="B65" s="379" t="s">
        <v>751</v>
      </c>
      <c r="C65" s="376" t="s">
        <v>10</v>
      </c>
      <c r="D65" s="1139">
        <f>+ROUND(D17*D11-PI()*0.75^2*D11*D9,2)</f>
        <v>497.83</v>
      </c>
      <c r="E65" s="388">
        <f>+ROUND(E17*E11-PI()*0.75^2*E11*E9,2)</f>
        <v>307.27999999999997</v>
      </c>
      <c r="F65" s="377">
        <f t="shared" si="0"/>
        <v>190.55</v>
      </c>
      <c r="G65" s="394"/>
    </row>
    <row r="66" spans="1:8" s="395" customFormat="1" ht="15.95" customHeight="1" x14ac:dyDescent="0.2">
      <c r="A66" s="368" t="s">
        <v>720</v>
      </c>
      <c r="B66" s="379" t="s">
        <v>752</v>
      </c>
      <c r="C66" s="376" t="s">
        <v>116</v>
      </c>
      <c r="D66" s="1139">
        <f>ROUND(42*3*1*6.85/1000,2)</f>
        <v>0.86</v>
      </c>
      <c r="E66" s="396">
        <f>ROUND(38*3*1*6.85/1000,2)</f>
        <v>0.78</v>
      </c>
      <c r="F66" s="377">
        <f t="shared" si="0"/>
        <v>7.999999999999996E-2</v>
      </c>
      <c r="G66" s="394"/>
    </row>
    <row r="67" spans="1:8" s="395" customFormat="1" ht="15.95" customHeight="1" x14ac:dyDescent="0.2">
      <c r="A67" s="368" t="s">
        <v>720</v>
      </c>
      <c r="B67" s="379" t="s">
        <v>753</v>
      </c>
      <c r="C67" s="376" t="s">
        <v>116</v>
      </c>
      <c r="D67" s="1139">
        <f>ROUND(42*3.8*10.3*2/1000,2)</f>
        <v>3.29</v>
      </c>
      <c r="E67" s="396">
        <f>ROUND(38*3.5*10.3*2/1000,2)</f>
        <v>2.74</v>
      </c>
      <c r="F67" s="377">
        <f t="shared" si="0"/>
        <v>0.54999999999999982</v>
      </c>
      <c r="G67" s="394"/>
    </row>
    <row r="68" spans="1:8" s="395" customFormat="1" ht="15.95" customHeight="1" x14ac:dyDescent="0.2">
      <c r="A68" s="368" t="s">
        <v>720</v>
      </c>
      <c r="B68" s="379" t="s">
        <v>754</v>
      </c>
      <c r="C68" s="376" t="s">
        <v>127</v>
      </c>
      <c r="D68" s="1139">
        <v>50</v>
      </c>
      <c r="E68" s="388">
        <v>50</v>
      </c>
      <c r="F68" s="377" t="str">
        <f t="shared" si="0"/>
        <v>-</v>
      </c>
      <c r="G68" s="394"/>
    </row>
    <row r="69" spans="1:8" s="395" customFormat="1" ht="15.95" customHeight="1" x14ac:dyDescent="0.2">
      <c r="A69" s="368" t="s">
        <v>720</v>
      </c>
      <c r="B69" s="379" t="s">
        <v>755</v>
      </c>
      <c r="C69" s="376" t="s">
        <v>10</v>
      </c>
      <c r="D69" s="1139">
        <v>1</v>
      </c>
      <c r="E69" s="388">
        <v>1</v>
      </c>
      <c r="F69" s="377" t="str">
        <f t="shared" si="0"/>
        <v>-</v>
      </c>
      <c r="G69" s="394"/>
    </row>
    <row r="70" spans="1:8" s="395" customFormat="1" ht="15.95" customHeight="1" x14ac:dyDescent="0.2">
      <c r="A70" s="368" t="s">
        <v>720</v>
      </c>
      <c r="B70" s="379" t="s">
        <v>756</v>
      </c>
      <c r="C70" s="376" t="s">
        <v>746</v>
      </c>
      <c r="D70" s="1139" t="str">
        <f>(5*11.2+12*2.3+67.4)*2&amp;"/"&amp;ROUND((5*11.2+12*2.3+67.4)*2*141/1000,2)</f>
        <v>302/42,58</v>
      </c>
      <c r="E70" s="388" t="str">
        <f>(54.7+15.5*3+3*2*2+3.8*2*2)*2&amp;"/"&amp;ROUND((54.7+15.5*3+3*2*2+3.8*2*2)*2*141/1000,2)</f>
        <v>256,8/36,21</v>
      </c>
      <c r="F70" s="389" t="str">
        <f>ROUND(302-256.8,2)&amp;"/"&amp;ROUND(42.58-36.21,2)</f>
        <v>45,2/6,37</v>
      </c>
      <c r="G70" s="394"/>
      <c r="H70" s="395">
        <v>36.21</v>
      </c>
    </row>
    <row r="71" spans="1:8" s="395" customFormat="1" ht="15.95" customHeight="1" x14ac:dyDescent="0.2">
      <c r="A71" s="368" t="s">
        <v>720</v>
      </c>
      <c r="B71" s="379" t="s">
        <v>757</v>
      </c>
      <c r="C71" s="376" t="s">
        <v>746</v>
      </c>
      <c r="D71" s="1139" t="str">
        <f>18*9.2&amp;"/"&amp;ROUND(18*9.2*58.4/1000,2)</f>
        <v>165,6/9,67</v>
      </c>
      <c r="E71" s="388" t="str">
        <f>14*8.6&amp;"/"&amp;ROUND(14*8.6*58.4/1000,2)</f>
        <v>120,4/7,03</v>
      </c>
      <c r="F71" s="389" t="str">
        <f>ROUND(165.6-120.4,2)&amp;"/"&amp;ROUND(9.67-7.03,2)</f>
        <v>45,2/2,64</v>
      </c>
      <c r="G71" s="394"/>
    </row>
    <row r="72" spans="1:8" s="395" customFormat="1" ht="15.95" customHeight="1" x14ac:dyDescent="0.2">
      <c r="A72" s="368" t="s">
        <v>720</v>
      </c>
      <c r="B72" s="397" t="s">
        <v>758</v>
      </c>
      <c r="C72" s="376" t="s">
        <v>116</v>
      </c>
      <c r="D72" s="1139">
        <v>1.5</v>
      </c>
      <c r="E72" s="388">
        <v>1.5</v>
      </c>
      <c r="F72" s="377" t="str">
        <f t="shared" si="0"/>
        <v>-</v>
      </c>
      <c r="G72" s="394"/>
    </row>
    <row r="73" spans="1:8" ht="15.95" customHeight="1" x14ac:dyDescent="0.2">
      <c r="A73" s="1128">
        <f>+A52+1</f>
        <v>3</v>
      </c>
      <c r="B73" s="1129" t="s">
        <v>759</v>
      </c>
      <c r="C73" s="451"/>
      <c r="D73" s="1139"/>
      <c r="E73" s="1130"/>
      <c r="F73" s="1131" t="str">
        <f t="shared" si="0"/>
        <v>-</v>
      </c>
      <c r="G73" s="1133"/>
      <c r="H73" s="325">
        <f>+SUM(H53:H70)</f>
        <v>146.96</v>
      </c>
    </row>
    <row r="74" spans="1:8" ht="15.95" customHeight="1" x14ac:dyDescent="0.2">
      <c r="A74" s="368" t="s">
        <v>720</v>
      </c>
      <c r="B74" s="397" t="s">
        <v>760</v>
      </c>
      <c r="C74" s="376" t="s">
        <v>746</v>
      </c>
      <c r="D74" s="1139" t="str">
        <f>4.8*12+27*4&amp;"/"&amp;ROUND((4.8*12+27*4)*36.7/1000,2)</f>
        <v>165,6/6,08</v>
      </c>
      <c r="E74" s="388" t="str">
        <f>4.8*10+21*4&amp;"/"&amp;ROUND((4.8*10+21*4)*36.7/1000,2)</f>
        <v>132/4,84</v>
      </c>
      <c r="F74" s="389" t="str">
        <f>165.6-132&amp;"/"&amp;ROUND(6.08-4.84,2)</f>
        <v>33,6/1,24</v>
      </c>
      <c r="G74" s="394"/>
    </row>
    <row r="75" spans="1:8" ht="15.95" customHeight="1" x14ac:dyDescent="0.2">
      <c r="A75" s="368" t="s">
        <v>720</v>
      </c>
      <c r="B75" s="397" t="s">
        <v>761</v>
      </c>
      <c r="C75" s="376" t="s">
        <v>746</v>
      </c>
      <c r="D75" s="1139" t="str">
        <f>(27*4+6*4*3.9+6*2*4.2)&amp;"/"&amp;ROUND((27*4+6*4*3.9+6*2*4.2)*25.2/1000,2)</f>
        <v>252/6,35</v>
      </c>
      <c r="E75" s="388" t="str">
        <f>(21*4+6*4*3.9+6*2*4.2)&amp;"/"&amp;ROUND((21*4+6*4*3.9+6*2*4.2)*25.2/1000,2)</f>
        <v>228/5,75</v>
      </c>
      <c r="F75" s="389" t="str">
        <f>252-228&amp;"/"&amp;6.35-5.75</f>
        <v>24/0,6</v>
      </c>
      <c r="G75" s="394"/>
      <c r="H75" s="325">
        <f>1.43-0.15</f>
        <v>1.28</v>
      </c>
    </row>
    <row r="76" spans="1:8" ht="15.95" customHeight="1" x14ac:dyDescent="0.2">
      <c r="A76" s="368" t="s">
        <v>720</v>
      </c>
      <c r="B76" s="397" t="s">
        <v>762</v>
      </c>
      <c r="C76" s="376" t="s">
        <v>746</v>
      </c>
      <c r="D76" s="1139" t="str">
        <f>(27*4+5*0.9*2)&amp;"/"&amp;ROUND((27*4+5*0.9*2)*10.3/1000,2)</f>
        <v>117/1,21</v>
      </c>
      <c r="E76" s="388" t="str">
        <f>(21*4+5*0.9*2)&amp;"/"&amp;ROUND((21*4+5*0.9*2)*10.3/1000,2)</f>
        <v>93/0,96</v>
      </c>
      <c r="F76" s="389" t="str">
        <f>117-93&amp;"/"&amp;1.21-0.96</f>
        <v>24/0,25</v>
      </c>
      <c r="G76" s="394"/>
    </row>
    <row r="77" spans="1:8" ht="15.95" customHeight="1" x14ac:dyDescent="0.2">
      <c r="A77" s="368" t="s">
        <v>720</v>
      </c>
      <c r="B77" s="397" t="s">
        <v>763</v>
      </c>
      <c r="C77" s="376" t="s">
        <v>764</v>
      </c>
      <c r="D77" s="1139" t="str">
        <f>5*2&amp;"/"&amp;ROUND(5*2*D27,2)&amp;"/"&amp;ROUND(5*2*D27*103/1000,2)</f>
        <v>10/250/25,75</v>
      </c>
      <c r="E77" s="388" t="str">
        <f>5*2&amp;"/"&amp;ROUND(5*2*E27,2)&amp;"/"&amp;ROUND(5*2*E27*103/1000,2)</f>
        <v>10/250/25,75</v>
      </c>
      <c r="F77" s="377" t="s">
        <v>720</v>
      </c>
      <c r="G77" s="394"/>
    </row>
    <row r="78" spans="1:8" ht="15.95" customHeight="1" x14ac:dyDescent="0.2">
      <c r="A78" s="368" t="s">
        <v>720</v>
      </c>
      <c r="B78" s="397" t="s">
        <v>765</v>
      </c>
      <c r="C78" s="376" t="s">
        <v>40</v>
      </c>
      <c r="D78" s="1139" t="str">
        <f>26&amp;"/"&amp;ROUND(26*D31,2)</f>
        <v>26/319,8</v>
      </c>
      <c r="E78" s="388" t="str">
        <f>5*5&amp;"/"&amp;ROUND(5*5*E31,2)</f>
        <v>25/307,5</v>
      </c>
      <c r="F78" s="389" t="str">
        <f>1&amp;"/"&amp;319.8-307.5</f>
        <v>1/12,3</v>
      </c>
      <c r="G78" s="394"/>
    </row>
    <row r="79" spans="1:8" ht="15.95" customHeight="1" x14ac:dyDescent="0.2">
      <c r="A79" s="368" t="s">
        <v>720</v>
      </c>
      <c r="B79" s="397" t="s">
        <v>766</v>
      </c>
      <c r="C79" s="376" t="s">
        <v>10</v>
      </c>
      <c r="D79" s="1139">
        <f>1*0.03*21*2*1.5</f>
        <v>1.8900000000000001</v>
      </c>
      <c r="E79" s="388">
        <f>1*0.03*21*2*1.5</f>
        <v>1.8900000000000001</v>
      </c>
      <c r="F79" s="377" t="str">
        <f t="shared" si="0"/>
        <v>-</v>
      </c>
      <c r="G79" s="394"/>
    </row>
    <row r="80" spans="1:8" ht="15.95" customHeight="1" x14ac:dyDescent="0.2">
      <c r="A80" s="1128">
        <f>+A73+1</f>
        <v>4</v>
      </c>
      <c r="B80" s="1134" t="s">
        <v>767</v>
      </c>
      <c r="C80" s="451"/>
      <c r="D80" s="1139"/>
      <c r="E80" s="1130"/>
      <c r="F80" s="1131"/>
      <c r="G80" s="1133"/>
    </row>
    <row r="81" spans="1:8" ht="15.95" customHeight="1" x14ac:dyDescent="0.2">
      <c r="A81" s="1219" t="s">
        <v>720</v>
      </c>
      <c r="B81" s="379" t="s">
        <v>768</v>
      </c>
      <c r="C81" s="376" t="s">
        <v>746</v>
      </c>
      <c r="D81" s="1139" t="str">
        <f>+E81</f>
        <v>240/6,53</v>
      </c>
      <c r="E81" s="388" t="str">
        <f>8*(9.5+5.5)*2&amp;"/"&amp;ROUND(8*(9.5+5.5)*2*27.2/1000,2)</f>
        <v>240/6,53</v>
      </c>
      <c r="F81" s="377" t="s">
        <v>720</v>
      </c>
      <c r="G81" s="394"/>
      <c r="H81" s="325">
        <f>63/1.5</f>
        <v>42</v>
      </c>
    </row>
    <row r="82" spans="1:8" ht="15.95" customHeight="1" x14ac:dyDescent="0.2">
      <c r="A82" s="1219"/>
      <c r="B82" s="379" t="s">
        <v>769</v>
      </c>
      <c r="C82" s="376" t="s">
        <v>746</v>
      </c>
      <c r="D82" s="1139" t="str">
        <f>+E82</f>
        <v>160/10,18</v>
      </c>
      <c r="E82" s="396" t="str">
        <f>(3+5)*2*10&amp;"/"&amp;ROUND((3+5)*2*10*31.8*2/1000,2)</f>
        <v>160/10,18</v>
      </c>
      <c r="F82" s="377" t="s">
        <v>720</v>
      </c>
      <c r="G82" s="394"/>
      <c r="H82" s="325">
        <f>6/1.5</f>
        <v>4</v>
      </c>
    </row>
    <row r="83" spans="1:8" ht="15.95" customHeight="1" x14ac:dyDescent="0.2">
      <c r="A83" s="368" t="s">
        <v>720</v>
      </c>
      <c r="B83" s="379" t="s">
        <v>770</v>
      </c>
      <c r="C83" s="376" t="s">
        <v>116</v>
      </c>
      <c r="D83" s="1139">
        <f>E83</f>
        <v>1.63</v>
      </c>
      <c r="E83" s="396">
        <f>ROUND(12*10*0.5*27.2/1000,2)</f>
        <v>1.63</v>
      </c>
      <c r="F83" s="377" t="str">
        <f t="shared" si="0"/>
        <v>-</v>
      </c>
      <c r="G83" s="394"/>
    </row>
    <row r="84" spans="1:8" ht="15.95" customHeight="1" x14ac:dyDescent="0.2">
      <c r="A84" s="368" t="s">
        <v>720</v>
      </c>
      <c r="B84" s="379" t="s">
        <v>771</v>
      </c>
      <c r="C84" s="376" t="s">
        <v>116</v>
      </c>
      <c r="D84" s="1139">
        <f>+E84</f>
        <v>2.4700000000000002</v>
      </c>
      <c r="E84" s="396">
        <f>ROUND(12*10*10.3*2/1000,2)</f>
        <v>2.4700000000000002</v>
      </c>
      <c r="F84" s="377" t="str">
        <f t="shared" si="0"/>
        <v>-</v>
      </c>
      <c r="G84" s="394"/>
    </row>
    <row r="85" spans="1:8" ht="15.95" customHeight="1" x14ac:dyDescent="0.2">
      <c r="A85" s="368" t="s">
        <v>720</v>
      </c>
      <c r="B85" s="379" t="s">
        <v>772</v>
      </c>
      <c r="C85" s="376" t="s">
        <v>116</v>
      </c>
      <c r="D85" s="1139">
        <f>+E85</f>
        <v>3.5</v>
      </c>
      <c r="E85" s="396">
        <f>+[4]T5!I31/1000</f>
        <v>3.5</v>
      </c>
      <c r="F85" s="377" t="str">
        <f t="shared" si="0"/>
        <v>-</v>
      </c>
      <c r="G85" s="394"/>
    </row>
    <row r="86" spans="1:8" ht="15.95" customHeight="1" x14ac:dyDescent="0.2">
      <c r="A86" s="368" t="s">
        <v>720</v>
      </c>
      <c r="B86" s="379" t="s">
        <v>773</v>
      </c>
      <c r="C86" s="376" t="s">
        <v>116</v>
      </c>
      <c r="D86" s="1139">
        <f>+E86</f>
        <v>0.71</v>
      </c>
      <c r="E86" s="396">
        <f>+ROUND([4]T5!I34/1000,2)</f>
        <v>0.71</v>
      </c>
      <c r="F86" s="377" t="str">
        <f t="shared" si="0"/>
        <v>-</v>
      </c>
      <c r="G86" s="394"/>
    </row>
    <row r="87" spans="1:8" ht="15.95" customHeight="1" x14ac:dyDescent="0.2">
      <c r="A87" s="368" t="s">
        <v>720</v>
      </c>
      <c r="B87" s="379" t="s">
        <v>774</v>
      </c>
      <c r="C87" s="376" t="s">
        <v>659</v>
      </c>
      <c r="D87" s="1139">
        <f>+E87</f>
        <v>371.3</v>
      </c>
      <c r="E87" s="396">
        <f>+ROUND((5*3+8.5*1)*1.58*10,2)</f>
        <v>371.3</v>
      </c>
      <c r="F87" s="377" t="str">
        <f t="shared" si="0"/>
        <v>-</v>
      </c>
      <c r="G87" s="394"/>
    </row>
    <row r="88" spans="1:8" ht="15.95" customHeight="1" thickBot="1" x14ac:dyDescent="0.25">
      <c r="A88" s="398" t="s">
        <v>720</v>
      </c>
      <c r="B88" s="399" t="s">
        <v>775</v>
      </c>
      <c r="C88" s="400" t="s">
        <v>10</v>
      </c>
      <c r="D88" s="1142">
        <f>+E88</f>
        <v>2</v>
      </c>
      <c r="E88" s="401">
        <v>2</v>
      </c>
      <c r="F88" s="402" t="str">
        <f t="shared" si="0"/>
        <v>-</v>
      </c>
      <c r="G88" s="997"/>
    </row>
    <row r="89" spans="1:8" ht="30" customHeight="1" x14ac:dyDescent="0.2">
      <c r="D89" s="325">
        <f>6.08+6.35+1.21</f>
        <v>13.64</v>
      </c>
      <c r="G89" s="998"/>
    </row>
    <row r="90" spans="1:8" x14ac:dyDescent="0.2">
      <c r="G90" s="336"/>
    </row>
    <row r="91" spans="1:8" x14ac:dyDescent="0.2">
      <c r="B91" s="325" t="s">
        <v>612</v>
      </c>
    </row>
  </sheetData>
  <mergeCells count="10">
    <mergeCell ref="A36:G36"/>
    <mergeCell ref="G37:G39"/>
    <mergeCell ref="D38:D39"/>
    <mergeCell ref="E38:E39"/>
    <mergeCell ref="A81:A82"/>
    <mergeCell ref="A37:A39"/>
    <mergeCell ref="B37:B39"/>
    <mergeCell ref="C37:C39"/>
    <mergeCell ref="D37:E37"/>
    <mergeCell ref="F37:F39"/>
  </mergeCells>
  <hyperlinks>
    <hyperlink ref="G3" location="'Bảng dien giai KL hoan cong'!A1" display="Quay lai"/>
  </hyperlink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Views>
    <sheetView view="pageBreakPreview" zoomScaleNormal="100" zoomScaleSheetLayoutView="100" workbookViewId="0">
      <selection sqref="A1:J1"/>
    </sheetView>
  </sheetViews>
  <sheetFormatPr defaultRowHeight="15" x14ac:dyDescent="0.25"/>
  <cols>
    <col min="1" max="1" width="10.85546875" customWidth="1"/>
    <col min="2" max="2" width="12.85546875" customWidth="1"/>
    <col min="9" max="9" width="13.28515625" customWidth="1"/>
    <col min="11" max="11" width="12" customWidth="1"/>
  </cols>
  <sheetData>
    <row r="1" spans="1:10" x14ac:dyDescent="0.25">
      <c r="A1" s="1162" t="s">
        <v>1450</v>
      </c>
      <c r="B1" s="1162"/>
      <c r="C1" s="1162"/>
      <c r="D1" s="1162"/>
      <c r="E1" s="1162"/>
      <c r="F1" s="1162"/>
      <c r="G1" s="1162"/>
      <c r="H1" s="1162"/>
      <c r="I1" s="1162"/>
      <c r="J1" s="1162"/>
    </row>
    <row r="3" spans="1:10" ht="45" x14ac:dyDescent="0.25">
      <c r="A3" s="1167" t="s">
        <v>383</v>
      </c>
      <c r="B3" s="1210" t="s">
        <v>384</v>
      </c>
      <c r="C3" s="931" t="s">
        <v>378</v>
      </c>
      <c r="D3" s="1167" t="s">
        <v>590</v>
      </c>
      <c r="E3" s="931" t="s">
        <v>591</v>
      </c>
      <c r="F3" s="930" t="s">
        <v>380</v>
      </c>
      <c r="G3" s="930" t="s">
        <v>381</v>
      </c>
      <c r="H3" s="930" t="s">
        <v>514</v>
      </c>
      <c r="I3" s="931" t="s">
        <v>386</v>
      </c>
      <c r="J3" s="930" t="s">
        <v>0</v>
      </c>
    </row>
    <row r="4" spans="1:10" x14ac:dyDescent="0.25">
      <c r="A4" s="1172"/>
      <c r="B4" s="1211"/>
      <c r="C4" s="933" t="s">
        <v>556</v>
      </c>
      <c r="D4" s="1172"/>
      <c r="E4" s="933" t="s">
        <v>556</v>
      </c>
      <c r="F4" s="932" t="s">
        <v>585</v>
      </c>
      <c r="G4" s="933" t="s">
        <v>416</v>
      </c>
      <c r="H4" s="932" t="s">
        <v>124</v>
      </c>
      <c r="I4" s="933" t="s">
        <v>410</v>
      </c>
      <c r="J4" s="932"/>
    </row>
    <row r="5" spans="1:10" ht="15" customHeight="1" x14ac:dyDescent="0.25">
      <c r="A5" s="1226" t="s">
        <v>1422</v>
      </c>
      <c r="B5" s="122" t="s">
        <v>357</v>
      </c>
      <c r="C5" s="1006">
        <v>32</v>
      </c>
      <c r="D5" s="1007" t="str">
        <f>IF(C5&gt;10,"CB400-V","CB400-T")</f>
        <v>CB400-V</v>
      </c>
      <c r="E5" s="1007">
        <v>10420</v>
      </c>
      <c r="F5" s="1007">
        <v>32</v>
      </c>
      <c r="G5" s="1007">
        <f>VLOOKUP(C5,'CKN T4 '!$M$5:$N$19,2,0)</f>
        <v>6.31</v>
      </c>
      <c r="H5" s="1007">
        <f>ROUND(E5*F5/1000,2)</f>
        <v>333.44</v>
      </c>
      <c r="I5" s="1014">
        <f>ROUND(H5*G5,2)</f>
        <v>2104.0100000000002</v>
      </c>
      <c r="J5" s="122"/>
    </row>
    <row r="6" spans="1:10" x14ac:dyDescent="0.25">
      <c r="A6" s="1227"/>
      <c r="B6" s="122" t="s">
        <v>358</v>
      </c>
      <c r="C6" s="1006">
        <v>32</v>
      </c>
      <c r="D6" s="1007" t="str">
        <f t="shared" ref="D6:D8" si="0">IF(C6&gt;10,"CB400-V","CB400-T")</f>
        <v>CB400-V</v>
      </c>
      <c r="E6" s="1007">
        <v>11700</v>
      </c>
      <c r="F6" s="1007">
        <v>32</v>
      </c>
      <c r="G6" s="1007">
        <f>VLOOKUP(C6,'CKN T4 '!$M$5:$N$19,2,0)</f>
        <v>6.31</v>
      </c>
      <c r="H6" s="1007">
        <f t="shared" ref="H6:H43" si="1">ROUND(E6*F6/1000,2)</f>
        <v>374.4</v>
      </c>
      <c r="I6" s="1014">
        <f t="shared" ref="I6:I43" si="2">ROUND(H6*G6,2)</f>
        <v>2362.46</v>
      </c>
      <c r="J6" s="122"/>
    </row>
    <row r="7" spans="1:10" x14ac:dyDescent="0.25">
      <c r="A7" s="1227"/>
      <c r="B7" s="122" t="s">
        <v>359</v>
      </c>
      <c r="C7" s="1006">
        <v>25</v>
      </c>
      <c r="D7" s="1007" t="str">
        <f t="shared" si="0"/>
        <v>CB400-V</v>
      </c>
      <c r="E7" s="1007">
        <v>3707</v>
      </c>
      <c r="F7" s="1007">
        <v>5</v>
      </c>
      <c r="G7" s="1007">
        <f>VLOOKUP(C7,'CKN T4 '!$M$5:$N$19,2,0)</f>
        <v>3.85</v>
      </c>
      <c r="H7" s="1007">
        <f t="shared" si="1"/>
        <v>18.54</v>
      </c>
      <c r="I7" s="1014">
        <f t="shared" si="2"/>
        <v>71.38</v>
      </c>
      <c r="J7" s="122"/>
    </row>
    <row r="8" spans="1:10" x14ac:dyDescent="0.25">
      <c r="A8" s="1227"/>
      <c r="B8" s="122" t="s">
        <v>360</v>
      </c>
      <c r="C8" s="1006">
        <v>25</v>
      </c>
      <c r="D8" s="1007" t="str">
        <f t="shared" si="0"/>
        <v>CB400-V</v>
      </c>
      <c r="E8" s="1007">
        <v>600</v>
      </c>
      <c r="F8" s="1007">
        <v>40</v>
      </c>
      <c r="G8" s="1007">
        <f>VLOOKUP(C8,'CKN T4 '!$M$5:$N$19,2,0)</f>
        <v>3.85</v>
      </c>
      <c r="H8" s="1007">
        <f t="shared" si="1"/>
        <v>24</v>
      </c>
      <c r="I8" s="1014">
        <f t="shared" si="2"/>
        <v>92.4</v>
      </c>
      <c r="J8" s="122"/>
    </row>
    <row r="9" spans="1:10" x14ac:dyDescent="0.25">
      <c r="A9" s="1227"/>
      <c r="B9" s="1228" t="s">
        <v>1420</v>
      </c>
      <c r="C9" s="1229"/>
      <c r="D9" s="1229"/>
      <c r="E9" s="1229"/>
      <c r="F9" s="1229"/>
      <c r="G9" s="1229"/>
      <c r="H9" s="1230"/>
      <c r="I9" s="1013">
        <f>SUM(I5:I8)</f>
        <v>4630.25</v>
      </c>
      <c r="J9" s="1015"/>
    </row>
    <row r="10" spans="1:10" x14ac:dyDescent="0.25">
      <c r="A10" s="1226" t="s">
        <v>1423</v>
      </c>
      <c r="B10" s="122" t="s">
        <v>358</v>
      </c>
      <c r="C10" s="1006">
        <v>32</v>
      </c>
      <c r="D10" s="1007" t="str">
        <f t="shared" ref="D10:D12" si="3">IF(C10&gt;10,"CB400-V","CB400-T")</f>
        <v>CB400-V</v>
      </c>
      <c r="E10" s="1007">
        <v>11700</v>
      </c>
      <c r="F10" s="1007">
        <v>64</v>
      </c>
      <c r="G10" s="1007">
        <f>VLOOKUP(C10,'CKN T4 '!$M$5:$N$19,2,0)</f>
        <v>6.31</v>
      </c>
      <c r="H10" s="1007">
        <f t="shared" si="1"/>
        <v>748.8</v>
      </c>
      <c r="I10" s="1014">
        <f t="shared" si="2"/>
        <v>4724.93</v>
      </c>
      <c r="J10" s="122"/>
    </row>
    <row r="11" spans="1:10" x14ac:dyDescent="0.25">
      <c r="A11" s="1227"/>
      <c r="B11" s="122" t="s">
        <v>359</v>
      </c>
      <c r="C11" s="1006">
        <v>25</v>
      </c>
      <c r="D11" s="1007" t="str">
        <f t="shared" si="3"/>
        <v>CB400-V</v>
      </c>
      <c r="E11" s="1007">
        <v>3707</v>
      </c>
      <c r="F11" s="1007">
        <v>5</v>
      </c>
      <c r="G11" s="1007">
        <f>VLOOKUP(C11,'CKN T4 '!$M$5:$N$19,2,0)</f>
        <v>3.85</v>
      </c>
      <c r="H11" s="1007">
        <f t="shared" si="1"/>
        <v>18.54</v>
      </c>
      <c r="I11" s="1014">
        <f t="shared" si="2"/>
        <v>71.38</v>
      </c>
      <c r="J11" s="122"/>
    </row>
    <row r="12" spans="1:10" x14ac:dyDescent="0.25">
      <c r="A12" s="1227"/>
      <c r="B12" s="122" t="s">
        <v>360</v>
      </c>
      <c r="C12" s="1006">
        <v>25</v>
      </c>
      <c r="D12" s="1007" t="str">
        <f t="shared" si="3"/>
        <v>CB400-V</v>
      </c>
      <c r="E12" s="1007">
        <v>600</v>
      </c>
      <c r="F12" s="1007">
        <v>40</v>
      </c>
      <c r="G12" s="1007">
        <f>VLOOKUP(C12,'CKN T4 '!$M$5:$N$19,2,0)</f>
        <v>3.85</v>
      </c>
      <c r="H12" s="1007">
        <f t="shared" si="1"/>
        <v>24</v>
      </c>
      <c r="I12" s="1014">
        <f t="shared" si="2"/>
        <v>92.4</v>
      </c>
      <c r="J12" s="122"/>
    </row>
    <row r="13" spans="1:10" x14ac:dyDescent="0.25">
      <c r="A13" s="1227"/>
      <c r="B13" s="1228" t="s">
        <v>1420</v>
      </c>
      <c r="C13" s="1229"/>
      <c r="D13" s="1229"/>
      <c r="E13" s="1229"/>
      <c r="F13" s="1229"/>
      <c r="G13" s="1229"/>
      <c r="H13" s="1230"/>
      <c r="I13" s="1013">
        <f>SUM(I10:I12)</f>
        <v>4888.71</v>
      </c>
      <c r="J13" s="1015"/>
    </row>
    <row r="14" spans="1:10" x14ac:dyDescent="0.25">
      <c r="A14" s="1226" t="s">
        <v>1424</v>
      </c>
      <c r="B14" s="122" t="s">
        <v>358</v>
      </c>
      <c r="C14" s="1006">
        <v>32</v>
      </c>
      <c r="D14" s="1007" t="str">
        <f t="shared" ref="D14:D16" si="4">IF(C14&gt;10,"CB400-V","CB400-T")</f>
        <v>CB400-V</v>
      </c>
      <c r="E14" s="1007">
        <v>11700</v>
      </c>
      <c r="F14" s="1007">
        <v>64</v>
      </c>
      <c r="G14" s="1007">
        <f>VLOOKUP(C14,'CKN T4 '!$M$5:$N$19,2,0)</f>
        <v>6.31</v>
      </c>
      <c r="H14" s="1007">
        <f t="shared" si="1"/>
        <v>748.8</v>
      </c>
      <c r="I14" s="1014">
        <f t="shared" si="2"/>
        <v>4724.93</v>
      </c>
      <c r="J14" s="122"/>
    </row>
    <row r="15" spans="1:10" ht="14.25" customHeight="1" x14ac:dyDescent="0.25">
      <c r="A15" s="1227"/>
      <c r="B15" s="122" t="s">
        <v>359</v>
      </c>
      <c r="C15" s="1006">
        <v>25</v>
      </c>
      <c r="D15" s="1007" t="str">
        <f t="shared" si="4"/>
        <v>CB400-V</v>
      </c>
      <c r="E15" s="1007">
        <v>3707</v>
      </c>
      <c r="F15" s="1007">
        <v>5</v>
      </c>
      <c r="G15" s="1007">
        <f>VLOOKUP(C15,'CKN T4 '!$M$5:$N$19,2,0)</f>
        <v>3.85</v>
      </c>
      <c r="H15" s="1007">
        <f t="shared" si="1"/>
        <v>18.54</v>
      </c>
      <c r="I15" s="1014">
        <f t="shared" si="2"/>
        <v>71.38</v>
      </c>
      <c r="J15" s="122"/>
    </row>
    <row r="16" spans="1:10" x14ac:dyDescent="0.25">
      <c r="A16" s="1227"/>
      <c r="B16" s="122" t="s">
        <v>360</v>
      </c>
      <c r="C16" s="1006">
        <v>25</v>
      </c>
      <c r="D16" s="1007" t="str">
        <f t="shared" si="4"/>
        <v>CB400-V</v>
      </c>
      <c r="E16" s="1007">
        <v>600</v>
      </c>
      <c r="F16" s="1007">
        <v>40</v>
      </c>
      <c r="G16" s="1007">
        <f>VLOOKUP(C16,'CKN T4 '!$M$5:$N$19,2,0)</f>
        <v>3.85</v>
      </c>
      <c r="H16" s="1007">
        <f t="shared" si="1"/>
        <v>24</v>
      </c>
      <c r="I16" s="1014">
        <f t="shared" si="2"/>
        <v>92.4</v>
      </c>
      <c r="J16" s="122"/>
    </row>
    <row r="17" spans="1:10" ht="17.25" customHeight="1" x14ac:dyDescent="0.25">
      <c r="A17" s="1227"/>
      <c r="B17" s="1228" t="s">
        <v>1420</v>
      </c>
      <c r="C17" s="1229"/>
      <c r="D17" s="1229"/>
      <c r="E17" s="1229"/>
      <c r="F17" s="1229"/>
      <c r="G17" s="1229"/>
      <c r="H17" s="1230"/>
      <c r="I17" s="1013">
        <f>SUM(I14:I16)</f>
        <v>4888.71</v>
      </c>
      <c r="J17" s="1015"/>
    </row>
    <row r="18" spans="1:10" x14ac:dyDescent="0.25">
      <c r="A18" s="1226" t="s">
        <v>1425</v>
      </c>
      <c r="B18" s="122" t="s">
        <v>361</v>
      </c>
      <c r="C18" s="1006">
        <v>28</v>
      </c>
      <c r="D18" s="1007" t="str">
        <f t="shared" ref="D18:D20" si="5">IF(C18&gt;10,"CB400-V","CB400-T")</f>
        <v>CB400-V</v>
      </c>
      <c r="E18" s="1007">
        <v>11700</v>
      </c>
      <c r="F18" s="1007">
        <v>32</v>
      </c>
      <c r="G18" s="1007">
        <f>VLOOKUP(C18,'CKN T4 '!$M$5:$N$19,2,0)</f>
        <v>4.83</v>
      </c>
      <c r="H18" s="1007">
        <f t="shared" si="1"/>
        <v>374.4</v>
      </c>
      <c r="I18" s="1014">
        <f t="shared" si="2"/>
        <v>1808.35</v>
      </c>
      <c r="J18" s="122"/>
    </row>
    <row r="19" spans="1:10" x14ac:dyDescent="0.25">
      <c r="A19" s="1227"/>
      <c r="B19" s="122" t="s">
        <v>362</v>
      </c>
      <c r="C19" s="1006">
        <v>25</v>
      </c>
      <c r="D19" s="1007" t="str">
        <f t="shared" si="5"/>
        <v>CB400-V</v>
      </c>
      <c r="E19" s="1007">
        <v>3911</v>
      </c>
      <c r="F19" s="1007">
        <v>5</v>
      </c>
      <c r="G19" s="1007">
        <f>VLOOKUP(C19,'CKN T4 '!$M$5:$N$19,2,0)</f>
        <v>3.85</v>
      </c>
      <c r="H19" s="1007">
        <f t="shared" si="1"/>
        <v>19.559999999999999</v>
      </c>
      <c r="I19" s="1014">
        <f t="shared" si="2"/>
        <v>75.31</v>
      </c>
      <c r="J19" s="122"/>
    </row>
    <row r="20" spans="1:10" x14ac:dyDescent="0.25">
      <c r="A20" s="1227"/>
      <c r="B20" s="122" t="s">
        <v>360</v>
      </c>
      <c r="C20" s="1006">
        <v>25</v>
      </c>
      <c r="D20" s="1007" t="str">
        <f t="shared" si="5"/>
        <v>CB400-V</v>
      </c>
      <c r="E20" s="1007">
        <v>600</v>
      </c>
      <c r="F20" s="1007">
        <v>40</v>
      </c>
      <c r="G20" s="1007">
        <f>VLOOKUP(C20,'CKN T4 '!$M$5:$N$19,2,0)</f>
        <v>3.85</v>
      </c>
      <c r="H20" s="1007">
        <f t="shared" si="1"/>
        <v>24</v>
      </c>
      <c r="I20" s="1014">
        <f t="shared" si="2"/>
        <v>92.4</v>
      </c>
      <c r="J20" s="122"/>
    </row>
    <row r="21" spans="1:10" x14ac:dyDescent="0.25">
      <c r="A21" s="1227"/>
      <c r="B21" s="1228" t="s">
        <v>1420</v>
      </c>
      <c r="C21" s="1229"/>
      <c r="D21" s="1229"/>
      <c r="E21" s="1229"/>
      <c r="F21" s="1229"/>
      <c r="G21" s="1229"/>
      <c r="H21" s="1230"/>
      <c r="I21" s="1013">
        <f>SUM(I18:I20)</f>
        <v>1976.06</v>
      </c>
      <c r="J21" s="1015"/>
    </row>
    <row r="22" spans="1:10" x14ac:dyDescent="0.25">
      <c r="A22" s="1226" t="s">
        <v>1426</v>
      </c>
      <c r="B22" s="122" t="s">
        <v>363</v>
      </c>
      <c r="C22" s="1006">
        <v>25</v>
      </c>
      <c r="D22" s="1007" t="str">
        <f t="shared" ref="D22:D24" si="6">IF(C22&gt;10,"CB400-V","CB400-T")</f>
        <v>CB400-V</v>
      </c>
      <c r="E22" s="1007">
        <v>11700</v>
      </c>
      <c r="F22" s="1007">
        <v>32</v>
      </c>
      <c r="G22" s="1007">
        <f>VLOOKUP(C22,'CKN T4 '!$M$5:$N$19,2,0)</f>
        <v>3.85</v>
      </c>
      <c r="H22" s="1007">
        <f t="shared" si="1"/>
        <v>374.4</v>
      </c>
      <c r="I22" s="1014">
        <f t="shared" si="2"/>
        <v>1441.44</v>
      </c>
      <c r="J22" s="122"/>
    </row>
    <row r="23" spans="1:10" x14ac:dyDescent="0.25">
      <c r="A23" s="1227"/>
      <c r="B23" s="122" t="s">
        <v>364</v>
      </c>
      <c r="C23" s="1006">
        <v>25</v>
      </c>
      <c r="D23" s="1007" t="str">
        <f t="shared" si="6"/>
        <v>CB400-V</v>
      </c>
      <c r="E23" s="1007">
        <v>3924</v>
      </c>
      <c r="F23" s="1007">
        <v>6</v>
      </c>
      <c r="G23" s="1007">
        <f>VLOOKUP(C23,'CKN T4 '!$M$5:$N$19,2,0)</f>
        <v>3.85</v>
      </c>
      <c r="H23" s="1007">
        <f t="shared" si="1"/>
        <v>23.54</v>
      </c>
      <c r="I23" s="1014">
        <f t="shared" si="2"/>
        <v>90.63</v>
      </c>
      <c r="J23" s="122"/>
    </row>
    <row r="24" spans="1:10" x14ac:dyDescent="0.25">
      <c r="A24" s="1227"/>
      <c r="B24" s="122" t="s">
        <v>360</v>
      </c>
      <c r="C24" s="1006">
        <v>25</v>
      </c>
      <c r="D24" s="1007" t="str">
        <f t="shared" si="6"/>
        <v>CB400-V</v>
      </c>
      <c r="E24" s="1007">
        <v>600</v>
      </c>
      <c r="F24" s="1007">
        <v>48</v>
      </c>
      <c r="G24" s="1007">
        <f>VLOOKUP(C24,'CKN T4 '!$M$5:$N$19,2,0)</f>
        <v>3.85</v>
      </c>
      <c r="H24" s="1007">
        <f t="shared" si="1"/>
        <v>28.8</v>
      </c>
      <c r="I24" s="1014">
        <f t="shared" si="2"/>
        <v>110.88</v>
      </c>
      <c r="J24" s="122"/>
    </row>
    <row r="25" spans="1:10" x14ac:dyDescent="0.25">
      <c r="A25" s="1227"/>
      <c r="B25" s="1228" t="s">
        <v>1420</v>
      </c>
      <c r="C25" s="1229"/>
      <c r="D25" s="1229"/>
      <c r="E25" s="1229"/>
      <c r="F25" s="1229"/>
      <c r="G25" s="1229"/>
      <c r="H25" s="1230"/>
      <c r="I25" s="1013">
        <f>SUM(I22:I24)</f>
        <v>1642.9500000000003</v>
      </c>
      <c r="J25" s="1015"/>
    </row>
    <row r="26" spans="1:10" x14ac:dyDescent="0.25">
      <c r="A26" s="1226" t="s">
        <v>1427</v>
      </c>
      <c r="B26" s="122" t="s">
        <v>365</v>
      </c>
      <c r="C26" s="1006">
        <v>22</v>
      </c>
      <c r="D26" s="1007" t="str">
        <f t="shared" ref="D26:D28" si="7">IF(C26&gt;10,"CB400-V","CB400-T")</f>
        <v>CB400-V</v>
      </c>
      <c r="E26" s="1007">
        <v>11700</v>
      </c>
      <c r="F26" s="1007">
        <v>32</v>
      </c>
      <c r="G26" s="1007">
        <f>VLOOKUP(C26,'CKN T4 '!$M$5:$N$19,2,0)</f>
        <v>2.98</v>
      </c>
      <c r="H26" s="1007">
        <f t="shared" si="1"/>
        <v>374.4</v>
      </c>
      <c r="I26" s="1014">
        <f t="shared" si="2"/>
        <v>1115.71</v>
      </c>
      <c r="J26" s="122"/>
    </row>
    <row r="27" spans="1:10" x14ac:dyDescent="0.25">
      <c r="A27" s="1227"/>
      <c r="B27" s="122" t="s">
        <v>366</v>
      </c>
      <c r="C27" s="1006">
        <v>25</v>
      </c>
      <c r="D27" s="1007" t="str">
        <f t="shared" si="7"/>
        <v>CB400-V</v>
      </c>
      <c r="E27" s="1007">
        <v>3949</v>
      </c>
      <c r="F27" s="1007">
        <v>5</v>
      </c>
      <c r="G27" s="1007">
        <f>VLOOKUP(C27,'CKN T4 '!$M$5:$N$19,2,0)</f>
        <v>3.85</v>
      </c>
      <c r="H27" s="1007">
        <f t="shared" si="1"/>
        <v>19.75</v>
      </c>
      <c r="I27" s="1014">
        <f t="shared" si="2"/>
        <v>76.040000000000006</v>
      </c>
      <c r="J27" s="122"/>
    </row>
    <row r="28" spans="1:10" x14ac:dyDescent="0.25">
      <c r="A28" s="1227"/>
      <c r="B28" s="122" t="s">
        <v>360</v>
      </c>
      <c r="C28" s="1006">
        <v>25</v>
      </c>
      <c r="D28" s="1007" t="str">
        <f t="shared" si="7"/>
        <v>CB400-V</v>
      </c>
      <c r="E28" s="1007">
        <v>600</v>
      </c>
      <c r="F28" s="1007">
        <v>40</v>
      </c>
      <c r="G28" s="1007">
        <f>VLOOKUP(C28,'CKN T4 '!$M$5:$N$19,2,0)</f>
        <v>3.85</v>
      </c>
      <c r="H28" s="1007">
        <f t="shared" si="1"/>
        <v>24</v>
      </c>
      <c r="I28" s="1014">
        <f t="shared" si="2"/>
        <v>92.4</v>
      </c>
      <c r="J28" s="122"/>
    </row>
    <row r="29" spans="1:10" x14ac:dyDescent="0.25">
      <c r="A29" s="1227"/>
      <c r="B29" s="1228" t="s">
        <v>1420</v>
      </c>
      <c r="C29" s="1229"/>
      <c r="D29" s="1229"/>
      <c r="E29" s="1229"/>
      <c r="F29" s="1229"/>
      <c r="G29" s="1229"/>
      <c r="H29" s="1230"/>
      <c r="I29" s="1013">
        <f>SUM(I26:I28)</f>
        <v>1284.1500000000001</v>
      </c>
      <c r="J29" s="1015"/>
    </row>
    <row r="30" spans="1:10" x14ac:dyDescent="0.25">
      <c r="A30" s="1226" t="s">
        <v>1428</v>
      </c>
      <c r="B30" s="122" t="s">
        <v>367</v>
      </c>
      <c r="C30" s="1006">
        <v>20</v>
      </c>
      <c r="D30" s="1007" t="str">
        <f t="shared" ref="D30:D32" si="8">IF(C30&gt;10,"CB400-V","CB400-T")</f>
        <v>CB400-V</v>
      </c>
      <c r="E30" s="1007">
        <v>11700</v>
      </c>
      <c r="F30" s="1007">
        <v>32</v>
      </c>
      <c r="G30" s="1007">
        <f>VLOOKUP(C30,'CKN T4 '!$M$5:$N$19,2,0)</f>
        <v>2.4700000000000002</v>
      </c>
      <c r="H30" s="1007">
        <f t="shared" si="1"/>
        <v>374.4</v>
      </c>
      <c r="I30" s="1014">
        <f t="shared" si="2"/>
        <v>924.77</v>
      </c>
      <c r="J30" s="122"/>
    </row>
    <row r="31" spans="1:10" x14ac:dyDescent="0.25">
      <c r="A31" s="1227"/>
      <c r="B31" s="122" t="s">
        <v>368</v>
      </c>
      <c r="C31" s="1006">
        <v>25</v>
      </c>
      <c r="D31" s="1007" t="str">
        <f t="shared" si="8"/>
        <v>CB400-V</v>
      </c>
      <c r="E31" s="1007">
        <v>3962</v>
      </c>
      <c r="F31" s="1007">
        <v>6</v>
      </c>
      <c r="G31" s="1007">
        <f>VLOOKUP(C31,'CKN T4 '!$M$5:$N$19,2,0)</f>
        <v>3.85</v>
      </c>
      <c r="H31" s="1007">
        <f t="shared" si="1"/>
        <v>23.77</v>
      </c>
      <c r="I31" s="1014">
        <f t="shared" si="2"/>
        <v>91.51</v>
      </c>
      <c r="J31" s="122"/>
    </row>
    <row r="32" spans="1:10" x14ac:dyDescent="0.25">
      <c r="A32" s="1227"/>
      <c r="B32" s="122" t="s">
        <v>360</v>
      </c>
      <c r="C32" s="1006">
        <v>25</v>
      </c>
      <c r="D32" s="1007" t="str">
        <f t="shared" si="8"/>
        <v>CB400-V</v>
      </c>
      <c r="E32" s="1007">
        <v>600</v>
      </c>
      <c r="F32" s="1007">
        <v>48</v>
      </c>
      <c r="G32" s="1007">
        <f>VLOOKUP(C32,'CKN T4 '!$M$5:$N$19,2,0)</f>
        <v>3.85</v>
      </c>
      <c r="H32" s="1007">
        <f t="shared" si="1"/>
        <v>28.8</v>
      </c>
      <c r="I32" s="1014">
        <f t="shared" si="2"/>
        <v>110.88</v>
      </c>
      <c r="J32" s="122"/>
    </row>
    <row r="33" spans="1:10" x14ac:dyDescent="0.25">
      <c r="A33" s="1227"/>
      <c r="B33" s="1228" t="s">
        <v>1420</v>
      </c>
      <c r="C33" s="1229"/>
      <c r="D33" s="1229"/>
      <c r="E33" s="1229"/>
      <c r="F33" s="1229"/>
      <c r="G33" s="1229"/>
      <c r="H33" s="1230"/>
      <c r="I33" s="1013">
        <f>SUM(I30:I32)</f>
        <v>1127.1599999999999</v>
      </c>
      <c r="J33" s="1015"/>
    </row>
    <row r="34" spans="1:10" x14ac:dyDescent="0.25">
      <c r="A34" s="1226" t="s">
        <v>1429</v>
      </c>
      <c r="B34" s="122" t="s">
        <v>370</v>
      </c>
      <c r="C34" s="1006">
        <v>20</v>
      </c>
      <c r="D34" s="1007" t="str">
        <f t="shared" ref="D34:D38" si="9">IF(C34&gt;10,"CB400-V","CB400-T")</f>
        <v>CB400-V</v>
      </c>
      <c r="E34" s="1007">
        <v>3746</v>
      </c>
      <c r="F34" s="1007">
        <v>16</v>
      </c>
      <c r="G34" s="1007">
        <f>VLOOKUP(C34,'CKN T4 '!$M$5:$N$19,2,0)</f>
        <v>2.4700000000000002</v>
      </c>
      <c r="H34" s="1007">
        <f t="shared" si="1"/>
        <v>59.94</v>
      </c>
      <c r="I34" s="1014">
        <f t="shared" si="2"/>
        <v>148.05000000000001</v>
      </c>
      <c r="J34" s="122"/>
    </row>
    <row r="35" spans="1:10" x14ac:dyDescent="0.25">
      <c r="A35" s="1227"/>
      <c r="B35" s="122" t="s">
        <v>371</v>
      </c>
      <c r="C35" s="1006">
        <v>20</v>
      </c>
      <c r="D35" s="1007" t="str">
        <f t="shared" si="9"/>
        <v>CB400-V</v>
      </c>
      <c r="E35" s="1007">
        <v>5026</v>
      </c>
      <c r="F35" s="1007">
        <v>16</v>
      </c>
      <c r="G35" s="1007">
        <f>VLOOKUP(C35,'CKN T4 '!$M$5:$N$19,2,0)</f>
        <v>2.4700000000000002</v>
      </c>
      <c r="H35" s="1007">
        <f t="shared" si="1"/>
        <v>80.42</v>
      </c>
      <c r="I35" s="1014">
        <f t="shared" si="2"/>
        <v>198.64</v>
      </c>
      <c r="J35" s="122"/>
    </row>
    <row r="36" spans="1:10" x14ac:dyDescent="0.25">
      <c r="A36" s="1227"/>
      <c r="B36" s="122" t="s">
        <v>368</v>
      </c>
      <c r="C36" s="1006">
        <v>25</v>
      </c>
      <c r="D36" s="1007" t="str">
        <f t="shared" si="9"/>
        <v>CB400-V</v>
      </c>
      <c r="E36" s="1007">
        <v>3962</v>
      </c>
      <c r="F36" s="1007">
        <v>1</v>
      </c>
      <c r="G36" s="1007">
        <f>VLOOKUP(C36,'CKN T4 '!$M$5:$N$19,2,0)</f>
        <v>3.85</v>
      </c>
      <c r="H36" s="1007">
        <f t="shared" si="1"/>
        <v>3.96</v>
      </c>
      <c r="I36" s="1014">
        <f t="shared" si="2"/>
        <v>15.25</v>
      </c>
      <c r="J36" s="122"/>
    </row>
    <row r="37" spans="1:10" x14ac:dyDescent="0.25">
      <c r="A37" s="1227"/>
      <c r="B37" s="122" t="s">
        <v>360</v>
      </c>
      <c r="C37" s="1006">
        <v>25</v>
      </c>
      <c r="D37" s="1007" t="str">
        <f t="shared" si="9"/>
        <v>CB400-V</v>
      </c>
      <c r="E37" s="1007">
        <v>600</v>
      </c>
      <c r="F37" s="1007">
        <v>8</v>
      </c>
      <c r="G37" s="1007">
        <f>VLOOKUP(C37,'CKN T4 '!$M$5:$N$19,2,0)</f>
        <v>3.85</v>
      </c>
      <c r="H37" s="1007">
        <f t="shared" si="1"/>
        <v>4.8</v>
      </c>
      <c r="I37" s="1014">
        <f t="shared" si="2"/>
        <v>18.48</v>
      </c>
      <c r="J37" s="122"/>
    </row>
    <row r="38" spans="1:10" x14ac:dyDescent="0.25">
      <c r="A38" s="1227"/>
      <c r="B38" s="122" t="s">
        <v>372</v>
      </c>
      <c r="C38" s="1006">
        <v>25</v>
      </c>
      <c r="D38" s="1007" t="str">
        <f t="shared" si="9"/>
        <v>CB400-V</v>
      </c>
      <c r="E38" s="1007">
        <v>2827</v>
      </c>
      <c r="F38" s="1007">
        <v>1</v>
      </c>
      <c r="G38" s="1007">
        <f>VLOOKUP(C38,'CKN T4 '!$M$5:$N$19,2,0)</f>
        <v>3.85</v>
      </c>
      <c r="H38" s="1007">
        <f t="shared" si="1"/>
        <v>2.83</v>
      </c>
      <c r="I38" s="1014">
        <f t="shared" si="2"/>
        <v>10.9</v>
      </c>
      <c r="J38" s="122"/>
    </row>
    <row r="39" spans="1:10" x14ac:dyDescent="0.25">
      <c r="A39" s="1227"/>
      <c r="B39" s="1228" t="s">
        <v>1420</v>
      </c>
      <c r="C39" s="1229"/>
      <c r="D39" s="1229"/>
      <c r="E39" s="1229"/>
      <c r="F39" s="1229"/>
      <c r="G39" s="1229"/>
      <c r="H39" s="1230"/>
      <c r="I39" s="1013">
        <f>SUM(I34:I38)</f>
        <v>391.32</v>
      </c>
      <c r="J39" s="1015"/>
    </row>
    <row r="40" spans="1:10" x14ac:dyDescent="0.25">
      <c r="A40" s="1007" t="s">
        <v>394</v>
      </c>
      <c r="B40" s="122" t="s">
        <v>373</v>
      </c>
      <c r="C40" s="1006">
        <v>25</v>
      </c>
      <c r="D40" s="1007" t="str">
        <f t="shared" ref="D40:D41" si="10">IF(C40&gt;10,"CB400-V","CB400-T")</f>
        <v>CB400-V</v>
      </c>
      <c r="E40" s="1007">
        <v>1250</v>
      </c>
      <c r="F40" s="1007">
        <v>32</v>
      </c>
      <c r="G40" s="1007">
        <f>VLOOKUP(C40,'CKN T4 '!$M$5:$N$19,2,0)</f>
        <v>3.85</v>
      </c>
      <c r="H40" s="1007">
        <f t="shared" si="1"/>
        <v>40</v>
      </c>
      <c r="I40" s="1014">
        <f t="shared" si="2"/>
        <v>154</v>
      </c>
      <c r="J40" s="122"/>
    </row>
    <row r="41" spans="1:10" x14ac:dyDescent="0.25">
      <c r="A41" s="1007" t="s">
        <v>395</v>
      </c>
      <c r="B41" s="122" t="s">
        <v>374</v>
      </c>
      <c r="C41" s="1006">
        <v>10</v>
      </c>
      <c r="D41" s="1007" t="str">
        <f t="shared" si="10"/>
        <v>CB400-T</v>
      </c>
      <c r="E41" s="1007">
        <v>1959201</v>
      </c>
      <c r="F41" s="1007">
        <v>1</v>
      </c>
      <c r="G41" s="1007">
        <f>VLOOKUP(C41,'CKN T4 '!$M$5:$N$19,2,0)</f>
        <v>0.61699999999999999</v>
      </c>
      <c r="H41" s="1007">
        <f t="shared" si="1"/>
        <v>1959.2</v>
      </c>
      <c r="I41" s="1014">
        <f t="shared" si="2"/>
        <v>1208.83</v>
      </c>
      <c r="J41" s="122"/>
    </row>
    <row r="42" spans="1:10" x14ac:dyDescent="0.25">
      <c r="A42" s="1007" t="s">
        <v>90</v>
      </c>
      <c r="B42" s="122" t="s">
        <v>1421</v>
      </c>
      <c r="C42" s="1007"/>
      <c r="D42" s="1007"/>
      <c r="E42" s="1007">
        <v>132</v>
      </c>
      <c r="F42" s="1007">
        <v>342</v>
      </c>
      <c r="G42" s="1007">
        <v>3.9249999999999998</v>
      </c>
      <c r="H42" s="1007">
        <f t="shared" si="1"/>
        <v>45.14</v>
      </c>
      <c r="I42" s="1014">
        <f t="shared" si="2"/>
        <v>177.17</v>
      </c>
      <c r="J42" s="122"/>
    </row>
    <row r="43" spans="1:10" x14ac:dyDescent="0.25">
      <c r="A43" s="1007" t="s">
        <v>90</v>
      </c>
      <c r="B43" s="122" t="s">
        <v>376</v>
      </c>
      <c r="C43" s="1007"/>
      <c r="D43" s="1007"/>
      <c r="E43" s="1007">
        <v>100</v>
      </c>
      <c r="F43" s="1007">
        <v>380</v>
      </c>
      <c r="G43" s="1007">
        <v>3.9249999999999998</v>
      </c>
      <c r="H43" s="1007">
        <f t="shared" si="1"/>
        <v>38</v>
      </c>
      <c r="I43" s="1014">
        <f t="shared" si="2"/>
        <v>149.15</v>
      </c>
      <c r="J43" s="122"/>
    </row>
    <row r="44" spans="1:10" x14ac:dyDescent="0.25">
      <c r="A44" s="1231" t="s">
        <v>399</v>
      </c>
      <c r="B44" s="1200" t="s">
        <v>593</v>
      </c>
      <c r="C44" s="1200"/>
      <c r="D44" s="1200"/>
      <c r="E44" s="1200"/>
      <c r="F44" s="1200" t="s">
        <v>594</v>
      </c>
      <c r="G44" s="1200"/>
      <c r="H44" s="899">
        <v>10</v>
      </c>
      <c r="I44" s="1005">
        <f>SUMIF($C$6:$C$43,H44,$I$6:$I$43)</f>
        <v>1208.83</v>
      </c>
      <c r="J44" s="899" t="s">
        <v>410</v>
      </c>
    </row>
    <row r="45" spans="1:10" x14ac:dyDescent="0.25">
      <c r="A45" s="1232"/>
      <c r="B45" s="1203"/>
      <c r="C45" s="1203"/>
      <c r="D45" s="1203"/>
      <c r="E45" s="1203"/>
      <c r="F45" s="1201"/>
      <c r="G45" s="1201"/>
      <c r="H45" s="900">
        <v>12</v>
      </c>
      <c r="I45" s="1008">
        <f>SUMIF($C$6:$C$43,H45,$I$6:$I$43)</f>
        <v>0</v>
      </c>
      <c r="J45" s="899" t="s">
        <v>410</v>
      </c>
    </row>
    <row r="46" spans="1:10" x14ac:dyDescent="0.25">
      <c r="A46" s="1232"/>
      <c r="B46" s="1203"/>
      <c r="C46" s="1203"/>
      <c r="D46" s="1203"/>
      <c r="E46" s="1203"/>
      <c r="F46" s="1202" t="s">
        <v>437</v>
      </c>
      <c r="G46" s="1202"/>
      <c r="H46" s="901">
        <v>20</v>
      </c>
      <c r="I46" s="1009">
        <f>SUMIF($C$5:$C$41,H46,$I$5:$I$41)</f>
        <v>1271.46</v>
      </c>
      <c r="J46" s="899" t="s">
        <v>410</v>
      </c>
    </row>
    <row r="47" spans="1:10" x14ac:dyDescent="0.25">
      <c r="A47" s="1232"/>
      <c r="B47" s="1203"/>
      <c r="C47" s="1203"/>
      <c r="D47" s="1203"/>
      <c r="E47" s="1203"/>
      <c r="F47" s="1203"/>
      <c r="G47" s="1203"/>
      <c r="H47" s="902">
        <v>22</v>
      </c>
      <c r="I47" s="1009">
        <f t="shared" ref="I47:I50" si="11">SUMIF($C$5:$C$41,H47,$I$5:$I$41)</f>
        <v>1115.71</v>
      </c>
      <c r="J47" s="899" t="s">
        <v>410</v>
      </c>
    </row>
    <row r="48" spans="1:10" x14ac:dyDescent="0.25">
      <c r="A48" s="1232"/>
      <c r="B48" s="1203"/>
      <c r="C48" s="1203"/>
      <c r="D48" s="1203"/>
      <c r="E48" s="1203"/>
      <c r="F48" s="1203"/>
      <c r="G48" s="1203"/>
      <c r="H48" s="902">
        <v>25</v>
      </c>
      <c r="I48" s="1009">
        <f t="shared" si="11"/>
        <v>2871.4600000000009</v>
      </c>
      <c r="J48" s="899" t="s">
        <v>410</v>
      </c>
    </row>
    <row r="49" spans="1:10" x14ac:dyDescent="0.25">
      <c r="A49" s="1232"/>
      <c r="B49" s="1203"/>
      <c r="C49" s="1203"/>
      <c r="D49" s="1203"/>
      <c r="E49" s="1203"/>
      <c r="F49" s="1203"/>
      <c r="G49" s="1203"/>
      <c r="H49" s="902">
        <v>28</v>
      </c>
      <c r="I49" s="1009">
        <f t="shared" si="11"/>
        <v>1808.35</v>
      </c>
      <c r="J49" s="899" t="s">
        <v>410</v>
      </c>
    </row>
    <row r="50" spans="1:10" x14ac:dyDescent="0.25">
      <c r="A50" s="1233"/>
      <c r="B50" s="1236"/>
      <c r="C50" s="1236"/>
      <c r="D50" s="1236"/>
      <c r="E50" s="1236"/>
      <c r="F50" s="1236"/>
      <c r="G50" s="1236"/>
      <c r="H50" s="1002">
        <v>32</v>
      </c>
      <c r="I50" s="1010">
        <f t="shared" si="11"/>
        <v>13916.330000000002</v>
      </c>
      <c r="J50" s="897" t="s">
        <v>410</v>
      </c>
    </row>
    <row r="51" spans="1:10" x14ac:dyDescent="0.25">
      <c r="A51" s="1231" t="s">
        <v>1430</v>
      </c>
      <c r="B51" s="1207" t="s">
        <v>593</v>
      </c>
      <c r="C51" s="1207"/>
      <c r="D51" s="1207"/>
      <c r="E51" s="1207"/>
      <c r="F51" s="1200" t="s">
        <v>594</v>
      </c>
      <c r="G51" s="1200"/>
      <c r="H51" s="899">
        <v>10</v>
      </c>
      <c r="I51" s="1005">
        <f>SUMIF($C$5:$C$41,H51,$I$5:$I$41)*16</f>
        <v>19341.28</v>
      </c>
      <c r="J51" s="899" t="s">
        <v>410</v>
      </c>
    </row>
    <row r="52" spans="1:10" x14ac:dyDescent="0.25">
      <c r="A52" s="1232"/>
      <c r="B52" s="1208"/>
      <c r="C52" s="1208"/>
      <c r="D52" s="1208"/>
      <c r="E52" s="1208"/>
      <c r="F52" s="1203"/>
      <c r="G52" s="1203"/>
      <c r="H52" s="900">
        <v>12</v>
      </c>
      <c r="I52" s="1009">
        <f t="shared" ref="I52:I57" si="12">SUMIF($C$5:$C$41,H52,$I$5:$I$41)*16</f>
        <v>0</v>
      </c>
      <c r="J52" s="899" t="s">
        <v>410</v>
      </c>
    </row>
    <row r="53" spans="1:10" x14ac:dyDescent="0.25">
      <c r="A53" s="1232"/>
      <c r="B53" s="1208"/>
      <c r="C53" s="1208"/>
      <c r="D53" s="1208"/>
      <c r="E53" s="1208"/>
      <c r="F53" s="1203" t="s">
        <v>437</v>
      </c>
      <c r="G53" s="1203"/>
      <c r="H53" s="901">
        <v>20</v>
      </c>
      <c r="I53" s="1009">
        <f t="shared" si="12"/>
        <v>20343.36</v>
      </c>
      <c r="J53" s="899" t="s">
        <v>410</v>
      </c>
    </row>
    <row r="54" spans="1:10" x14ac:dyDescent="0.25">
      <c r="A54" s="1232"/>
      <c r="B54" s="1208"/>
      <c r="C54" s="1208"/>
      <c r="D54" s="1208"/>
      <c r="E54" s="1208"/>
      <c r="F54" s="1203"/>
      <c r="G54" s="1203"/>
      <c r="H54" s="902">
        <v>22</v>
      </c>
      <c r="I54" s="1009">
        <f t="shared" si="12"/>
        <v>17851.36</v>
      </c>
      <c r="J54" s="899" t="s">
        <v>410</v>
      </c>
    </row>
    <row r="55" spans="1:10" x14ac:dyDescent="0.25">
      <c r="A55" s="1232"/>
      <c r="B55" s="1208"/>
      <c r="C55" s="1208"/>
      <c r="D55" s="1208"/>
      <c r="E55" s="1208"/>
      <c r="F55" s="1203"/>
      <c r="G55" s="1203"/>
      <c r="H55" s="902">
        <v>25</v>
      </c>
      <c r="I55" s="1009">
        <f t="shared" si="12"/>
        <v>45943.360000000015</v>
      </c>
      <c r="J55" s="899" t="s">
        <v>410</v>
      </c>
    </row>
    <row r="56" spans="1:10" x14ac:dyDescent="0.25">
      <c r="A56" s="1232"/>
      <c r="B56" s="1208"/>
      <c r="C56" s="1208"/>
      <c r="D56" s="1208"/>
      <c r="E56" s="1208"/>
      <c r="F56" s="1203"/>
      <c r="G56" s="1203"/>
      <c r="H56" s="902">
        <v>28</v>
      </c>
      <c r="I56" s="1009">
        <f t="shared" si="12"/>
        <v>28933.599999999999</v>
      </c>
      <c r="J56" s="899" t="s">
        <v>410</v>
      </c>
    </row>
    <row r="57" spans="1:10" x14ac:dyDescent="0.25">
      <c r="A57" s="1232"/>
      <c r="B57" s="1235"/>
      <c r="C57" s="1235"/>
      <c r="D57" s="1235"/>
      <c r="E57" s="1235"/>
      <c r="F57" s="1236"/>
      <c r="G57" s="1236"/>
      <c r="H57" s="1002">
        <v>32</v>
      </c>
      <c r="I57" s="1010">
        <f t="shared" si="12"/>
        <v>222661.28000000003</v>
      </c>
      <c r="J57" s="897" t="s">
        <v>410</v>
      </c>
    </row>
    <row r="58" spans="1:10" x14ac:dyDescent="0.25">
      <c r="A58" s="1232"/>
      <c r="B58" s="1016" t="s">
        <v>1431</v>
      </c>
      <c r="C58" s="309"/>
      <c r="D58" s="310"/>
      <c r="E58" s="310"/>
      <c r="F58" s="310"/>
      <c r="G58" s="310"/>
      <c r="H58" s="311"/>
      <c r="I58" s="1005">
        <v>2835.2</v>
      </c>
      <c r="J58" s="1017" t="s">
        <v>1447</v>
      </c>
    </row>
    <row r="59" spans="1:10" x14ac:dyDescent="0.25">
      <c r="A59" s="1232"/>
      <c r="B59" s="302" t="s">
        <v>1432</v>
      </c>
      <c r="C59" s="312"/>
      <c r="D59" s="313"/>
      <c r="E59" s="313"/>
      <c r="F59" s="313"/>
      <c r="G59" s="313"/>
      <c r="H59" s="314"/>
      <c r="I59" s="1011">
        <v>2387.1999999999998</v>
      </c>
      <c r="J59" s="206" t="s">
        <v>1447</v>
      </c>
    </row>
    <row r="60" spans="1:10" x14ac:dyDescent="0.25">
      <c r="A60" s="1232"/>
      <c r="B60" s="302" t="s">
        <v>1433</v>
      </c>
      <c r="C60" s="312"/>
      <c r="D60" s="313"/>
      <c r="E60" s="313"/>
      <c r="F60" s="313"/>
      <c r="G60" s="313"/>
      <c r="H60" s="314"/>
      <c r="I60" s="1011" t="s">
        <v>1441</v>
      </c>
      <c r="J60" s="206" t="s">
        <v>1448</v>
      </c>
    </row>
    <row r="61" spans="1:10" x14ac:dyDescent="0.25">
      <c r="A61" s="1232"/>
      <c r="B61" s="302" t="s">
        <v>1434</v>
      </c>
      <c r="C61" s="312"/>
      <c r="D61" s="313"/>
      <c r="E61" s="313"/>
      <c r="F61" s="313"/>
      <c r="G61" s="313"/>
      <c r="H61" s="314"/>
      <c r="I61" s="1011" t="s">
        <v>1442</v>
      </c>
      <c r="J61" s="206" t="s">
        <v>1448</v>
      </c>
    </row>
    <row r="62" spans="1:10" x14ac:dyDescent="0.25">
      <c r="A62" s="1232"/>
      <c r="B62" s="302" t="s">
        <v>1435</v>
      </c>
      <c r="C62" s="312"/>
      <c r="D62" s="313"/>
      <c r="E62" s="313"/>
      <c r="F62" s="313"/>
      <c r="G62" s="313"/>
      <c r="H62" s="314"/>
      <c r="I62" s="1011" t="s">
        <v>1443</v>
      </c>
      <c r="J62" s="206" t="s">
        <v>1448</v>
      </c>
    </row>
    <row r="63" spans="1:10" x14ac:dyDescent="0.25">
      <c r="A63" s="1232"/>
      <c r="B63" s="302" t="s">
        <v>1436</v>
      </c>
      <c r="C63" s="312"/>
      <c r="D63" s="313"/>
      <c r="E63" s="313"/>
      <c r="F63" s="313"/>
      <c r="G63" s="313"/>
      <c r="H63" s="314"/>
      <c r="I63" s="1011" t="s">
        <v>1444</v>
      </c>
      <c r="J63" s="206" t="s">
        <v>1448</v>
      </c>
    </row>
    <row r="64" spans="1:10" x14ac:dyDescent="0.25">
      <c r="A64" s="1232"/>
      <c r="B64" s="302" t="s">
        <v>1437</v>
      </c>
      <c r="C64" s="312"/>
      <c r="D64" s="313"/>
      <c r="E64" s="313"/>
      <c r="F64" s="313"/>
      <c r="G64" s="313"/>
      <c r="H64" s="314"/>
      <c r="I64" s="1011" t="s">
        <v>1445</v>
      </c>
      <c r="J64" s="206" t="s">
        <v>1448</v>
      </c>
    </row>
    <row r="65" spans="1:11" x14ac:dyDescent="0.25">
      <c r="A65" s="1232"/>
      <c r="B65" s="302" t="s">
        <v>1438</v>
      </c>
      <c r="C65" s="312"/>
      <c r="D65" s="313"/>
      <c r="E65" s="313"/>
      <c r="F65" s="313"/>
      <c r="G65" s="313"/>
      <c r="H65" s="314"/>
      <c r="I65" s="1011" t="s">
        <v>1446</v>
      </c>
      <c r="J65" s="206" t="s">
        <v>1448</v>
      </c>
    </row>
    <row r="66" spans="1:11" x14ac:dyDescent="0.25">
      <c r="A66" s="1233"/>
      <c r="B66" s="1001" t="s">
        <v>1449</v>
      </c>
      <c r="C66" s="999"/>
      <c r="D66" s="999"/>
      <c r="E66" s="999"/>
      <c r="F66" s="999"/>
      <c r="G66" s="999"/>
      <c r="H66" s="1000"/>
      <c r="I66" s="1012">
        <v>2176.64</v>
      </c>
      <c r="J66" s="206" t="s">
        <v>10</v>
      </c>
      <c r="K66">
        <f>PI()*1.5^2*(76.5+0.05+1.28)*16/4</f>
        <v>2200.5914060600421</v>
      </c>
    </row>
    <row r="67" spans="1:11" x14ac:dyDescent="0.25">
      <c r="A67" s="1233"/>
      <c r="B67" s="1001" t="s">
        <v>1439</v>
      </c>
      <c r="C67" s="999"/>
      <c r="D67" s="999"/>
      <c r="E67" s="999"/>
      <c r="F67" s="999"/>
      <c r="G67" s="999"/>
      <c r="H67" s="1000"/>
      <c r="I67" s="1012">
        <v>23.04</v>
      </c>
      <c r="J67" s="895" t="s">
        <v>10</v>
      </c>
    </row>
    <row r="68" spans="1:11" x14ac:dyDescent="0.25">
      <c r="A68" s="1234"/>
      <c r="B68" s="1004" t="s">
        <v>1440</v>
      </c>
      <c r="C68" s="316"/>
      <c r="D68" s="316"/>
      <c r="E68" s="316"/>
      <c r="F68" s="316"/>
      <c r="G68" s="316"/>
      <c r="H68" s="317"/>
      <c r="I68" s="1008">
        <v>36.159999999999997</v>
      </c>
      <c r="J68" s="896" t="s">
        <v>10</v>
      </c>
    </row>
    <row r="70" spans="1:11" hidden="1" x14ac:dyDescent="0.25">
      <c r="A70" s="1162" t="s">
        <v>660</v>
      </c>
      <c r="B70" s="1162"/>
      <c r="C70" s="1162"/>
      <c r="D70" s="1162"/>
      <c r="E70" s="1162"/>
      <c r="F70" s="1162"/>
      <c r="G70" s="1162"/>
      <c r="H70" s="1162"/>
      <c r="I70" s="1162"/>
      <c r="J70" s="1162"/>
    </row>
    <row r="71" spans="1:11" hidden="1" x14ac:dyDescent="0.25"/>
    <row r="72" spans="1:11" ht="45" hidden="1" x14ac:dyDescent="0.25">
      <c r="A72" s="1237" t="s">
        <v>383</v>
      </c>
      <c r="B72" s="1239" t="s">
        <v>384</v>
      </c>
      <c r="C72" s="903" t="s">
        <v>378</v>
      </c>
      <c r="D72" s="1237" t="s">
        <v>590</v>
      </c>
      <c r="E72" s="903" t="s">
        <v>591</v>
      </c>
      <c r="F72" s="897" t="s">
        <v>380</v>
      </c>
      <c r="G72" s="897" t="s">
        <v>381</v>
      </c>
      <c r="H72" s="897" t="s">
        <v>514</v>
      </c>
      <c r="I72" s="903" t="s">
        <v>386</v>
      </c>
      <c r="J72" s="897" t="s">
        <v>0</v>
      </c>
    </row>
    <row r="73" spans="1:11" hidden="1" x14ac:dyDescent="0.25">
      <c r="A73" s="1238"/>
      <c r="B73" s="1240"/>
      <c r="C73" s="904" t="s">
        <v>556</v>
      </c>
      <c r="D73" s="1238"/>
      <c r="E73" s="904" t="s">
        <v>556</v>
      </c>
      <c r="F73" s="898" t="s">
        <v>585</v>
      </c>
      <c r="G73" s="904" t="s">
        <v>416</v>
      </c>
      <c r="H73" s="898" t="s">
        <v>124</v>
      </c>
      <c r="I73" s="904" t="s">
        <v>410</v>
      </c>
      <c r="J73" s="898"/>
    </row>
    <row r="74" spans="1:11" hidden="1" x14ac:dyDescent="0.25">
      <c r="A74" s="1241" t="s">
        <v>595</v>
      </c>
      <c r="B74" s="206" t="s">
        <v>357</v>
      </c>
      <c r="C74" s="206">
        <v>25</v>
      </c>
      <c r="D74" s="206" t="s">
        <v>437</v>
      </c>
      <c r="E74" s="206">
        <v>11700</v>
      </c>
      <c r="F74" s="206">
        <v>12</v>
      </c>
      <c r="G74" s="206">
        <f>VLOOKUP(C74,'CKN T4 '!$M$5:$N$19,2,0)</f>
        <v>3.85</v>
      </c>
      <c r="H74" s="206">
        <f>ROUND(E74*F74/1000,2)</f>
        <v>140.4</v>
      </c>
      <c r="I74" s="206">
        <f>ROUND(H74*G74,2)</f>
        <v>540.54</v>
      </c>
      <c r="J74" s="116"/>
    </row>
    <row r="75" spans="1:11" hidden="1" x14ac:dyDescent="0.25">
      <c r="A75" s="1241"/>
      <c r="B75" s="895" t="s">
        <v>358</v>
      </c>
      <c r="C75" s="895">
        <v>25</v>
      </c>
      <c r="D75" s="895" t="s">
        <v>437</v>
      </c>
      <c r="E75" s="895">
        <v>10700</v>
      </c>
      <c r="F75" s="895">
        <v>12</v>
      </c>
      <c r="G75" s="895">
        <f>VLOOKUP(C75,'CKN T4 '!$M$5:$N$19,2,0)</f>
        <v>3.85</v>
      </c>
      <c r="H75" s="895">
        <f t="shared" ref="H75:H87" si="13">ROUND(E75*F75/1000,2)</f>
        <v>128.4</v>
      </c>
      <c r="I75" s="895">
        <f t="shared" ref="I75:I87" si="14">ROUND(H75*G75,2)</f>
        <v>494.34</v>
      </c>
      <c r="J75" s="114"/>
    </row>
    <row r="76" spans="1:11" hidden="1" x14ac:dyDescent="0.25">
      <c r="A76" s="1241"/>
      <c r="B76" s="895" t="s">
        <v>361</v>
      </c>
      <c r="C76" s="895">
        <v>22</v>
      </c>
      <c r="D76" s="895" t="s">
        <v>437</v>
      </c>
      <c r="E76" s="895">
        <v>11700</v>
      </c>
      <c r="F76" s="895">
        <v>24</v>
      </c>
      <c r="G76" s="895">
        <f>VLOOKUP(C76,'CKN T4 '!$M$5:$N$19,2,0)</f>
        <v>2.98</v>
      </c>
      <c r="H76" s="895">
        <f t="shared" si="13"/>
        <v>280.8</v>
      </c>
      <c r="I76" s="895">
        <f t="shared" si="14"/>
        <v>836.78</v>
      </c>
      <c r="J76" s="114"/>
    </row>
    <row r="77" spans="1:11" hidden="1" x14ac:dyDescent="0.25">
      <c r="A77" s="1241"/>
      <c r="B77" s="895" t="s">
        <v>363</v>
      </c>
      <c r="C77" s="895">
        <v>20</v>
      </c>
      <c r="D77" s="895" t="s">
        <v>437</v>
      </c>
      <c r="E77" s="895">
        <v>11700</v>
      </c>
      <c r="F77" s="895">
        <v>72</v>
      </c>
      <c r="G77" s="895">
        <f>VLOOKUP(C77,'CKN T4 '!$M$5:$N$19,2,0)</f>
        <v>2.4700000000000002</v>
      </c>
      <c r="H77" s="895">
        <f t="shared" si="13"/>
        <v>842.4</v>
      </c>
      <c r="I77" s="895">
        <f t="shared" si="14"/>
        <v>2080.73</v>
      </c>
      <c r="J77" s="114"/>
    </row>
    <row r="78" spans="1:11" hidden="1" x14ac:dyDescent="0.25">
      <c r="A78" s="1241"/>
      <c r="B78" s="895" t="s">
        <v>370</v>
      </c>
      <c r="C78" s="895">
        <v>20</v>
      </c>
      <c r="D78" s="895" t="s">
        <v>437</v>
      </c>
      <c r="E78" s="895">
        <v>4920</v>
      </c>
      <c r="F78" s="895">
        <v>12</v>
      </c>
      <c r="G78" s="895">
        <f>VLOOKUP(C78,'CKN T4 '!$M$5:$N$19,2,0)</f>
        <v>2.4700000000000002</v>
      </c>
      <c r="H78" s="895">
        <f t="shared" si="13"/>
        <v>59.04</v>
      </c>
      <c r="I78" s="895">
        <f t="shared" si="14"/>
        <v>145.83000000000001</v>
      </c>
      <c r="J78" s="114"/>
    </row>
    <row r="79" spans="1:11" hidden="1" x14ac:dyDescent="0.25">
      <c r="A79" s="1241"/>
      <c r="B79" s="895" t="s">
        <v>371</v>
      </c>
      <c r="C79" s="895">
        <v>20</v>
      </c>
      <c r="D79" s="895" t="s">
        <v>437</v>
      </c>
      <c r="E79" s="895">
        <v>5920</v>
      </c>
      <c r="F79" s="895">
        <v>12</v>
      </c>
      <c r="G79" s="895">
        <f>VLOOKUP(C79,'CKN T4 '!$M$5:$N$19,2,0)</f>
        <v>2.4700000000000002</v>
      </c>
      <c r="H79" s="895">
        <f t="shared" si="13"/>
        <v>71.040000000000006</v>
      </c>
      <c r="I79" s="895">
        <f t="shared" si="14"/>
        <v>175.47</v>
      </c>
      <c r="J79" s="114"/>
    </row>
    <row r="80" spans="1:11" hidden="1" x14ac:dyDescent="0.25">
      <c r="A80" s="1241"/>
      <c r="B80" s="895" t="s">
        <v>480</v>
      </c>
      <c r="C80" s="895">
        <v>18</v>
      </c>
      <c r="D80" s="895" t="s">
        <v>437</v>
      </c>
      <c r="E80" s="895">
        <v>1455</v>
      </c>
      <c r="F80" s="895">
        <v>4</v>
      </c>
      <c r="G80" s="895">
        <f>VLOOKUP(C80,'CKN T4 '!$M$5:$N$19,2,0)</f>
        <v>2</v>
      </c>
      <c r="H80" s="895">
        <f t="shared" si="13"/>
        <v>5.82</v>
      </c>
      <c r="I80" s="895">
        <f t="shared" si="14"/>
        <v>11.64</v>
      </c>
      <c r="J80" s="114"/>
    </row>
    <row r="81" spans="1:10" hidden="1" x14ac:dyDescent="0.25">
      <c r="A81" s="1241"/>
      <c r="B81" s="895" t="s">
        <v>481</v>
      </c>
      <c r="C81" s="895">
        <v>10</v>
      </c>
      <c r="D81" s="895" t="s">
        <v>594</v>
      </c>
      <c r="E81" s="895">
        <v>1147340</v>
      </c>
      <c r="F81" s="895">
        <v>1</v>
      </c>
      <c r="G81" s="895">
        <f>VLOOKUP(C81,'CKN T4 '!$M$5:$N$19,2,0)</f>
        <v>0.61699999999999999</v>
      </c>
      <c r="H81" s="895">
        <f t="shared" si="13"/>
        <v>1147.3399999999999</v>
      </c>
      <c r="I81" s="895">
        <f t="shared" si="14"/>
        <v>707.91</v>
      </c>
      <c r="J81" s="114"/>
    </row>
    <row r="82" spans="1:10" hidden="1" x14ac:dyDescent="0.25">
      <c r="A82" s="1241"/>
      <c r="B82" s="895" t="s">
        <v>592</v>
      </c>
      <c r="C82" s="895">
        <v>25</v>
      </c>
      <c r="D82" s="895" t="s">
        <v>437</v>
      </c>
      <c r="E82" s="895">
        <v>3135</v>
      </c>
      <c r="F82" s="895">
        <v>5</v>
      </c>
      <c r="G82" s="895">
        <f>VLOOKUP(C82,'CKN T4 '!$M$5:$N$19,2,0)</f>
        <v>3.85</v>
      </c>
      <c r="H82" s="895">
        <f t="shared" si="13"/>
        <v>15.68</v>
      </c>
      <c r="I82" s="895">
        <f t="shared" si="14"/>
        <v>60.37</v>
      </c>
      <c r="J82" s="114"/>
    </row>
    <row r="83" spans="1:10" hidden="1" x14ac:dyDescent="0.25">
      <c r="A83" s="1241"/>
      <c r="B83" s="895" t="s">
        <v>482</v>
      </c>
      <c r="C83" s="895">
        <v>25</v>
      </c>
      <c r="D83" s="895" t="s">
        <v>437</v>
      </c>
      <c r="E83" s="895">
        <v>3145</v>
      </c>
      <c r="F83" s="895">
        <v>5</v>
      </c>
      <c r="G83" s="895">
        <f>VLOOKUP(C83,'CKN T4 '!$M$5:$N$19,2,0)</f>
        <v>3.85</v>
      </c>
      <c r="H83" s="895">
        <f t="shared" si="13"/>
        <v>15.73</v>
      </c>
      <c r="I83" s="895">
        <f t="shared" si="14"/>
        <v>60.56</v>
      </c>
      <c r="J83" s="114"/>
    </row>
    <row r="84" spans="1:10" hidden="1" x14ac:dyDescent="0.25">
      <c r="A84" s="1241"/>
      <c r="B84" s="895" t="s">
        <v>483</v>
      </c>
      <c r="C84" s="895">
        <v>25</v>
      </c>
      <c r="D84" s="895" t="s">
        <v>437</v>
      </c>
      <c r="E84" s="895">
        <v>3155</v>
      </c>
      <c r="F84" s="895">
        <v>20</v>
      </c>
      <c r="G84" s="895">
        <f>VLOOKUP(C84,'CKN T4 '!$M$5:$N$19,2,0)</f>
        <v>3.85</v>
      </c>
      <c r="H84" s="895">
        <f t="shared" si="13"/>
        <v>63.1</v>
      </c>
      <c r="I84" s="895">
        <f t="shared" si="14"/>
        <v>242.94</v>
      </c>
      <c r="J84" s="114"/>
    </row>
    <row r="85" spans="1:10" hidden="1" x14ac:dyDescent="0.25">
      <c r="A85" s="1241"/>
      <c r="B85" s="895" t="s">
        <v>486</v>
      </c>
      <c r="C85" s="895">
        <v>16</v>
      </c>
      <c r="D85" s="895" t="s">
        <v>437</v>
      </c>
      <c r="E85" s="895">
        <v>2192</v>
      </c>
      <c r="F85" s="895">
        <v>1</v>
      </c>
      <c r="G85" s="895">
        <f>VLOOKUP(C85,'CKN T4 '!$M$5:$N$19,2,0)</f>
        <v>1.58</v>
      </c>
      <c r="H85" s="895">
        <f t="shared" si="13"/>
        <v>2.19</v>
      </c>
      <c r="I85" s="895">
        <f t="shared" si="14"/>
        <v>3.46</v>
      </c>
      <c r="J85" s="114"/>
    </row>
    <row r="86" spans="1:10" hidden="1" x14ac:dyDescent="0.25">
      <c r="A86" s="1241"/>
      <c r="B86" s="895" t="s">
        <v>365</v>
      </c>
      <c r="C86" s="895">
        <v>12</v>
      </c>
      <c r="D86" s="895" t="s">
        <v>594</v>
      </c>
      <c r="E86" s="895">
        <v>500</v>
      </c>
      <c r="F86" s="895">
        <v>30</v>
      </c>
      <c r="G86" s="895">
        <f>VLOOKUP(C86,'CKN T4 '!$M$5:$N$19,2,0)</f>
        <v>0.88800000000000001</v>
      </c>
      <c r="H86" s="895">
        <f t="shared" si="13"/>
        <v>15</v>
      </c>
      <c r="I86" s="895">
        <f t="shared" si="14"/>
        <v>13.32</v>
      </c>
      <c r="J86" s="114"/>
    </row>
    <row r="87" spans="1:10" hidden="1" x14ac:dyDescent="0.25">
      <c r="A87" s="1241"/>
      <c r="B87" s="895" t="s">
        <v>367</v>
      </c>
      <c r="C87" s="895">
        <v>12</v>
      </c>
      <c r="D87" s="895" t="s">
        <v>594</v>
      </c>
      <c r="E87" s="895">
        <v>420</v>
      </c>
      <c r="F87" s="895">
        <v>90</v>
      </c>
      <c r="G87" s="895">
        <f>VLOOKUP(C87,'CKN T4 '!$M$5:$N$19,2,0)</f>
        <v>0.88800000000000001</v>
      </c>
      <c r="H87" s="895">
        <f t="shared" si="13"/>
        <v>37.799999999999997</v>
      </c>
      <c r="I87" s="895">
        <f t="shared" si="14"/>
        <v>33.57</v>
      </c>
      <c r="J87" s="114"/>
    </row>
    <row r="88" spans="1:10" hidden="1" x14ac:dyDescent="0.25">
      <c r="A88" s="1242"/>
      <c r="B88" s="242" t="s">
        <v>487</v>
      </c>
      <c r="C88" s="237" t="s">
        <v>488</v>
      </c>
      <c r="D88" s="237"/>
      <c r="E88" s="242"/>
      <c r="F88" s="242">
        <v>120</v>
      </c>
      <c r="G88" s="242">
        <v>1.3939999999999999</v>
      </c>
      <c r="H88" s="242"/>
      <c r="I88" s="242">
        <f>F88*G88</f>
        <v>167.28</v>
      </c>
      <c r="J88" s="237"/>
    </row>
    <row r="89" spans="1:10" hidden="1" x14ac:dyDescent="0.25">
      <c r="A89" s="1231" t="s">
        <v>399</v>
      </c>
      <c r="B89" s="1200" t="s">
        <v>593</v>
      </c>
      <c r="C89" s="1200"/>
      <c r="D89" s="1200"/>
      <c r="E89" s="1200"/>
      <c r="F89" s="1200" t="s">
        <v>594</v>
      </c>
      <c r="G89" s="1200"/>
      <c r="H89" s="899">
        <v>10</v>
      </c>
      <c r="I89" s="205">
        <f>SUMIF($C$75:$C$88,H89,$I$75:$I$88)</f>
        <v>707.91</v>
      </c>
      <c r="J89" s="205" t="s">
        <v>410</v>
      </c>
    </row>
    <row r="90" spans="1:10" hidden="1" x14ac:dyDescent="0.25">
      <c r="A90" s="1232"/>
      <c r="B90" s="1203"/>
      <c r="C90" s="1203"/>
      <c r="D90" s="1203"/>
      <c r="E90" s="1203"/>
      <c r="F90" s="1201"/>
      <c r="G90" s="1201"/>
      <c r="H90" s="900">
        <v>12</v>
      </c>
      <c r="I90" s="205">
        <f t="shared" ref="I90:I95" si="15">SUMIF($C$75:$C$88,H90,$I$75:$I$88)</f>
        <v>46.89</v>
      </c>
      <c r="J90" s="205" t="s">
        <v>410</v>
      </c>
    </row>
    <row r="91" spans="1:10" hidden="1" x14ac:dyDescent="0.25">
      <c r="A91" s="1232"/>
      <c r="B91" s="1203"/>
      <c r="C91" s="1203"/>
      <c r="D91" s="1203"/>
      <c r="E91" s="1203"/>
      <c r="F91" s="1202" t="s">
        <v>437</v>
      </c>
      <c r="G91" s="1202"/>
      <c r="H91" s="901">
        <v>16</v>
      </c>
      <c r="I91" s="205">
        <f t="shared" si="15"/>
        <v>3.46</v>
      </c>
      <c r="J91" s="205" t="s">
        <v>410</v>
      </c>
    </row>
    <row r="92" spans="1:10" hidden="1" x14ac:dyDescent="0.25">
      <c r="A92" s="1232"/>
      <c r="B92" s="1203"/>
      <c r="C92" s="1203"/>
      <c r="D92" s="1203"/>
      <c r="E92" s="1203"/>
      <c r="F92" s="1203"/>
      <c r="G92" s="1203"/>
      <c r="H92" s="902">
        <v>18</v>
      </c>
      <c r="I92" s="205">
        <f t="shared" si="15"/>
        <v>11.64</v>
      </c>
      <c r="J92" s="205" t="s">
        <v>410</v>
      </c>
    </row>
    <row r="93" spans="1:10" hidden="1" x14ac:dyDescent="0.25">
      <c r="A93" s="1232"/>
      <c r="B93" s="1203"/>
      <c r="C93" s="1203"/>
      <c r="D93" s="1203"/>
      <c r="E93" s="1203"/>
      <c r="F93" s="1203"/>
      <c r="G93" s="1203"/>
      <c r="H93" s="902">
        <v>20</v>
      </c>
      <c r="I93" s="205">
        <f t="shared" si="15"/>
        <v>2402.0299999999997</v>
      </c>
      <c r="J93" s="205" t="s">
        <v>410</v>
      </c>
    </row>
    <row r="94" spans="1:10" hidden="1" x14ac:dyDescent="0.25">
      <c r="A94" s="1232"/>
      <c r="B94" s="1203"/>
      <c r="C94" s="1203"/>
      <c r="D94" s="1203"/>
      <c r="E94" s="1203"/>
      <c r="F94" s="1203"/>
      <c r="G94" s="1203"/>
      <c r="H94" s="902">
        <v>22</v>
      </c>
      <c r="I94" s="205">
        <f t="shared" si="15"/>
        <v>836.78</v>
      </c>
      <c r="J94" s="205" t="s">
        <v>410</v>
      </c>
    </row>
    <row r="95" spans="1:10" hidden="1" x14ac:dyDescent="0.25">
      <c r="A95" s="1234"/>
      <c r="B95" s="1201"/>
      <c r="C95" s="1201"/>
      <c r="D95" s="1201"/>
      <c r="E95" s="1201"/>
      <c r="F95" s="1201"/>
      <c r="G95" s="1201"/>
      <c r="H95" s="900">
        <v>25</v>
      </c>
      <c r="I95" s="205">
        <f t="shared" si="15"/>
        <v>858.21</v>
      </c>
      <c r="J95" s="205" t="s">
        <v>410</v>
      </c>
    </row>
    <row r="96" spans="1:10" hidden="1" x14ac:dyDescent="0.25">
      <c r="A96" s="1204" t="s">
        <v>1430</v>
      </c>
      <c r="B96" s="1212" t="s">
        <v>593</v>
      </c>
      <c r="C96" s="1212"/>
      <c r="D96" s="1212"/>
      <c r="E96" s="1212"/>
      <c r="F96" s="1200" t="s">
        <v>594</v>
      </c>
      <c r="G96" s="1200"/>
      <c r="H96" s="899">
        <v>10</v>
      </c>
      <c r="I96" s="205">
        <f>I89*4</f>
        <v>2831.64</v>
      </c>
      <c r="J96" s="205" t="s">
        <v>410</v>
      </c>
    </row>
    <row r="97" spans="1:10" hidden="1" x14ac:dyDescent="0.25">
      <c r="A97" s="1205"/>
      <c r="B97" s="1213"/>
      <c r="C97" s="1213"/>
      <c r="D97" s="1213"/>
      <c r="E97" s="1213"/>
      <c r="F97" s="1203"/>
      <c r="G97" s="1203"/>
      <c r="H97" s="902">
        <v>12</v>
      </c>
      <c r="I97" s="205">
        <f t="shared" ref="I97:I102" si="16">I90*4</f>
        <v>187.56</v>
      </c>
      <c r="J97" s="205" t="s">
        <v>410</v>
      </c>
    </row>
    <row r="98" spans="1:10" hidden="1" x14ac:dyDescent="0.25">
      <c r="A98" s="1205"/>
      <c r="B98" s="1213"/>
      <c r="C98" s="1213"/>
      <c r="D98" s="1213"/>
      <c r="E98" s="1213"/>
      <c r="F98" s="1203" t="s">
        <v>437</v>
      </c>
      <c r="G98" s="1203"/>
      <c r="H98" s="902">
        <v>16</v>
      </c>
      <c r="I98" s="205">
        <f t="shared" si="16"/>
        <v>13.84</v>
      </c>
      <c r="J98" s="205" t="s">
        <v>410</v>
      </c>
    </row>
    <row r="99" spans="1:10" hidden="1" x14ac:dyDescent="0.25">
      <c r="A99" s="1205"/>
      <c r="B99" s="1213"/>
      <c r="C99" s="1213"/>
      <c r="D99" s="1213"/>
      <c r="E99" s="1213"/>
      <c r="F99" s="1203"/>
      <c r="G99" s="1203"/>
      <c r="H99" s="902">
        <v>18</v>
      </c>
      <c r="I99" s="205">
        <f t="shared" si="16"/>
        <v>46.56</v>
      </c>
      <c r="J99" s="205" t="s">
        <v>410</v>
      </c>
    </row>
    <row r="100" spans="1:10" hidden="1" x14ac:dyDescent="0.25">
      <c r="A100" s="1205"/>
      <c r="B100" s="1213"/>
      <c r="C100" s="1213"/>
      <c r="D100" s="1213"/>
      <c r="E100" s="1213"/>
      <c r="F100" s="1203"/>
      <c r="G100" s="1203"/>
      <c r="H100" s="902">
        <v>20</v>
      </c>
      <c r="I100" s="205">
        <f t="shared" si="16"/>
        <v>9608.119999999999</v>
      </c>
      <c r="J100" s="205" t="s">
        <v>410</v>
      </c>
    </row>
    <row r="101" spans="1:10" hidden="1" x14ac:dyDescent="0.25">
      <c r="A101" s="1205"/>
      <c r="B101" s="1213"/>
      <c r="C101" s="1213"/>
      <c r="D101" s="1213"/>
      <c r="E101" s="1213"/>
      <c r="F101" s="1203"/>
      <c r="G101" s="1203"/>
      <c r="H101" s="902">
        <v>22</v>
      </c>
      <c r="I101" s="205">
        <f t="shared" si="16"/>
        <v>3347.12</v>
      </c>
      <c r="J101" s="205" t="s">
        <v>410</v>
      </c>
    </row>
    <row r="102" spans="1:10" hidden="1" x14ac:dyDescent="0.25">
      <c r="A102" s="1205"/>
      <c r="B102" s="1214"/>
      <c r="C102" s="1214"/>
      <c r="D102" s="1214"/>
      <c r="E102" s="1214"/>
      <c r="F102" s="1201"/>
      <c r="G102" s="1201"/>
      <c r="H102" s="900">
        <v>25</v>
      </c>
      <c r="I102" s="1003">
        <f t="shared" si="16"/>
        <v>3432.84</v>
      </c>
      <c r="J102" s="1003" t="s">
        <v>410</v>
      </c>
    </row>
    <row r="103" spans="1:10" hidden="1" x14ac:dyDescent="0.25">
      <c r="A103" s="1205"/>
      <c r="B103" s="306" t="s">
        <v>642</v>
      </c>
      <c r="C103" s="309"/>
      <c r="D103" s="310"/>
      <c r="E103" s="310"/>
      <c r="F103" s="310"/>
      <c r="G103" s="310"/>
      <c r="H103" s="311"/>
      <c r="I103" s="1021" t="s">
        <v>656</v>
      </c>
      <c r="J103" s="205" t="s">
        <v>658</v>
      </c>
    </row>
    <row r="104" spans="1:10" hidden="1" x14ac:dyDescent="0.25">
      <c r="A104" s="1205"/>
      <c r="B104" s="302" t="s">
        <v>643</v>
      </c>
      <c r="C104" s="312"/>
      <c r="D104" s="313"/>
      <c r="E104" s="313"/>
      <c r="F104" s="313"/>
      <c r="G104" s="313"/>
      <c r="H104" s="314"/>
      <c r="I104" s="303" t="s">
        <v>657</v>
      </c>
      <c r="J104" s="239" t="s">
        <v>658</v>
      </c>
    </row>
    <row r="105" spans="1:10" hidden="1" x14ac:dyDescent="0.25">
      <c r="A105" s="1205"/>
      <c r="B105" s="302" t="s">
        <v>644</v>
      </c>
      <c r="C105" s="312"/>
      <c r="D105" s="313"/>
      <c r="E105" s="313"/>
      <c r="F105" s="313"/>
      <c r="G105" s="313"/>
      <c r="H105" s="314"/>
      <c r="I105" s="303" t="s">
        <v>653</v>
      </c>
      <c r="J105" s="239" t="s">
        <v>658</v>
      </c>
    </row>
    <row r="106" spans="1:10" hidden="1" x14ac:dyDescent="0.25">
      <c r="A106" s="1205"/>
      <c r="B106" s="302" t="s">
        <v>645</v>
      </c>
      <c r="C106" s="312"/>
      <c r="D106" s="313"/>
      <c r="E106" s="313"/>
      <c r="F106" s="313"/>
      <c r="G106" s="313"/>
      <c r="H106" s="314"/>
      <c r="I106" s="303" t="s">
        <v>652</v>
      </c>
      <c r="J106" s="239" t="s">
        <v>658</v>
      </c>
    </row>
    <row r="107" spans="1:10" hidden="1" x14ac:dyDescent="0.25">
      <c r="A107" s="1205"/>
      <c r="B107" s="302" t="s">
        <v>646</v>
      </c>
      <c r="C107" s="312"/>
      <c r="D107" s="313"/>
      <c r="E107" s="313"/>
      <c r="F107" s="313"/>
      <c r="G107" s="313"/>
      <c r="H107" s="314"/>
      <c r="I107" s="303">
        <v>197.52</v>
      </c>
      <c r="J107" s="240" t="s">
        <v>659</v>
      </c>
    </row>
    <row r="108" spans="1:10" hidden="1" x14ac:dyDescent="0.25">
      <c r="A108" s="1205"/>
      <c r="B108" s="302" t="s">
        <v>647</v>
      </c>
      <c r="C108" s="312"/>
      <c r="D108" s="313"/>
      <c r="E108" s="313"/>
      <c r="F108" s="313"/>
      <c r="G108" s="313"/>
      <c r="H108" s="314"/>
      <c r="I108" s="303">
        <v>759.64</v>
      </c>
      <c r="J108" s="240" t="s">
        <v>659</v>
      </c>
    </row>
    <row r="109" spans="1:10" hidden="1" x14ac:dyDescent="0.25">
      <c r="A109" s="1205"/>
      <c r="B109" s="302" t="s">
        <v>496</v>
      </c>
      <c r="C109" s="312"/>
      <c r="D109" s="313"/>
      <c r="E109" s="313"/>
      <c r="F109" s="313"/>
      <c r="G109" s="313"/>
      <c r="H109" s="314"/>
      <c r="I109" s="303">
        <v>669.2</v>
      </c>
      <c r="J109" s="240" t="s">
        <v>659</v>
      </c>
    </row>
    <row r="110" spans="1:10" hidden="1" x14ac:dyDescent="0.25">
      <c r="A110" s="1205"/>
      <c r="B110" s="302" t="s">
        <v>648</v>
      </c>
      <c r="C110" s="312"/>
      <c r="D110" s="313"/>
      <c r="E110" s="313"/>
      <c r="F110" s="313"/>
      <c r="G110" s="313"/>
      <c r="H110" s="314"/>
      <c r="I110" s="303" t="s">
        <v>654</v>
      </c>
      <c r="J110" s="240" t="s">
        <v>658</v>
      </c>
    </row>
    <row r="111" spans="1:10" hidden="1" x14ac:dyDescent="0.25">
      <c r="A111" s="1206"/>
      <c r="B111" s="304" t="s">
        <v>649</v>
      </c>
      <c r="C111" s="315"/>
      <c r="D111" s="316"/>
      <c r="E111" s="316"/>
      <c r="F111" s="316"/>
      <c r="G111" s="316"/>
      <c r="H111" s="317"/>
      <c r="I111" s="305" t="s">
        <v>655</v>
      </c>
      <c r="J111" s="238" t="s">
        <v>658</v>
      </c>
    </row>
  </sheetData>
  <mergeCells count="41">
    <mergeCell ref="A1:J1"/>
    <mergeCell ref="A3:A4"/>
    <mergeCell ref="B3:B4"/>
    <mergeCell ref="D3:D4"/>
    <mergeCell ref="A44:A50"/>
    <mergeCell ref="B44:E50"/>
    <mergeCell ref="F44:G45"/>
    <mergeCell ref="F46:G50"/>
    <mergeCell ref="A5:A9"/>
    <mergeCell ref="A96:A111"/>
    <mergeCell ref="B96:E102"/>
    <mergeCell ref="F96:G97"/>
    <mergeCell ref="F98:G102"/>
    <mergeCell ref="A51:A68"/>
    <mergeCell ref="B51:E57"/>
    <mergeCell ref="F51:G52"/>
    <mergeCell ref="F53:G57"/>
    <mergeCell ref="A70:J70"/>
    <mergeCell ref="A72:A73"/>
    <mergeCell ref="B72:B73"/>
    <mergeCell ref="D72:D73"/>
    <mergeCell ref="A74:A88"/>
    <mergeCell ref="A89:A95"/>
    <mergeCell ref="B89:E95"/>
    <mergeCell ref="F89:G90"/>
    <mergeCell ref="F91:G95"/>
    <mergeCell ref="A34:A39"/>
    <mergeCell ref="B9:H9"/>
    <mergeCell ref="B13:H13"/>
    <mergeCell ref="B17:H17"/>
    <mergeCell ref="B21:H21"/>
    <mergeCell ref="B25:H25"/>
    <mergeCell ref="B29:H29"/>
    <mergeCell ref="B33:H33"/>
    <mergeCell ref="B39:H39"/>
    <mergeCell ref="A10:A13"/>
    <mergeCell ref="A14:A17"/>
    <mergeCell ref="A18:A21"/>
    <mergeCell ref="A22:A25"/>
    <mergeCell ref="A26:A29"/>
    <mergeCell ref="A30:A33"/>
  </mergeCells>
  <pageMargins left="0.7" right="0.7" top="0.75" bottom="0.75" header="0.3" footer="0.3"/>
  <pageSetup paperSize="9" scale="86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5"/>
  <sheetViews>
    <sheetView view="pageBreakPreview" topLeftCell="A61" zoomScale="85" zoomScaleNormal="115" zoomScaleSheetLayoutView="85" workbookViewId="0">
      <selection activeCell="F70" sqref="F70"/>
    </sheetView>
  </sheetViews>
  <sheetFormatPr defaultRowHeight="15" x14ac:dyDescent="0.25"/>
  <cols>
    <col min="1" max="1" width="4.5703125" bestFit="1" customWidth="1"/>
    <col min="2" max="2" width="52.140625" bestFit="1" customWidth="1"/>
    <col min="4" max="4" width="12.28515625" style="208" customWidth="1"/>
    <col min="5" max="6" width="13.85546875" style="234" customWidth="1"/>
    <col min="7" max="7" width="14.140625" style="208" hidden="1" customWidth="1"/>
    <col min="8" max="8" width="0" hidden="1" customWidth="1"/>
    <col min="9" max="9" width="9.7109375" hidden="1" customWidth="1"/>
    <col min="10" max="12" width="0" hidden="1" customWidth="1"/>
    <col min="257" max="257" width="4.5703125" bestFit="1" customWidth="1"/>
    <col min="258" max="258" width="52.140625" bestFit="1" customWidth="1"/>
    <col min="260" max="260" width="12.28515625" customWidth="1"/>
    <col min="261" max="262" width="13.85546875" customWidth="1"/>
    <col min="263" max="263" width="14.140625" customWidth="1"/>
    <col min="265" max="265" width="9.7109375" customWidth="1"/>
    <col min="513" max="513" width="4.5703125" bestFit="1" customWidth="1"/>
    <col min="514" max="514" width="52.140625" bestFit="1" customWidth="1"/>
    <col min="516" max="516" width="12.28515625" customWidth="1"/>
    <col min="517" max="518" width="13.85546875" customWidth="1"/>
    <col min="519" max="519" width="14.140625" customWidth="1"/>
    <col min="521" max="521" width="9.7109375" customWidth="1"/>
    <col min="769" max="769" width="4.5703125" bestFit="1" customWidth="1"/>
    <col min="770" max="770" width="52.140625" bestFit="1" customWidth="1"/>
    <col min="772" max="772" width="12.28515625" customWidth="1"/>
    <col min="773" max="774" width="13.85546875" customWidth="1"/>
    <col min="775" max="775" width="14.140625" customWidth="1"/>
    <col min="777" max="777" width="9.7109375" customWidth="1"/>
    <col min="1025" max="1025" width="4.5703125" bestFit="1" customWidth="1"/>
    <col min="1026" max="1026" width="52.140625" bestFit="1" customWidth="1"/>
    <col min="1028" max="1028" width="12.28515625" customWidth="1"/>
    <col min="1029" max="1030" width="13.85546875" customWidth="1"/>
    <col min="1031" max="1031" width="14.140625" customWidth="1"/>
    <col min="1033" max="1033" width="9.7109375" customWidth="1"/>
    <col min="1281" max="1281" width="4.5703125" bestFit="1" customWidth="1"/>
    <col min="1282" max="1282" width="52.140625" bestFit="1" customWidth="1"/>
    <col min="1284" max="1284" width="12.28515625" customWidth="1"/>
    <col min="1285" max="1286" width="13.85546875" customWidth="1"/>
    <col min="1287" max="1287" width="14.140625" customWidth="1"/>
    <col min="1289" max="1289" width="9.7109375" customWidth="1"/>
    <col min="1537" max="1537" width="4.5703125" bestFit="1" customWidth="1"/>
    <col min="1538" max="1538" width="52.140625" bestFit="1" customWidth="1"/>
    <col min="1540" max="1540" width="12.28515625" customWidth="1"/>
    <col min="1541" max="1542" width="13.85546875" customWidth="1"/>
    <col min="1543" max="1543" width="14.140625" customWidth="1"/>
    <col min="1545" max="1545" width="9.7109375" customWidth="1"/>
    <col min="1793" max="1793" width="4.5703125" bestFit="1" customWidth="1"/>
    <col min="1794" max="1794" width="52.140625" bestFit="1" customWidth="1"/>
    <col min="1796" max="1796" width="12.28515625" customWidth="1"/>
    <col min="1797" max="1798" width="13.85546875" customWidth="1"/>
    <col min="1799" max="1799" width="14.140625" customWidth="1"/>
    <col min="1801" max="1801" width="9.7109375" customWidth="1"/>
    <col min="2049" max="2049" width="4.5703125" bestFit="1" customWidth="1"/>
    <col min="2050" max="2050" width="52.140625" bestFit="1" customWidth="1"/>
    <col min="2052" max="2052" width="12.28515625" customWidth="1"/>
    <col min="2053" max="2054" width="13.85546875" customWidth="1"/>
    <col min="2055" max="2055" width="14.140625" customWidth="1"/>
    <col min="2057" max="2057" width="9.7109375" customWidth="1"/>
    <col min="2305" max="2305" width="4.5703125" bestFit="1" customWidth="1"/>
    <col min="2306" max="2306" width="52.140625" bestFit="1" customWidth="1"/>
    <col min="2308" max="2308" width="12.28515625" customWidth="1"/>
    <col min="2309" max="2310" width="13.85546875" customWidth="1"/>
    <col min="2311" max="2311" width="14.140625" customWidth="1"/>
    <col min="2313" max="2313" width="9.7109375" customWidth="1"/>
    <col min="2561" max="2561" width="4.5703125" bestFit="1" customWidth="1"/>
    <col min="2562" max="2562" width="52.140625" bestFit="1" customWidth="1"/>
    <col min="2564" max="2564" width="12.28515625" customWidth="1"/>
    <col min="2565" max="2566" width="13.85546875" customWidth="1"/>
    <col min="2567" max="2567" width="14.140625" customWidth="1"/>
    <col min="2569" max="2569" width="9.7109375" customWidth="1"/>
    <col min="2817" max="2817" width="4.5703125" bestFit="1" customWidth="1"/>
    <col min="2818" max="2818" width="52.140625" bestFit="1" customWidth="1"/>
    <col min="2820" max="2820" width="12.28515625" customWidth="1"/>
    <col min="2821" max="2822" width="13.85546875" customWidth="1"/>
    <col min="2823" max="2823" width="14.140625" customWidth="1"/>
    <col min="2825" max="2825" width="9.7109375" customWidth="1"/>
    <col min="3073" max="3073" width="4.5703125" bestFit="1" customWidth="1"/>
    <col min="3074" max="3074" width="52.140625" bestFit="1" customWidth="1"/>
    <col min="3076" max="3076" width="12.28515625" customWidth="1"/>
    <col min="3077" max="3078" width="13.85546875" customWidth="1"/>
    <col min="3079" max="3079" width="14.140625" customWidth="1"/>
    <col min="3081" max="3081" width="9.7109375" customWidth="1"/>
    <col min="3329" max="3329" width="4.5703125" bestFit="1" customWidth="1"/>
    <col min="3330" max="3330" width="52.140625" bestFit="1" customWidth="1"/>
    <col min="3332" max="3332" width="12.28515625" customWidth="1"/>
    <col min="3333" max="3334" width="13.85546875" customWidth="1"/>
    <col min="3335" max="3335" width="14.140625" customWidth="1"/>
    <col min="3337" max="3337" width="9.7109375" customWidth="1"/>
    <col min="3585" max="3585" width="4.5703125" bestFit="1" customWidth="1"/>
    <col min="3586" max="3586" width="52.140625" bestFit="1" customWidth="1"/>
    <col min="3588" max="3588" width="12.28515625" customWidth="1"/>
    <col min="3589" max="3590" width="13.85546875" customWidth="1"/>
    <col min="3591" max="3591" width="14.140625" customWidth="1"/>
    <col min="3593" max="3593" width="9.7109375" customWidth="1"/>
    <col min="3841" max="3841" width="4.5703125" bestFit="1" customWidth="1"/>
    <col min="3842" max="3842" width="52.140625" bestFit="1" customWidth="1"/>
    <col min="3844" max="3844" width="12.28515625" customWidth="1"/>
    <col min="3845" max="3846" width="13.85546875" customWidth="1"/>
    <col min="3847" max="3847" width="14.140625" customWidth="1"/>
    <col min="3849" max="3849" width="9.7109375" customWidth="1"/>
    <col min="4097" max="4097" width="4.5703125" bestFit="1" customWidth="1"/>
    <col min="4098" max="4098" width="52.140625" bestFit="1" customWidth="1"/>
    <col min="4100" max="4100" width="12.28515625" customWidth="1"/>
    <col min="4101" max="4102" width="13.85546875" customWidth="1"/>
    <col min="4103" max="4103" width="14.140625" customWidth="1"/>
    <col min="4105" max="4105" width="9.7109375" customWidth="1"/>
    <col min="4353" max="4353" width="4.5703125" bestFit="1" customWidth="1"/>
    <col min="4354" max="4354" width="52.140625" bestFit="1" customWidth="1"/>
    <col min="4356" max="4356" width="12.28515625" customWidth="1"/>
    <col min="4357" max="4358" width="13.85546875" customWidth="1"/>
    <col min="4359" max="4359" width="14.140625" customWidth="1"/>
    <col min="4361" max="4361" width="9.7109375" customWidth="1"/>
    <col min="4609" max="4609" width="4.5703125" bestFit="1" customWidth="1"/>
    <col min="4610" max="4610" width="52.140625" bestFit="1" customWidth="1"/>
    <col min="4612" max="4612" width="12.28515625" customWidth="1"/>
    <col min="4613" max="4614" width="13.85546875" customWidth="1"/>
    <col min="4615" max="4615" width="14.140625" customWidth="1"/>
    <col min="4617" max="4617" width="9.7109375" customWidth="1"/>
    <col min="4865" max="4865" width="4.5703125" bestFit="1" customWidth="1"/>
    <col min="4866" max="4866" width="52.140625" bestFit="1" customWidth="1"/>
    <col min="4868" max="4868" width="12.28515625" customWidth="1"/>
    <col min="4869" max="4870" width="13.85546875" customWidth="1"/>
    <col min="4871" max="4871" width="14.140625" customWidth="1"/>
    <col min="4873" max="4873" width="9.7109375" customWidth="1"/>
    <col min="5121" max="5121" width="4.5703125" bestFit="1" customWidth="1"/>
    <col min="5122" max="5122" width="52.140625" bestFit="1" customWidth="1"/>
    <col min="5124" max="5124" width="12.28515625" customWidth="1"/>
    <col min="5125" max="5126" width="13.85546875" customWidth="1"/>
    <col min="5127" max="5127" width="14.140625" customWidth="1"/>
    <col min="5129" max="5129" width="9.7109375" customWidth="1"/>
    <col min="5377" max="5377" width="4.5703125" bestFit="1" customWidth="1"/>
    <col min="5378" max="5378" width="52.140625" bestFit="1" customWidth="1"/>
    <col min="5380" max="5380" width="12.28515625" customWidth="1"/>
    <col min="5381" max="5382" width="13.85546875" customWidth="1"/>
    <col min="5383" max="5383" width="14.140625" customWidth="1"/>
    <col min="5385" max="5385" width="9.7109375" customWidth="1"/>
    <col min="5633" max="5633" width="4.5703125" bestFit="1" customWidth="1"/>
    <col min="5634" max="5634" width="52.140625" bestFit="1" customWidth="1"/>
    <col min="5636" max="5636" width="12.28515625" customWidth="1"/>
    <col min="5637" max="5638" width="13.85546875" customWidth="1"/>
    <col min="5639" max="5639" width="14.140625" customWidth="1"/>
    <col min="5641" max="5641" width="9.7109375" customWidth="1"/>
    <col min="5889" max="5889" width="4.5703125" bestFit="1" customWidth="1"/>
    <col min="5890" max="5890" width="52.140625" bestFit="1" customWidth="1"/>
    <col min="5892" max="5892" width="12.28515625" customWidth="1"/>
    <col min="5893" max="5894" width="13.85546875" customWidth="1"/>
    <col min="5895" max="5895" width="14.140625" customWidth="1"/>
    <col min="5897" max="5897" width="9.7109375" customWidth="1"/>
    <col min="6145" max="6145" width="4.5703125" bestFit="1" customWidth="1"/>
    <col min="6146" max="6146" width="52.140625" bestFit="1" customWidth="1"/>
    <col min="6148" max="6148" width="12.28515625" customWidth="1"/>
    <col min="6149" max="6150" width="13.85546875" customWidth="1"/>
    <col min="6151" max="6151" width="14.140625" customWidth="1"/>
    <col min="6153" max="6153" width="9.7109375" customWidth="1"/>
    <col min="6401" max="6401" width="4.5703125" bestFit="1" customWidth="1"/>
    <col min="6402" max="6402" width="52.140625" bestFit="1" customWidth="1"/>
    <col min="6404" max="6404" width="12.28515625" customWidth="1"/>
    <col min="6405" max="6406" width="13.85546875" customWidth="1"/>
    <col min="6407" max="6407" width="14.140625" customWidth="1"/>
    <col min="6409" max="6409" width="9.7109375" customWidth="1"/>
    <col min="6657" max="6657" width="4.5703125" bestFit="1" customWidth="1"/>
    <col min="6658" max="6658" width="52.140625" bestFit="1" customWidth="1"/>
    <col min="6660" max="6660" width="12.28515625" customWidth="1"/>
    <col min="6661" max="6662" width="13.85546875" customWidth="1"/>
    <col min="6663" max="6663" width="14.140625" customWidth="1"/>
    <col min="6665" max="6665" width="9.7109375" customWidth="1"/>
    <col min="6913" max="6913" width="4.5703125" bestFit="1" customWidth="1"/>
    <col min="6914" max="6914" width="52.140625" bestFit="1" customWidth="1"/>
    <col min="6916" max="6916" width="12.28515625" customWidth="1"/>
    <col min="6917" max="6918" width="13.85546875" customWidth="1"/>
    <col min="6919" max="6919" width="14.140625" customWidth="1"/>
    <col min="6921" max="6921" width="9.7109375" customWidth="1"/>
    <col min="7169" max="7169" width="4.5703125" bestFit="1" customWidth="1"/>
    <col min="7170" max="7170" width="52.140625" bestFit="1" customWidth="1"/>
    <col min="7172" max="7172" width="12.28515625" customWidth="1"/>
    <col min="7173" max="7174" width="13.85546875" customWidth="1"/>
    <col min="7175" max="7175" width="14.140625" customWidth="1"/>
    <col min="7177" max="7177" width="9.7109375" customWidth="1"/>
    <col min="7425" max="7425" width="4.5703125" bestFit="1" customWidth="1"/>
    <col min="7426" max="7426" width="52.140625" bestFit="1" customWidth="1"/>
    <col min="7428" max="7428" width="12.28515625" customWidth="1"/>
    <col min="7429" max="7430" width="13.85546875" customWidth="1"/>
    <col min="7431" max="7431" width="14.140625" customWidth="1"/>
    <col min="7433" max="7433" width="9.7109375" customWidth="1"/>
    <col min="7681" max="7681" width="4.5703125" bestFit="1" customWidth="1"/>
    <col min="7682" max="7682" width="52.140625" bestFit="1" customWidth="1"/>
    <col min="7684" max="7684" width="12.28515625" customWidth="1"/>
    <col min="7685" max="7686" width="13.85546875" customWidth="1"/>
    <col min="7687" max="7687" width="14.140625" customWidth="1"/>
    <col min="7689" max="7689" width="9.7109375" customWidth="1"/>
    <col min="7937" max="7937" width="4.5703125" bestFit="1" customWidth="1"/>
    <col min="7938" max="7938" width="52.140625" bestFit="1" customWidth="1"/>
    <col min="7940" max="7940" width="12.28515625" customWidth="1"/>
    <col min="7941" max="7942" width="13.85546875" customWidth="1"/>
    <col min="7943" max="7943" width="14.140625" customWidth="1"/>
    <col min="7945" max="7945" width="9.7109375" customWidth="1"/>
    <col min="8193" max="8193" width="4.5703125" bestFit="1" customWidth="1"/>
    <col min="8194" max="8194" width="52.140625" bestFit="1" customWidth="1"/>
    <col min="8196" max="8196" width="12.28515625" customWidth="1"/>
    <col min="8197" max="8198" width="13.85546875" customWidth="1"/>
    <col min="8199" max="8199" width="14.140625" customWidth="1"/>
    <col min="8201" max="8201" width="9.7109375" customWidth="1"/>
    <col min="8449" max="8449" width="4.5703125" bestFit="1" customWidth="1"/>
    <col min="8450" max="8450" width="52.140625" bestFit="1" customWidth="1"/>
    <col min="8452" max="8452" width="12.28515625" customWidth="1"/>
    <col min="8453" max="8454" width="13.85546875" customWidth="1"/>
    <col min="8455" max="8455" width="14.140625" customWidth="1"/>
    <col min="8457" max="8457" width="9.7109375" customWidth="1"/>
    <col min="8705" max="8705" width="4.5703125" bestFit="1" customWidth="1"/>
    <col min="8706" max="8706" width="52.140625" bestFit="1" customWidth="1"/>
    <col min="8708" max="8708" width="12.28515625" customWidth="1"/>
    <col min="8709" max="8710" width="13.85546875" customWidth="1"/>
    <col min="8711" max="8711" width="14.140625" customWidth="1"/>
    <col min="8713" max="8713" width="9.7109375" customWidth="1"/>
    <col min="8961" max="8961" width="4.5703125" bestFit="1" customWidth="1"/>
    <col min="8962" max="8962" width="52.140625" bestFit="1" customWidth="1"/>
    <col min="8964" max="8964" width="12.28515625" customWidth="1"/>
    <col min="8965" max="8966" width="13.85546875" customWidth="1"/>
    <col min="8967" max="8967" width="14.140625" customWidth="1"/>
    <col min="8969" max="8969" width="9.7109375" customWidth="1"/>
    <col min="9217" max="9217" width="4.5703125" bestFit="1" customWidth="1"/>
    <col min="9218" max="9218" width="52.140625" bestFit="1" customWidth="1"/>
    <col min="9220" max="9220" width="12.28515625" customWidth="1"/>
    <col min="9221" max="9222" width="13.85546875" customWidth="1"/>
    <col min="9223" max="9223" width="14.140625" customWidth="1"/>
    <col min="9225" max="9225" width="9.7109375" customWidth="1"/>
    <col min="9473" max="9473" width="4.5703125" bestFit="1" customWidth="1"/>
    <col min="9474" max="9474" width="52.140625" bestFit="1" customWidth="1"/>
    <col min="9476" max="9476" width="12.28515625" customWidth="1"/>
    <col min="9477" max="9478" width="13.85546875" customWidth="1"/>
    <col min="9479" max="9479" width="14.140625" customWidth="1"/>
    <col min="9481" max="9481" width="9.7109375" customWidth="1"/>
    <col min="9729" max="9729" width="4.5703125" bestFit="1" customWidth="1"/>
    <col min="9730" max="9730" width="52.140625" bestFit="1" customWidth="1"/>
    <col min="9732" max="9732" width="12.28515625" customWidth="1"/>
    <col min="9733" max="9734" width="13.85546875" customWidth="1"/>
    <col min="9735" max="9735" width="14.140625" customWidth="1"/>
    <col min="9737" max="9737" width="9.7109375" customWidth="1"/>
    <col min="9985" max="9985" width="4.5703125" bestFit="1" customWidth="1"/>
    <col min="9986" max="9986" width="52.140625" bestFit="1" customWidth="1"/>
    <col min="9988" max="9988" width="12.28515625" customWidth="1"/>
    <col min="9989" max="9990" width="13.85546875" customWidth="1"/>
    <col min="9991" max="9991" width="14.140625" customWidth="1"/>
    <col min="9993" max="9993" width="9.7109375" customWidth="1"/>
    <col min="10241" max="10241" width="4.5703125" bestFit="1" customWidth="1"/>
    <col min="10242" max="10242" width="52.140625" bestFit="1" customWidth="1"/>
    <col min="10244" max="10244" width="12.28515625" customWidth="1"/>
    <col min="10245" max="10246" width="13.85546875" customWidth="1"/>
    <col min="10247" max="10247" width="14.140625" customWidth="1"/>
    <col min="10249" max="10249" width="9.7109375" customWidth="1"/>
    <col min="10497" max="10497" width="4.5703125" bestFit="1" customWidth="1"/>
    <col min="10498" max="10498" width="52.140625" bestFit="1" customWidth="1"/>
    <col min="10500" max="10500" width="12.28515625" customWidth="1"/>
    <col min="10501" max="10502" width="13.85546875" customWidth="1"/>
    <col min="10503" max="10503" width="14.140625" customWidth="1"/>
    <col min="10505" max="10505" width="9.7109375" customWidth="1"/>
    <col min="10753" max="10753" width="4.5703125" bestFit="1" customWidth="1"/>
    <col min="10754" max="10754" width="52.140625" bestFit="1" customWidth="1"/>
    <col min="10756" max="10756" width="12.28515625" customWidth="1"/>
    <col min="10757" max="10758" width="13.85546875" customWidth="1"/>
    <col min="10759" max="10759" width="14.140625" customWidth="1"/>
    <col min="10761" max="10761" width="9.7109375" customWidth="1"/>
    <col min="11009" max="11009" width="4.5703125" bestFit="1" customWidth="1"/>
    <col min="11010" max="11010" width="52.140625" bestFit="1" customWidth="1"/>
    <col min="11012" max="11012" width="12.28515625" customWidth="1"/>
    <col min="11013" max="11014" width="13.85546875" customWidth="1"/>
    <col min="11015" max="11015" width="14.140625" customWidth="1"/>
    <col min="11017" max="11017" width="9.7109375" customWidth="1"/>
    <col min="11265" max="11265" width="4.5703125" bestFit="1" customWidth="1"/>
    <col min="11266" max="11266" width="52.140625" bestFit="1" customWidth="1"/>
    <col min="11268" max="11268" width="12.28515625" customWidth="1"/>
    <col min="11269" max="11270" width="13.85546875" customWidth="1"/>
    <col min="11271" max="11271" width="14.140625" customWidth="1"/>
    <col min="11273" max="11273" width="9.7109375" customWidth="1"/>
    <col min="11521" max="11521" width="4.5703125" bestFit="1" customWidth="1"/>
    <col min="11522" max="11522" width="52.140625" bestFit="1" customWidth="1"/>
    <col min="11524" max="11524" width="12.28515625" customWidth="1"/>
    <col min="11525" max="11526" width="13.85546875" customWidth="1"/>
    <col min="11527" max="11527" width="14.140625" customWidth="1"/>
    <col min="11529" max="11529" width="9.7109375" customWidth="1"/>
    <col min="11777" max="11777" width="4.5703125" bestFit="1" customWidth="1"/>
    <col min="11778" max="11778" width="52.140625" bestFit="1" customWidth="1"/>
    <col min="11780" max="11780" width="12.28515625" customWidth="1"/>
    <col min="11781" max="11782" width="13.85546875" customWidth="1"/>
    <col min="11783" max="11783" width="14.140625" customWidth="1"/>
    <col min="11785" max="11785" width="9.7109375" customWidth="1"/>
    <col min="12033" max="12033" width="4.5703125" bestFit="1" customWidth="1"/>
    <col min="12034" max="12034" width="52.140625" bestFit="1" customWidth="1"/>
    <col min="12036" max="12036" width="12.28515625" customWidth="1"/>
    <col min="12037" max="12038" width="13.85546875" customWidth="1"/>
    <col min="12039" max="12039" width="14.140625" customWidth="1"/>
    <col min="12041" max="12041" width="9.7109375" customWidth="1"/>
    <col min="12289" max="12289" width="4.5703125" bestFit="1" customWidth="1"/>
    <col min="12290" max="12290" width="52.140625" bestFit="1" customWidth="1"/>
    <col min="12292" max="12292" width="12.28515625" customWidth="1"/>
    <col min="12293" max="12294" width="13.85546875" customWidth="1"/>
    <col min="12295" max="12295" width="14.140625" customWidth="1"/>
    <col min="12297" max="12297" width="9.7109375" customWidth="1"/>
    <col min="12545" max="12545" width="4.5703125" bestFit="1" customWidth="1"/>
    <col min="12546" max="12546" width="52.140625" bestFit="1" customWidth="1"/>
    <col min="12548" max="12548" width="12.28515625" customWidth="1"/>
    <col min="12549" max="12550" width="13.85546875" customWidth="1"/>
    <col min="12551" max="12551" width="14.140625" customWidth="1"/>
    <col min="12553" max="12553" width="9.7109375" customWidth="1"/>
    <col min="12801" max="12801" width="4.5703125" bestFit="1" customWidth="1"/>
    <col min="12802" max="12802" width="52.140625" bestFit="1" customWidth="1"/>
    <col min="12804" max="12804" width="12.28515625" customWidth="1"/>
    <col min="12805" max="12806" width="13.85546875" customWidth="1"/>
    <col min="12807" max="12807" width="14.140625" customWidth="1"/>
    <col min="12809" max="12809" width="9.7109375" customWidth="1"/>
    <col min="13057" max="13057" width="4.5703125" bestFit="1" customWidth="1"/>
    <col min="13058" max="13058" width="52.140625" bestFit="1" customWidth="1"/>
    <col min="13060" max="13060" width="12.28515625" customWidth="1"/>
    <col min="13061" max="13062" width="13.85546875" customWidth="1"/>
    <col min="13063" max="13063" width="14.140625" customWidth="1"/>
    <col min="13065" max="13065" width="9.7109375" customWidth="1"/>
    <col min="13313" max="13313" width="4.5703125" bestFit="1" customWidth="1"/>
    <col min="13314" max="13314" width="52.140625" bestFit="1" customWidth="1"/>
    <col min="13316" max="13316" width="12.28515625" customWidth="1"/>
    <col min="13317" max="13318" width="13.85546875" customWidth="1"/>
    <col min="13319" max="13319" width="14.140625" customWidth="1"/>
    <col min="13321" max="13321" width="9.7109375" customWidth="1"/>
    <col min="13569" max="13569" width="4.5703125" bestFit="1" customWidth="1"/>
    <col min="13570" max="13570" width="52.140625" bestFit="1" customWidth="1"/>
    <col min="13572" max="13572" width="12.28515625" customWidth="1"/>
    <col min="13573" max="13574" width="13.85546875" customWidth="1"/>
    <col min="13575" max="13575" width="14.140625" customWidth="1"/>
    <col min="13577" max="13577" width="9.7109375" customWidth="1"/>
    <col min="13825" max="13825" width="4.5703125" bestFit="1" customWidth="1"/>
    <col min="13826" max="13826" width="52.140625" bestFit="1" customWidth="1"/>
    <col min="13828" max="13828" width="12.28515625" customWidth="1"/>
    <col min="13829" max="13830" width="13.85546875" customWidth="1"/>
    <col min="13831" max="13831" width="14.140625" customWidth="1"/>
    <col min="13833" max="13833" width="9.7109375" customWidth="1"/>
    <col min="14081" max="14081" width="4.5703125" bestFit="1" customWidth="1"/>
    <col min="14082" max="14082" width="52.140625" bestFit="1" customWidth="1"/>
    <col min="14084" max="14084" width="12.28515625" customWidth="1"/>
    <col min="14085" max="14086" width="13.85546875" customWidth="1"/>
    <col min="14087" max="14087" width="14.140625" customWidth="1"/>
    <col min="14089" max="14089" width="9.7109375" customWidth="1"/>
    <col min="14337" max="14337" width="4.5703125" bestFit="1" customWidth="1"/>
    <col min="14338" max="14338" width="52.140625" bestFit="1" customWidth="1"/>
    <col min="14340" max="14340" width="12.28515625" customWidth="1"/>
    <col min="14341" max="14342" width="13.85546875" customWidth="1"/>
    <col min="14343" max="14343" width="14.140625" customWidth="1"/>
    <col min="14345" max="14345" width="9.7109375" customWidth="1"/>
    <col min="14593" max="14593" width="4.5703125" bestFit="1" customWidth="1"/>
    <col min="14594" max="14594" width="52.140625" bestFit="1" customWidth="1"/>
    <col min="14596" max="14596" width="12.28515625" customWidth="1"/>
    <col min="14597" max="14598" width="13.85546875" customWidth="1"/>
    <col min="14599" max="14599" width="14.140625" customWidth="1"/>
    <col min="14601" max="14601" width="9.7109375" customWidth="1"/>
    <col min="14849" max="14849" width="4.5703125" bestFit="1" customWidth="1"/>
    <col min="14850" max="14850" width="52.140625" bestFit="1" customWidth="1"/>
    <col min="14852" max="14852" width="12.28515625" customWidth="1"/>
    <col min="14853" max="14854" width="13.85546875" customWidth="1"/>
    <col min="14855" max="14855" width="14.140625" customWidth="1"/>
    <col min="14857" max="14857" width="9.7109375" customWidth="1"/>
    <col min="15105" max="15105" width="4.5703125" bestFit="1" customWidth="1"/>
    <col min="15106" max="15106" width="52.140625" bestFit="1" customWidth="1"/>
    <col min="15108" max="15108" width="12.28515625" customWidth="1"/>
    <col min="15109" max="15110" width="13.85546875" customWidth="1"/>
    <col min="15111" max="15111" width="14.140625" customWidth="1"/>
    <col min="15113" max="15113" width="9.7109375" customWidth="1"/>
    <col min="15361" max="15361" width="4.5703125" bestFit="1" customWidth="1"/>
    <col min="15362" max="15362" width="52.140625" bestFit="1" customWidth="1"/>
    <col min="15364" max="15364" width="12.28515625" customWidth="1"/>
    <col min="15365" max="15366" width="13.85546875" customWidth="1"/>
    <col min="15367" max="15367" width="14.140625" customWidth="1"/>
    <col min="15369" max="15369" width="9.7109375" customWidth="1"/>
    <col min="15617" max="15617" width="4.5703125" bestFit="1" customWidth="1"/>
    <col min="15618" max="15618" width="52.140625" bestFit="1" customWidth="1"/>
    <col min="15620" max="15620" width="12.28515625" customWidth="1"/>
    <col min="15621" max="15622" width="13.85546875" customWidth="1"/>
    <col min="15623" max="15623" width="14.140625" customWidth="1"/>
    <col min="15625" max="15625" width="9.7109375" customWidth="1"/>
    <col min="15873" max="15873" width="4.5703125" bestFit="1" customWidth="1"/>
    <col min="15874" max="15874" width="52.140625" bestFit="1" customWidth="1"/>
    <col min="15876" max="15876" width="12.28515625" customWidth="1"/>
    <col min="15877" max="15878" width="13.85546875" customWidth="1"/>
    <col min="15879" max="15879" width="14.140625" customWidth="1"/>
    <col min="15881" max="15881" width="9.7109375" customWidth="1"/>
    <col min="16129" max="16129" width="4.5703125" bestFit="1" customWidth="1"/>
    <col min="16130" max="16130" width="52.140625" bestFit="1" customWidth="1"/>
    <col min="16132" max="16132" width="12.28515625" customWidth="1"/>
    <col min="16133" max="16134" width="13.85546875" customWidth="1"/>
    <col min="16135" max="16135" width="14.140625" customWidth="1"/>
    <col min="16137" max="16137" width="9.7109375" customWidth="1"/>
  </cols>
  <sheetData>
    <row r="1" spans="1:14" ht="22.5" customHeight="1" thickTop="1" x14ac:dyDescent="0.25">
      <c r="A1" s="986" t="s">
        <v>377</v>
      </c>
      <c r="B1" s="987" t="s">
        <v>547</v>
      </c>
      <c r="C1" s="987" t="s">
        <v>668</v>
      </c>
      <c r="D1" s="988" t="s">
        <v>811</v>
      </c>
      <c r="E1" s="988" t="s">
        <v>812</v>
      </c>
      <c r="F1" s="988" t="s">
        <v>813</v>
      </c>
      <c r="G1" s="430"/>
      <c r="H1" s="431"/>
      <c r="I1" s="432" t="s">
        <v>814</v>
      </c>
      <c r="J1" s="433" t="s">
        <v>815</v>
      </c>
      <c r="K1" s="434" t="s">
        <v>816</v>
      </c>
      <c r="L1" s="435"/>
      <c r="N1" s="580" t="s">
        <v>611</v>
      </c>
    </row>
    <row r="2" spans="1:14" x14ac:dyDescent="0.25">
      <c r="A2" s="436">
        <v>1</v>
      </c>
      <c r="B2" s="437" t="s">
        <v>817</v>
      </c>
      <c r="C2" s="438" t="s">
        <v>124</v>
      </c>
      <c r="D2" s="439">
        <f>+'[3]Bang cao do truT1-T3'!D4</f>
        <v>2</v>
      </c>
      <c r="E2" s="439">
        <f>+'[3]Bang cao do truT1-T3'!D5</f>
        <v>2</v>
      </c>
      <c r="F2" s="439">
        <f>+'[3]Bang cao do truT1-T3'!D6</f>
        <v>2</v>
      </c>
      <c r="G2" s="440"/>
      <c r="H2" s="431"/>
      <c r="I2" s="441"/>
      <c r="J2" s="376">
        <f>4*(3+2+3)</f>
        <v>32</v>
      </c>
      <c r="K2" s="442">
        <v>97</v>
      </c>
      <c r="L2" s="443">
        <f>+K2*J2</f>
        <v>3104</v>
      </c>
    </row>
    <row r="3" spans="1:14" x14ac:dyDescent="0.25">
      <c r="A3" s="436">
        <v>2</v>
      </c>
      <c r="B3" s="437" t="s">
        <v>818</v>
      </c>
      <c r="C3" s="438" t="s">
        <v>124</v>
      </c>
      <c r="D3" s="439">
        <v>1</v>
      </c>
      <c r="E3" s="439">
        <v>0.9</v>
      </c>
      <c r="F3" s="439">
        <v>0.84</v>
      </c>
      <c r="G3" s="440"/>
      <c r="H3" s="431"/>
      <c r="I3" s="441"/>
      <c r="J3" s="376"/>
      <c r="K3" s="442"/>
      <c r="L3" s="443"/>
    </row>
    <row r="4" spans="1:14" x14ac:dyDescent="0.25">
      <c r="A4" s="436">
        <v>3</v>
      </c>
      <c r="B4" s="437" t="s">
        <v>819</v>
      </c>
      <c r="C4" s="438" t="s">
        <v>124</v>
      </c>
      <c r="D4" s="444">
        <f>+'[3]Bang cao do truT1-T3'!E4</f>
        <v>0.63100000000000001</v>
      </c>
      <c r="E4" s="444">
        <f>+'[3]Bang cao do truT1-T3'!E5</f>
        <v>0.53200000000000003</v>
      </c>
      <c r="F4" s="444">
        <f>+'[3]Bang cao do truT1-T3'!E6</f>
        <v>0.43399999999999994</v>
      </c>
      <c r="G4" s="445"/>
      <c r="H4" s="446"/>
      <c r="I4" s="447" t="s">
        <v>691</v>
      </c>
      <c r="J4" s="376">
        <f>(3+4*2)</f>
        <v>11</v>
      </c>
      <c r="K4" s="388">
        <v>11.87</v>
      </c>
      <c r="L4" s="443">
        <f>+J4*K4</f>
        <v>130.57</v>
      </c>
    </row>
    <row r="5" spans="1:14" x14ac:dyDescent="0.25">
      <c r="A5" s="436">
        <v>4</v>
      </c>
      <c r="B5" s="437" t="s">
        <v>820</v>
      </c>
      <c r="C5" s="438" t="s">
        <v>124</v>
      </c>
      <c r="D5" s="448">
        <f>+D4-D8</f>
        <v>-1.369</v>
      </c>
      <c r="E5" s="448">
        <f>+E4-E8</f>
        <v>-1.468</v>
      </c>
      <c r="F5" s="448">
        <f>+F4-F8</f>
        <v>-1.5660000000000001</v>
      </c>
      <c r="G5" s="449"/>
      <c r="H5" s="446"/>
      <c r="I5" s="450" t="s">
        <v>693</v>
      </c>
      <c r="J5" s="451"/>
      <c r="K5" s="452"/>
      <c r="L5" s="453">
        <f>+L4+L2</f>
        <v>3234.57</v>
      </c>
    </row>
    <row r="6" spans="1:14" x14ac:dyDescent="0.25">
      <c r="A6" s="436">
        <v>5</v>
      </c>
      <c r="B6" s="437" t="s">
        <v>821</v>
      </c>
      <c r="C6" s="454" t="s">
        <v>124</v>
      </c>
      <c r="D6" s="444">
        <v>6</v>
      </c>
      <c r="E6" s="444">
        <v>6</v>
      </c>
      <c r="F6" s="444">
        <v>6</v>
      </c>
      <c r="G6" s="445"/>
      <c r="H6" s="446"/>
      <c r="I6" s="432"/>
      <c r="J6" s="433"/>
      <c r="K6" s="434"/>
      <c r="L6" s="435"/>
    </row>
    <row r="7" spans="1:14" x14ac:dyDescent="0.25">
      <c r="A7" s="436">
        <v>6</v>
      </c>
      <c r="B7" s="437" t="s">
        <v>822</v>
      </c>
      <c r="C7" s="454" t="s">
        <v>124</v>
      </c>
      <c r="D7" s="444">
        <v>7</v>
      </c>
      <c r="E7" s="444">
        <v>7</v>
      </c>
      <c r="F7" s="444">
        <v>7</v>
      </c>
      <c r="G7" s="445"/>
      <c r="H7" s="430"/>
      <c r="I7" s="447"/>
      <c r="J7" s="455"/>
      <c r="K7" s="456"/>
      <c r="L7" s="457"/>
    </row>
    <row r="8" spans="1:14" x14ac:dyDescent="0.25">
      <c r="A8" s="436">
        <v>7</v>
      </c>
      <c r="B8" s="458" t="s">
        <v>823</v>
      </c>
      <c r="C8" s="459" t="s">
        <v>124</v>
      </c>
      <c r="D8" s="460">
        <v>2</v>
      </c>
      <c r="E8" s="460">
        <v>2</v>
      </c>
      <c r="F8" s="460">
        <v>2</v>
      </c>
      <c r="G8" s="445"/>
      <c r="H8" s="430"/>
      <c r="I8" s="461"/>
      <c r="J8" s="462"/>
      <c r="K8" s="463"/>
      <c r="L8" s="464"/>
    </row>
    <row r="9" spans="1:14" x14ac:dyDescent="0.25">
      <c r="A9" s="436">
        <v>8</v>
      </c>
      <c r="B9" s="437" t="s">
        <v>824</v>
      </c>
      <c r="C9" s="438" t="s">
        <v>124</v>
      </c>
      <c r="D9" s="444">
        <f>+'[3]Bang cao do truT1-T3'!I4</f>
        <v>62</v>
      </c>
      <c r="E9" s="444">
        <f>+'[3]Bang cao do truT1-T3'!I5</f>
        <v>58</v>
      </c>
      <c r="F9" s="444">
        <f>+'[3]Bang cao do truT1-T3'!I6</f>
        <v>58</v>
      </c>
      <c r="G9" s="445">
        <f>+E9</f>
        <v>58</v>
      </c>
      <c r="H9" s="431"/>
      <c r="I9" s="450"/>
      <c r="J9" s="465"/>
      <c r="K9" s="464"/>
      <c r="L9" s="466"/>
    </row>
    <row r="10" spans="1:14" x14ac:dyDescent="0.25">
      <c r="A10" s="436">
        <v>9</v>
      </c>
      <c r="B10" s="458" t="s">
        <v>825</v>
      </c>
      <c r="C10" s="438" t="s">
        <v>124</v>
      </c>
      <c r="D10" s="460">
        <f>+D5-D9</f>
        <v>-63.369</v>
      </c>
      <c r="E10" s="460">
        <f>+E5-E9</f>
        <v>-59.468000000000004</v>
      </c>
      <c r="F10" s="460">
        <f>+F5-F9</f>
        <v>-59.566000000000003</v>
      </c>
      <c r="G10" s="445"/>
      <c r="H10" s="431"/>
      <c r="I10" s="432"/>
      <c r="J10" s="433"/>
      <c r="K10" s="434"/>
      <c r="L10" s="435"/>
    </row>
    <row r="11" spans="1:14" x14ac:dyDescent="0.25">
      <c r="A11" s="436">
        <v>10</v>
      </c>
      <c r="B11" s="458" t="s">
        <v>826</v>
      </c>
      <c r="C11" s="438" t="s">
        <v>576</v>
      </c>
      <c r="D11" s="460">
        <f>+'[3]Bang cao do truT1-T3'!J4</f>
        <v>4</v>
      </c>
      <c r="E11" s="460">
        <f>+'[3]Bang cao do truT1-T3'!J5</f>
        <v>4</v>
      </c>
      <c r="F11" s="460">
        <f>+'[3]Bang cao do truT1-T3'!J6</f>
        <v>4</v>
      </c>
      <c r="G11" s="467">
        <f>+SUM(D11:E11)</f>
        <v>8</v>
      </c>
      <c r="H11" s="431"/>
      <c r="I11" s="447"/>
      <c r="J11" s="455"/>
      <c r="K11" s="456"/>
      <c r="L11" s="457"/>
    </row>
    <row r="12" spans="1:14" x14ac:dyDescent="0.25">
      <c r="A12" s="1191">
        <v>11</v>
      </c>
      <c r="B12" s="437" t="s">
        <v>827</v>
      </c>
      <c r="C12" s="454" t="s">
        <v>124</v>
      </c>
      <c r="D12" s="468">
        <v>0</v>
      </c>
      <c r="E12" s="468">
        <v>0</v>
      </c>
      <c r="F12" s="468">
        <v>0</v>
      </c>
      <c r="G12" s="440"/>
      <c r="H12" s="431"/>
      <c r="I12" s="447"/>
      <c r="J12" s="455"/>
      <c r="K12" s="469"/>
      <c r="L12" s="457"/>
    </row>
    <row r="13" spans="1:14" x14ac:dyDescent="0.25">
      <c r="A13" s="1191"/>
      <c r="B13" s="437" t="s">
        <v>828</v>
      </c>
      <c r="C13" s="454" t="s">
        <v>124</v>
      </c>
      <c r="D13" s="468">
        <v>0</v>
      </c>
      <c r="E13" s="468">
        <v>0</v>
      </c>
      <c r="F13" s="468">
        <v>0</v>
      </c>
      <c r="G13" s="440"/>
      <c r="H13" s="431"/>
      <c r="I13" s="461"/>
      <c r="J13" s="462"/>
      <c r="K13" s="470"/>
      <c r="L13" s="464"/>
    </row>
    <row r="14" spans="1:14" x14ac:dyDescent="0.25">
      <c r="A14" s="1191"/>
      <c r="B14" s="437" t="s">
        <v>829</v>
      </c>
      <c r="C14" s="438" t="s">
        <v>124</v>
      </c>
      <c r="D14" s="468">
        <v>0</v>
      </c>
      <c r="E14" s="468">
        <v>0</v>
      </c>
      <c r="F14" s="468">
        <v>0</v>
      </c>
      <c r="G14" s="440"/>
      <c r="H14" s="431"/>
      <c r="I14" s="461"/>
      <c r="J14" s="462"/>
      <c r="K14" s="470"/>
      <c r="L14" s="464"/>
    </row>
    <row r="15" spans="1:14" x14ac:dyDescent="0.25">
      <c r="A15" s="471">
        <v>12</v>
      </c>
      <c r="B15" s="472" t="s">
        <v>830</v>
      </c>
      <c r="C15" s="473" t="s">
        <v>124</v>
      </c>
      <c r="D15" s="474">
        <f>+ROUND(ABS(D2-D5)+D31+0.4,3)</f>
        <v>3.8690000000000002</v>
      </c>
      <c r="E15" s="474">
        <f>+ROUND(ABS(E2-E5)+E31+0.4,3)</f>
        <v>3.968</v>
      </c>
      <c r="F15" s="474">
        <f>+ROUND(ABS(F2-F5)+F31+0.4,3)</f>
        <v>4.0659999999999998</v>
      </c>
      <c r="G15" s="475"/>
      <c r="H15" s="431"/>
      <c r="I15" s="461"/>
      <c r="J15" s="462"/>
      <c r="K15" s="470"/>
      <c r="L15" s="464"/>
      <c r="M15">
        <f>4/1.5</f>
        <v>2.6666666666666665</v>
      </c>
    </row>
    <row r="16" spans="1:14" x14ac:dyDescent="0.25">
      <c r="A16" s="476"/>
      <c r="B16" s="477" t="s">
        <v>831</v>
      </c>
      <c r="C16" s="478" t="s">
        <v>124</v>
      </c>
      <c r="D16" s="468">
        <v>0</v>
      </c>
      <c r="E16" s="468">
        <v>0</v>
      </c>
      <c r="F16" s="468">
        <v>0</v>
      </c>
      <c r="G16" s="440"/>
      <c r="H16" s="431"/>
      <c r="I16" s="461"/>
      <c r="J16" s="462"/>
      <c r="K16" s="470"/>
      <c r="L16" s="464"/>
    </row>
    <row r="17" spans="1:12" x14ac:dyDescent="0.25">
      <c r="A17" s="1192" t="s">
        <v>471</v>
      </c>
      <c r="B17" s="458" t="s">
        <v>832</v>
      </c>
      <c r="C17" s="454" t="s">
        <v>124</v>
      </c>
      <c r="D17" s="468">
        <f t="shared" ref="D17:F18" si="0">+D6+2*1.1</f>
        <v>8.1999999999999993</v>
      </c>
      <c r="E17" s="468">
        <f t="shared" si="0"/>
        <v>8.1999999999999993</v>
      </c>
      <c r="F17" s="468">
        <f t="shared" si="0"/>
        <v>8.1999999999999993</v>
      </c>
      <c r="G17" s="440"/>
      <c r="H17" s="431"/>
      <c r="I17" s="461">
        <f>16/0.4</f>
        <v>40</v>
      </c>
      <c r="J17" s="462"/>
      <c r="K17" s="470"/>
      <c r="L17" s="464"/>
    </row>
    <row r="18" spans="1:12" x14ac:dyDescent="0.25">
      <c r="A18" s="1191"/>
      <c r="B18" s="458" t="s">
        <v>833</v>
      </c>
      <c r="C18" s="454" t="s">
        <v>124</v>
      </c>
      <c r="D18" s="468">
        <f t="shared" si="0"/>
        <v>9.1999999999999993</v>
      </c>
      <c r="E18" s="468">
        <f t="shared" si="0"/>
        <v>9.1999999999999993</v>
      </c>
      <c r="F18" s="468">
        <f t="shared" si="0"/>
        <v>9.1999999999999993</v>
      </c>
      <c r="G18" s="440"/>
      <c r="H18" s="431"/>
      <c r="I18" s="461"/>
      <c r="J18" s="462"/>
      <c r="K18" s="470"/>
      <c r="L18" s="464"/>
    </row>
    <row r="19" spans="1:12" x14ac:dyDescent="0.25">
      <c r="A19" s="1191"/>
      <c r="B19" s="479" t="s">
        <v>834</v>
      </c>
      <c r="C19" s="480" t="s">
        <v>68</v>
      </c>
      <c r="D19" s="481">
        <f>+ROUND(D17*D18,2)</f>
        <v>75.44</v>
      </c>
      <c r="E19" s="481">
        <f>+ROUND(E17*E18,2)</f>
        <v>75.44</v>
      </c>
      <c r="F19" s="481">
        <f>+ROUND(F17*F18,2)</f>
        <v>75.44</v>
      </c>
      <c r="G19" s="482"/>
      <c r="H19" s="431"/>
      <c r="I19" s="461"/>
      <c r="J19" s="462"/>
      <c r="K19" s="470"/>
      <c r="L19" s="464"/>
    </row>
    <row r="20" spans="1:12" x14ac:dyDescent="0.25">
      <c r="A20" s="483"/>
      <c r="B20" s="574" t="s">
        <v>835</v>
      </c>
      <c r="C20" s="207" t="s">
        <v>124</v>
      </c>
      <c r="D20" s="407">
        <f t="shared" ref="D20:F21" si="1">+D17+2.5*0.75*2</f>
        <v>11.95</v>
      </c>
      <c r="E20" s="407">
        <f t="shared" si="1"/>
        <v>11.95</v>
      </c>
      <c r="F20" s="407">
        <f t="shared" si="1"/>
        <v>11.95</v>
      </c>
      <c r="G20" s="482"/>
      <c r="H20" s="431"/>
      <c r="I20" s="461"/>
      <c r="J20" s="462"/>
      <c r="K20" s="470"/>
      <c r="L20" s="464"/>
    </row>
    <row r="21" spans="1:12" x14ac:dyDescent="0.25">
      <c r="A21" s="483"/>
      <c r="B21" s="574" t="s">
        <v>698</v>
      </c>
      <c r="C21" s="207" t="s">
        <v>124</v>
      </c>
      <c r="D21" s="407">
        <f t="shared" si="1"/>
        <v>12.95</v>
      </c>
      <c r="E21" s="407">
        <f t="shared" si="1"/>
        <v>12.95</v>
      </c>
      <c r="F21" s="407">
        <f t="shared" si="1"/>
        <v>12.95</v>
      </c>
      <c r="G21" s="482"/>
      <c r="H21" s="431"/>
      <c r="I21" s="461"/>
      <c r="J21" s="462"/>
      <c r="K21" s="470"/>
      <c r="L21" s="464"/>
    </row>
    <row r="22" spans="1:12" x14ac:dyDescent="0.25">
      <c r="A22" s="483"/>
      <c r="B22" s="575" t="s">
        <v>700</v>
      </c>
      <c r="C22" s="484" t="s">
        <v>68</v>
      </c>
      <c r="D22" s="409">
        <f>+D21*D20</f>
        <v>154.75249999999997</v>
      </c>
      <c r="E22" s="409">
        <f>+E21*E20</f>
        <v>154.75249999999997</v>
      </c>
      <c r="F22" s="409">
        <f>+F21*F20</f>
        <v>154.75249999999997</v>
      </c>
      <c r="G22" s="482"/>
      <c r="H22" s="431"/>
      <c r="I22" s="461"/>
      <c r="J22" s="462"/>
      <c r="K22" s="470"/>
      <c r="L22" s="464"/>
    </row>
    <row r="23" spans="1:12" x14ac:dyDescent="0.25">
      <c r="A23" s="483"/>
      <c r="B23" s="122" t="s">
        <v>836</v>
      </c>
      <c r="C23" s="207" t="s">
        <v>124</v>
      </c>
      <c r="D23" s="407">
        <f>+D17+2*D15*0.75</f>
        <v>14.003499999999999</v>
      </c>
      <c r="E23" s="407">
        <f>+E17+2*E15*0.75</f>
        <v>14.151999999999999</v>
      </c>
      <c r="F23" s="407">
        <f>+F17+2*F15*0.75</f>
        <v>14.298999999999999</v>
      </c>
      <c r="G23" s="482"/>
      <c r="H23" s="431"/>
      <c r="I23" s="461"/>
      <c r="J23" s="462"/>
      <c r="K23" s="470"/>
      <c r="L23" s="464"/>
    </row>
    <row r="24" spans="1:12" x14ac:dyDescent="0.25">
      <c r="A24" s="483"/>
      <c r="B24" s="122" t="s">
        <v>837</v>
      </c>
      <c r="C24" s="207" t="s">
        <v>124</v>
      </c>
      <c r="D24" s="407">
        <f>+D18+2*D15*0.75</f>
        <v>15.003499999999999</v>
      </c>
      <c r="E24" s="407">
        <f>+E18+2*E15*0.75</f>
        <v>15.151999999999999</v>
      </c>
      <c r="F24" s="407">
        <f>+F18+2*F15*0.75</f>
        <v>15.298999999999999</v>
      </c>
      <c r="G24" s="482"/>
      <c r="H24" s="431"/>
      <c r="I24" s="461"/>
      <c r="J24" s="462"/>
      <c r="K24" s="470"/>
      <c r="L24" s="464"/>
    </row>
    <row r="25" spans="1:12" x14ac:dyDescent="0.25">
      <c r="A25" s="483"/>
      <c r="B25" s="575" t="s">
        <v>703</v>
      </c>
      <c r="C25" s="484" t="s">
        <v>68</v>
      </c>
      <c r="D25" s="409">
        <f>+D24*D23</f>
        <v>210.10151224999996</v>
      </c>
      <c r="E25" s="409">
        <f>+E24*E23</f>
        <v>214.43110399999998</v>
      </c>
      <c r="F25" s="409">
        <f>+F24*F23</f>
        <v>218.76040099999997</v>
      </c>
      <c r="G25" s="482"/>
      <c r="H25" s="431"/>
      <c r="I25" s="461"/>
      <c r="J25" s="462"/>
      <c r="K25" s="470"/>
      <c r="L25" s="464"/>
    </row>
    <row r="26" spans="1:12" s="492" customFormat="1" x14ac:dyDescent="0.25">
      <c r="A26" s="485"/>
      <c r="B26" s="390" t="s">
        <v>838</v>
      </c>
      <c r="C26" s="391" t="s">
        <v>124</v>
      </c>
      <c r="D26" s="412">
        <f>+D23+2*0.5+2*ABS(D3-D2)</f>
        <v>17.003499999999999</v>
      </c>
      <c r="E26" s="412">
        <f>+E23+2*0.5+2*ABS(E3-E2)</f>
        <v>17.352</v>
      </c>
      <c r="F26" s="412">
        <f>+F23+2*0.5+2*ABS(F3-F2)</f>
        <v>17.619</v>
      </c>
      <c r="G26" s="486"/>
      <c r="H26" s="487"/>
      <c r="I26" s="488"/>
      <c r="J26" s="489"/>
      <c r="K26" s="490"/>
      <c r="L26" s="491"/>
    </row>
    <row r="27" spans="1:12" s="492" customFormat="1" x14ac:dyDescent="0.25">
      <c r="A27" s="485"/>
      <c r="B27" s="390" t="s">
        <v>781</v>
      </c>
      <c r="C27" s="391" t="s">
        <v>124</v>
      </c>
      <c r="D27" s="412">
        <f>+D24+2*0.5+2*ABS(D3-D2)</f>
        <v>18.003499999999999</v>
      </c>
      <c r="E27" s="412">
        <f>+E24+2*0.5+2*ABS(E3-E2)</f>
        <v>18.352</v>
      </c>
      <c r="F27" s="412">
        <f>+F24+2*0.5+2*ABS(F3-F2)</f>
        <v>18.619</v>
      </c>
      <c r="G27" s="486"/>
      <c r="H27" s="487"/>
      <c r="I27" s="488"/>
      <c r="J27" s="489"/>
      <c r="K27" s="490"/>
      <c r="L27" s="491"/>
    </row>
    <row r="28" spans="1:12" x14ac:dyDescent="0.25">
      <c r="A28" s="483"/>
      <c r="B28" s="414" t="s">
        <v>783</v>
      </c>
      <c r="C28" s="415" t="s">
        <v>124</v>
      </c>
      <c r="D28" s="416">
        <f>+ROUND(D27*D26,2)</f>
        <v>306.12</v>
      </c>
      <c r="E28" s="416">
        <f>+ROUND(E27*E26,2)</f>
        <v>318.44</v>
      </c>
      <c r="F28" s="416">
        <f>+ROUND(F27*F26,2)</f>
        <v>328.05</v>
      </c>
      <c r="G28" s="482"/>
      <c r="H28" s="431"/>
      <c r="I28" s="461"/>
      <c r="J28" s="462"/>
      <c r="K28" s="470"/>
      <c r="L28" s="464"/>
    </row>
    <row r="29" spans="1:12" x14ac:dyDescent="0.25">
      <c r="A29" s="1192" t="s">
        <v>839</v>
      </c>
      <c r="B29" s="493" t="s">
        <v>840</v>
      </c>
      <c r="C29" s="494" t="s">
        <v>124</v>
      </c>
      <c r="D29" s="495">
        <f t="shared" ref="D29:F30" si="2">+D6+2*0.1</f>
        <v>6.2</v>
      </c>
      <c r="E29" s="495">
        <f t="shared" si="2"/>
        <v>6.2</v>
      </c>
      <c r="F29" s="495">
        <f t="shared" si="2"/>
        <v>6.2</v>
      </c>
      <c r="G29" s="496"/>
      <c r="H29" s="431"/>
      <c r="I29" s="461"/>
      <c r="J29" s="462"/>
      <c r="K29" s="470"/>
      <c r="L29" s="464"/>
    </row>
    <row r="30" spans="1:12" x14ac:dyDescent="0.25">
      <c r="A30" s="1191"/>
      <c r="B30" s="493" t="s">
        <v>841</v>
      </c>
      <c r="C30" s="494" t="s">
        <v>124</v>
      </c>
      <c r="D30" s="495">
        <f t="shared" si="2"/>
        <v>7.2</v>
      </c>
      <c r="E30" s="495">
        <f t="shared" si="2"/>
        <v>7.2</v>
      </c>
      <c r="F30" s="495">
        <f t="shared" si="2"/>
        <v>7.2</v>
      </c>
      <c r="G30" s="496"/>
      <c r="H30" s="431"/>
      <c r="I30" s="461"/>
      <c r="J30" s="462"/>
      <c r="K30" s="470"/>
      <c r="L30" s="464"/>
    </row>
    <row r="31" spans="1:12" x14ac:dyDescent="0.25">
      <c r="A31" s="1191"/>
      <c r="B31" s="493" t="s">
        <v>842</v>
      </c>
      <c r="C31" s="497" t="s">
        <v>124</v>
      </c>
      <c r="D31" s="495">
        <v>0.1</v>
      </c>
      <c r="E31" s="495">
        <v>0.1</v>
      </c>
      <c r="F31" s="495">
        <v>0.1</v>
      </c>
      <c r="G31" s="496"/>
      <c r="H31" s="431"/>
      <c r="I31" s="461"/>
      <c r="J31" s="462"/>
      <c r="K31" s="470"/>
      <c r="L31" s="464"/>
    </row>
    <row r="32" spans="1:12" x14ac:dyDescent="0.25">
      <c r="A32" s="1191"/>
      <c r="B32" s="479" t="s">
        <v>843</v>
      </c>
      <c r="C32" s="480" t="s">
        <v>68</v>
      </c>
      <c r="D32" s="481">
        <f>+ROUND(D29*D30*D31,2)</f>
        <v>4.46</v>
      </c>
      <c r="E32" s="481">
        <f>+ROUND(E29*E30*E31,2)</f>
        <v>4.46</v>
      </c>
      <c r="F32" s="481">
        <f>+ROUND(F29*F30*F31,2)</f>
        <v>4.46</v>
      </c>
      <c r="G32" s="482"/>
      <c r="H32" s="431"/>
      <c r="I32" s="461"/>
      <c r="J32" s="462"/>
      <c r="K32" s="470"/>
      <c r="L32" s="464"/>
    </row>
    <row r="33" spans="1:12" x14ac:dyDescent="0.25">
      <c r="A33" s="498">
        <v>13</v>
      </c>
      <c r="B33" s="493" t="s">
        <v>844</v>
      </c>
      <c r="C33" s="494" t="s">
        <v>124</v>
      </c>
      <c r="D33" s="495">
        <f>+ABS(D2-D10)</f>
        <v>65.369</v>
      </c>
      <c r="E33" s="495">
        <f>+ABS(E2-E10)</f>
        <v>61.468000000000004</v>
      </c>
      <c r="F33" s="495">
        <f>+ABS(F2-F10)</f>
        <v>61.566000000000003</v>
      </c>
      <c r="G33" s="496"/>
      <c r="H33" s="430"/>
      <c r="I33" s="499"/>
      <c r="J33" s="499"/>
      <c r="K33" s="500"/>
      <c r="L33" s="499"/>
    </row>
    <row r="34" spans="1:12" x14ac:dyDescent="0.25">
      <c r="A34" s="498">
        <v>14</v>
      </c>
      <c r="B34" s="493" t="s">
        <v>845</v>
      </c>
      <c r="C34" s="494" t="s">
        <v>124</v>
      </c>
      <c r="D34" s="495"/>
      <c r="E34" s="495"/>
      <c r="F34" s="495"/>
      <c r="G34" s="496"/>
      <c r="H34" s="430"/>
      <c r="I34" s="499"/>
      <c r="J34" s="499"/>
      <c r="K34" s="500"/>
      <c r="L34" s="499"/>
    </row>
    <row r="35" spans="1:12" x14ac:dyDescent="0.25">
      <c r="A35" s="498">
        <v>15</v>
      </c>
      <c r="B35" s="493" t="s">
        <v>846</v>
      </c>
      <c r="C35" s="494" t="s">
        <v>124</v>
      </c>
      <c r="D35" s="495"/>
      <c r="E35" s="495"/>
      <c r="F35" s="495"/>
      <c r="G35" s="496"/>
      <c r="H35" s="430"/>
      <c r="I35" s="499"/>
      <c r="J35" s="499"/>
      <c r="K35" s="500"/>
      <c r="L35" s="499"/>
    </row>
    <row r="36" spans="1:12" x14ac:dyDescent="0.25">
      <c r="A36" s="498">
        <v>16</v>
      </c>
      <c r="B36" s="493" t="s">
        <v>847</v>
      </c>
      <c r="C36" s="497" t="s">
        <v>124</v>
      </c>
      <c r="D36" s="495">
        <v>0</v>
      </c>
      <c r="E36" s="495">
        <v>0</v>
      </c>
      <c r="F36" s="495">
        <v>0</v>
      </c>
      <c r="G36" s="496"/>
      <c r="H36" s="430"/>
      <c r="I36" s="501"/>
      <c r="J36" s="501"/>
      <c r="K36" s="502"/>
      <c r="L36" s="499"/>
    </row>
    <row r="37" spans="1:12" x14ac:dyDescent="0.25">
      <c r="A37" s="498">
        <v>17</v>
      </c>
      <c r="B37" s="493" t="s">
        <v>848</v>
      </c>
      <c r="C37" s="497" t="s">
        <v>68</v>
      </c>
      <c r="D37" s="503">
        <f>(D17+2*0.75*(D2-D5+D31+0.4))*(D18+0.75*(D2-D5+D31+0.4))</f>
        <v>169.46685612499996</v>
      </c>
      <c r="E37" s="503">
        <f>(E17+2*0.75*(E2-E5+E31+0.4))*(E18+0.75*(E2-E5+E31+0.4))</f>
        <v>172.31475199999997</v>
      </c>
      <c r="F37" s="503">
        <f>(F17+2*0.75*(F2-F5+F31+0.4))*(F18+0.75*(F2-F5+F31+0.4))</f>
        <v>175.15560049999999</v>
      </c>
      <c r="G37" s="496"/>
      <c r="H37" s="430"/>
      <c r="I37" s="501"/>
      <c r="J37" s="501"/>
      <c r="K37" s="502"/>
      <c r="L37" s="499"/>
    </row>
    <row r="38" spans="1:12" x14ac:dyDescent="0.25">
      <c r="A38" s="498">
        <v>18</v>
      </c>
      <c r="B38" s="493" t="s">
        <v>849</v>
      </c>
      <c r="C38" s="497" t="s">
        <v>68</v>
      </c>
      <c r="D38" s="503">
        <f>(D17+2*0.75*(D8+D31+0.4))*(D18+0.75*(D8+D31+0.4))</f>
        <v>132.34625</v>
      </c>
      <c r="E38" s="503">
        <f>(E17+2*0.75*(E8+E31+0.4))*(E18+0.75*(E8+E31+0.4))</f>
        <v>132.34625</v>
      </c>
      <c r="F38" s="503">
        <f>(F17+2*0.75*(F8+F31+0.4))*(F18+0.75*(F8+F31+0.4))</f>
        <v>132.34625</v>
      </c>
      <c r="G38" s="496"/>
      <c r="H38" s="430"/>
      <c r="I38" s="501"/>
      <c r="J38" s="501"/>
      <c r="K38" s="502"/>
      <c r="L38" s="499"/>
    </row>
    <row r="39" spans="1:12" x14ac:dyDescent="0.25">
      <c r="A39" s="498">
        <v>19</v>
      </c>
      <c r="B39" s="493" t="s">
        <v>712</v>
      </c>
      <c r="C39" s="494" t="s">
        <v>124</v>
      </c>
      <c r="D39" s="495">
        <v>8</v>
      </c>
      <c r="E39" s="495">
        <v>8</v>
      </c>
      <c r="F39" s="495">
        <v>8</v>
      </c>
      <c r="G39" s="496">
        <f>+E39</f>
        <v>8</v>
      </c>
      <c r="H39" s="430"/>
      <c r="I39" s="501"/>
      <c r="J39" s="501"/>
      <c r="K39" s="502"/>
      <c r="L39" s="499"/>
    </row>
    <row r="40" spans="1:12" x14ac:dyDescent="0.25">
      <c r="A40" s="498">
        <v>20</v>
      </c>
      <c r="B40" s="493" t="s">
        <v>850</v>
      </c>
      <c r="C40" s="497" t="s">
        <v>68</v>
      </c>
      <c r="D40" s="504">
        <v>0.3</v>
      </c>
      <c r="E40" s="504">
        <v>0.3</v>
      </c>
      <c r="F40" s="504">
        <v>0.3</v>
      </c>
      <c r="G40" s="505"/>
      <c r="H40" s="430"/>
      <c r="I40" s="383"/>
      <c r="J40" s="501"/>
      <c r="K40" s="502"/>
      <c r="L40" s="499"/>
    </row>
    <row r="41" spans="1:12" x14ac:dyDescent="0.25">
      <c r="A41" s="498">
        <v>21</v>
      </c>
      <c r="B41" s="493" t="s">
        <v>851</v>
      </c>
      <c r="C41" s="497" t="s">
        <v>124</v>
      </c>
      <c r="D41" s="504">
        <f>(D6+2*0.9+D7+2*0.9)*2</f>
        <v>33.200000000000003</v>
      </c>
      <c r="E41" s="504">
        <f>(E6+2*0.9+E7+2*0.9)*2</f>
        <v>33.200000000000003</v>
      </c>
      <c r="F41" s="504">
        <f>(F6+2*0.9+F7+2*0.9)*2</f>
        <v>33.200000000000003</v>
      </c>
      <c r="G41" s="505"/>
      <c r="H41" s="430"/>
      <c r="I41" s="383"/>
      <c r="J41" s="501"/>
      <c r="K41" s="502"/>
      <c r="L41" s="499"/>
    </row>
    <row r="42" spans="1:12" ht="15.75" x14ac:dyDescent="0.25">
      <c r="A42" s="498">
        <v>22</v>
      </c>
      <c r="B42" s="506" t="s">
        <v>852</v>
      </c>
      <c r="C42" s="507" t="s">
        <v>124</v>
      </c>
      <c r="D42" s="495">
        <v>0</v>
      </c>
      <c r="E42" s="495">
        <v>0</v>
      </c>
      <c r="F42" s="495">
        <v>0</v>
      </c>
      <c r="G42" s="467">
        <f>+E42</f>
        <v>0</v>
      </c>
      <c r="H42" s="508"/>
      <c r="I42" s="383"/>
      <c r="J42" s="501"/>
      <c r="K42" s="502"/>
      <c r="L42" s="499"/>
    </row>
    <row r="43" spans="1:12" ht="15.75" x14ac:dyDescent="0.25">
      <c r="A43" s="1190">
        <v>23</v>
      </c>
      <c r="B43" s="509" t="s">
        <v>708</v>
      </c>
      <c r="C43" s="510" t="s">
        <v>60</v>
      </c>
      <c r="D43" s="468">
        <v>0</v>
      </c>
      <c r="E43" s="468">
        <v>0</v>
      </c>
      <c r="F43" s="468">
        <v>0</v>
      </c>
      <c r="G43" s="467" t="s">
        <v>853</v>
      </c>
      <c r="H43" s="508"/>
      <c r="I43" s="383"/>
      <c r="J43" s="501"/>
      <c r="K43" s="502"/>
      <c r="L43" s="499"/>
    </row>
    <row r="44" spans="1:12" ht="15.75" x14ac:dyDescent="0.25">
      <c r="A44" s="1190"/>
      <c r="B44" s="509" t="s">
        <v>854</v>
      </c>
      <c r="C44" s="510" t="s">
        <v>124</v>
      </c>
      <c r="D44" s="468">
        <v>0</v>
      </c>
      <c r="E44" s="468">
        <v>0</v>
      </c>
      <c r="F44" s="468">
        <v>0</v>
      </c>
      <c r="G44" s="440">
        <f>+E44</f>
        <v>0</v>
      </c>
      <c r="H44" s="508"/>
      <c r="I44" s="383"/>
      <c r="J44" s="501"/>
      <c r="K44" s="502"/>
      <c r="L44" s="499"/>
    </row>
    <row r="45" spans="1:12" ht="15.75" x14ac:dyDescent="0.25">
      <c r="A45" s="1190"/>
      <c r="B45" s="477" t="s">
        <v>855</v>
      </c>
      <c r="C45" s="478" t="s">
        <v>856</v>
      </c>
      <c r="D45" s="468">
        <v>7.3999999999999996E-2</v>
      </c>
      <c r="E45" s="468">
        <v>7.3999999999999996E-2</v>
      </c>
      <c r="F45" s="468">
        <v>7.3999999999999996E-2</v>
      </c>
      <c r="G45" s="440">
        <f>+E45</f>
        <v>7.3999999999999996E-2</v>
      </c>
      <c r="H45" s="508"/>
      <c r="I45" s="383"/>
      <c r="J45" s="499"/>
      <c r="K45" s="500"/>
      <c r="L45" s="499"/>
    </row>
    <row r="46" spans="1:12" ht="15.75" x14ac:dyDescent="0.25">
      <c r="A46" s="1190"/>
      <c r="B46" s="477" t="s">
        <v>857</v>
      </c>
      <c r="C46" s="478" t="s">
        <v>124</v>
      </c>
      <c r="D46" s="468">
        <v>0.36</v>
      </c>
      <c r="E46" s="468">
        <v>0.36</v>
      </c>
      <c r="F46" s="468">
        <v>0.36</v>
      </c>
      <c r="G46" s="440"/>
      <c r="H46" s="508"/>
      <c r="I46" s="383"/>
      <c r="J46" s="499"/>
      <c r="K46" s="500"/>
      <c r="L46" s="499"/>
    </row>
    <row r="47" spans="1:12" ht="15.75" x14ac:dyDescent="0.25">
      <c r="A47" s="1190">
        <v>24</v>
      </c>
      <c r="B47" s="509" t="s">
        <v>858</v>
      </c>
      <c r="C47" s="510" t="s">
        <v>60</v>
      </c>
      <c r="D47" s="468">
        <v>0</v>
      </c>
      <c r="E47" s="468">
        <v>0</v>
      </c>
      <c r="F47" s="468">
        <v>0</v>
      </c>
      <c r="G47" s="467">
        <f>+SUM(D47:E47)</f>
        <v>0</v>
      </c>
      <c r="H47" s="508"/>
      <c r="I47" s="383"/>
      <c r="J47" s="499"/>
      <c r="K47" s="500"/>
      <c r="L47" s="499"/>
    </row>
    <row r="48" spans="1:12" ht="15.75" x14ac:dyDescent="0.25">
      <c r="A48" s="1190"/>
      <c r="B48" s="509" t="s">
        <v>859</v>
      </c>
      <c r="C48" s="510" t="s">
        <v>124</v>
      </c>
      <c r="D48" s="468">
        <v>0</v>
      </c>
      <c r="E48" s="468">
        <v>0</v>
      </c>
      <c r="F48" s="468">
        <v>0</v>
      </c>
      <c r="G48" s="440">
        <f t="shared" ref="G48:G53" si="3">+E48</f>
        <v>0</v>
      </c>
      <c r="H48" s="508"/>
      <c r="I48" s="383"/>
      <c r="J48" s="499"/>
      <c r="K48" s="500"/>
      <c r="L48" s="499"/>
    </row>
    <row r="49" spans="1:12" x14ac:dyDescent="0.25">
      <c r="A49" s="1190"/>
      <c r="B49" s="477" t="s">
        <v>860</v>
      </c>
      <c r="C49" s="478" t="s">
        <v>856</v>
      </c>
      <c r="D49" s="511">
        <f>39.2*2/1000</f>
        <v>7.8400000000000011E-2</v>
      </c>
      <c r="E49" s="511">
        <f>39.2*2/1000</f>
        <v>7.8400000000000011E-2</v>
      </c>
      <c r="F49" s="511">
        <f>39.2*2/1000</f>
        <v>7.8400000000000011E-2</v>
      </c>
      <c r="G49" s="512">
        <f t="shared" si="3"/>
        <v>7.8400000000000011E-2</v>
      </c>
      <c r="H49" s="430"/>
      <c r="I49" s="383"/>
      <c r="J49" s="499"/>
      <c r="K49" s="500"/>
      <c r="L49" s="499"/>
    </row>
    <row r="50" spans="1:12" x14ac:dyDescent="0.25">
      <c r="A50" s="1190">
        <v>25</v>
      </c>
      <c r="B50" s="509" t="s">
        <v>861</v>
      </c>
      <c r="C50" s="510" t="s">
        <v>124</v>
      </c>
      <c r="D50" s="468">
        <v>0</v>
      </c>
      <c r="E50" s="468">
        <v>0</v>
      </c>
      <c r="F50" s="468">
        <v>0</v>
      </c>
      <c r="G50" s="467">
        <f t="shared" si="3"/>
        <v>0</v>
      </c>
      <c r="H50" s="430"/>
      <c r="I50" s="383"/>
      <c r="J50" s="499"/>
      <c r="K50" s="500"/>
      <c r="L50" s="499"/>
    </row>
    <row r="51" spans="1:12" x14ac:dyDescent="0.25">
      <c r="A51" s="1190"/>
      <c r="B51" s="477" t="s">
        <v>862</v>
      </c>
      <c r="C51" s="478" t="s">
        <v>856</v>
      </c>
      <c r="D51" s="511">
        <f>39.2*2/1000</f>
        <v>7.8400000000000011E-2</v>
      </c>
      <c r="E51" s="511">
        <f>39.2*2/1000</f>
        <v>7.8400000000000011E-2</v>
      </c>
      <c r="F51" s="511">
        <f>39.2*2/1000</f>
        <v>7.8400000000000011E-2</v>
      </c>
      <c r="G51" s="512">
        <f t="shared" si="3"/>
        <v>7.8400000000000011E-2</v>
      </c>
      <c r="H51" s="430"/>
      <c r="I51" s="383"/>
      <c r="J51" s="499"/>
      <c r="K51" s="500"/>
      <c r="L51" s="499"/>
    </row>
    <row r="52" spans="1:12" x14ac:dyDescent="0.25">
      <c r="A52" s="1196">
        <v>26</v>
      </c>
      <c r="B52" s="509" t="s">
        <v>863</v>
      </c>
      <c r="C52" s="510" t="s">
        <v>124</v>
      </c>
      <c r="D52" s="468">
        <v>0</v>
      </c>
      <c r="E52" s="468">
        <v>0</v>
      </c>
      <c r="F52" s="468">
        <v>0</v>
      </c>
      <c r="G52" s="467">
        <f t="shared" si="3"/>
        <v>0</v>
      </c>
      <c r="H52" s="430"/>
      <c r="I52" s="383"/>
      <c r="J52" s="499"/>
      <c r="K52" s="500"/>
      <c r="L52" s="499"/>
    </row>
    <row r="53" spans="1:12" ht="15.75" thickBot="1" x14ac:dyDescent="0.3">
      <c r="A53" s="1197"/>
      <c r="B53" s="513" t="s">
        <v>864</v>
      </c>
      <c r="C53" s="514" t="s">
        <v>856</v>
      </c>
      <c r="D53" s="515">
        <f>39.2*2/1000</f>
        <v>7.8400000000000011E-2</v>
      </c>
      <c r="E53" s="515">
        <f>39.2*2/1000</f>
        <v>7.8400000000000011E-2</v>
      </c>
      <c r="F53" s="515">
        <f>39.2*2/1000</f>
        <v>7.8400000000000011E-2</v>
      </c>
      <c r="G53" s="516">
        <f t="shared" si="3"/>
        <v>7.8400000000000011E-2</v>
      </c>
      <c r="H53" s="430"/>
      <c r="I53" s="383"/>
      <c r="J53" s="499"/>
      <c r="K53" s="500"/>
      <c r="L53" s="499"/>
    </row>
    <row r="54" spans="1:12" ht="18.75" thickTop="1" thickBot="1" x14ac:dyDescent="0.35">
      <c r="A54" s="517" t="s">
        <v>865</v>
      </c>
      <c r="B54" s="517"/>
      <c r="C54" s="517"/>
      <c r="D54" s="518">
        <v>2.95</v>
      </c>
      <c r="E54" s="519">
        <v>1.67</v>
      </c>
      <c r="F54" s="519"/>
      <c r="G54" s="520" t="s">
        <v>866</v>
      </c>
      <c r="H54" s="521"/>
      <c r="I54" s="499"/>
      <c r="J54" s="499"/>
      <c r="K54" s="500"/>
      <c r="L54" s="499"/>
    </row>
    <row r="55" spans="1:12" ht="15.75" thickTop="1" x14ac:dyDescent="0.25">
      <c r="A55" s="1243" t="s">
        <v>867</v>
      </c>
      <c r="B55" s="1245" t="s">
        <v>547</v>
      </c>
      <c r="C55" s="1245" t="s">
        <v>715</v>
      </c>
      <c r="D55" s="1246" t="s">
        <v>555</v>
      </c>
      <c r="E55" s="1247"/>
      <c r="F55" s="1248"/>
      <c r="G55" s="1249" t="s">
        <v>674</v>
      </c>
      <c r="H55" s="1193" t="s">
        <v>613</v>
      </c>
      <c r="I55" s="499"/>
      <c r="J55" s="499"/>
      <c r="K55" s="500"/>
      <c r="L55" s="499"/>
    </row>
    <row r="56" spans="1:12" x14ac:dyDescent="0.25">
      <c r="A56" s="1244"/>
      <c r="B56" s="1199"/>
      <c r="C56" s="1199"/>
      <c r="D56" s="522" t="s">
        <v>868</v>
      </c>
      <c r="E56" s="522" t="s">
        <v>869</v>
      </c>
      <c r="F56" s="523" t="s">
        <v>870</v>
      </c>
      <c r="G56" s="1249"/>
      <c r="H56" s="1194"/>
      <c r="I56" s="499"/>
      <c r="J56" s="499"/>
      <c r="K56" s="500"/>
      <c r="L56" s="499"/>
    </row>
    <row r="57" spans="1:12" ht="15.95" customHeight="1" x14ac:dyDescent="0.25">
      <c r="A57" s="524">
        <v>1</v>
      </c>
      <c r="B57" s="525" t="s">
        <v>871</v>
      </c>
      <c r="C57" s="526" t="s">
        <v>10</v>
      </c>
      <c r="D57" s="527">
        <f>+ROUND(1/3*ABS(D2-D3)*(D25+D28+SQRT(D25*D28))-2.39*D26,2)</f>
        <v>215.97</v>
      </c>
      <c r="E57" s="527">
        <f>+ROUND(1/3*ABS(E2-E3)*(E25+E28+SQRT(E25*E28))-2.68*E26,2)</f>
        <v>244.7</v>
      </c>
      <c r="F57" s="528">
        <f>+ROUND(1/3*ABS(F2-F3)*(F25+F28+SQRT(F25*F28))-5.5*F26,2)</f>
        <v>218.11</v>
      </c>
      <c r="G57" s="529">
        <f>+SUM(D57:E57)</f>
        <v>460.66999999999996</v>
      </c>
      <c r="H57" s="530"/>
      <c r="I57" s="499"/>
      <c r="J57" s="499"/>
      <c r="K57" s="500"/>
      <c r="L57" s="499"/>
    </row>
    <row r="58" spans="1:12" ht="15.95" customHeight="1" x14ac:dyDescent="0.25">
      <c r="A58" s="524">
        <v>2</v>
      </c>
      <c r="B58" s="525" t="s">
        <v>872</v>
      </c>
      <c r="C58" s="526"/>
      <c r="D58" s="531"/>
      <c r="E58" s="531"/>
      <c r="F58" s="532"/>
      <c r="G58" s="529"/>
      <c r="H58" s="530"/>
      <c r="I58" s="499"/>
      <c r="J58" s="499"/>
      <c r="K58" s="500"/>
      <c r="L58" s="499"/>
    </row>
    <row r="59" spans="1:12" ht="30.75" customHeight="1" x14ac:dyDescent="0.25">
      <c r="A59" s="524" t="s">
        <v>720</v>
      </c>
      <c r="B59" s="533" t="s">
        <v>873</v>
      </c>
      <c r="C59" s="534" t="s">
        <v>874</v>
      </c>
      <c r="D59" s="535" t="str">
        <f>1&amp;"/"&amp;ROUND(PI()*(0.66^2-0.65^2)*8*7.85,2)</f>
        <v>1/2,58</v>
      </c>
      <c r="E59" s="535" t="str">
        <f>1&amp;"/"&amp;ROUND(PI()*(0.66^2-0.65^2)*8*7.85,2)</f>
        <v>1/2,58</v>
      </c>
      <c r="F59" s="536" t="str">
        <f>1&amp;"/"&amp;ROUND(PI()*(0.66^2-0.65^2)*8*7.85,2)</f>
        <v>1/2,58</v>
      </c>
      <c r="G59" s="537" t="str">
        <f>+D59</f>
        <v>1/2,58</v>
      </c>
      <c r="H59" s="538"/>
      <c r="I59" s="499"/>
      <c r="J59" s="499"/>
      <c r="K59" s="500"/>
      <c r="L59" s="499"/>
    </row>
    <row r="60" spans="1:12" ht="15.95" customHeight="1" x14ac:dyDescent="0.25">
      <c r="A60" s="524" t="s">
        <v>720</v>
      </c>
      <c r="B60" s="525" t="s">
        <v>875</v>
      </c>
      <c r="C60" s="522" t="s">
        <v>725</v>
      </c>
      <c r="D60" s="539" t="str">
        <f>D11&amp;"/"&amp;D11*D39</f>
        <v>4/32</v>
      </c>
      <c r="E60" s="539" t="str">
        <f>E11&amp;"/"&amp;E11*E39</f>
        <v>4/32</v>
      </c>
      <c r="F60" s="540" t="str">
        <f>F11&amp;"/"&amp;F11*F39</f>
        <v>4/32</v>
      </c>
      <c r="G60" s="541" t="str">
        <f>G11&amp;"/"&amp;G11*G39</f>
        <v>8/64</v>
      </c>
      <c r="H60" s="538"/>
      <c r="I60" s="499"/>
      <c r="J60" s="499"/>
      <c r="K60" s="500"/>
      <c r="L60" s="499"/>
    </row>
    <row r="61" spans="1:12" ht="15.95" customHeight="1" x14ac:dyDescent="0.25">
      <c r="A61" s="524" t="s">
        <v>720</v>
      </c>
      <c r="B61" s="542" t="s">
        <v>876</v>
      </c>
      <c r="C61" s="522" t="s">
        <v>124</v>
      </c>
      <c r="D61" s="539">
        <f>+ROUND(D11*D33,2)</f>
        <v>261.48</v>
      </c>
      <c r="E61" s="539">
        <f>+ROUND(E11*E33,2)</f>
        <v>245.87</v>
      </c>
      <c r="F61" s="540">
        <f>+ROUND(F11*F33,2)</f>
        <v>246.26</v>
      </c>
      <c r="G61" s="541">
        <f>+SUM(D61:E61)</f>
        <v>507.35</v>
      </c>
      <c r="H61" s="543"/>
      <c r="I61" s="499"/>
      <c r="J61" s="499"/>
      <c r="K61" s="500"/>
      <c r="L61" s="499"/>
    </row>
    <row r="62" spans="1:12" ht="15.95" customHeight="1" x14ac:dyDescent="0.25">
      <c r="A62" s="524" t="s">
        <v>720</v>
      </c>
      <c r="B62" s="542" t="s">
        <v>877</v>
      </c>
      <c r="C62" s="522" t="s">
        <v>10</v>
      </c>
      <c r="D62" s="539">
        <f>+ROUND(D61*PI()*0.6^2,2)</f>
        <v>295.73</v>
      </c>
      <c r="E62" s="539">
        <f>+ROUND(E61*PI()*0.6^2,2)</f>
        <v>278.07</v>
      </c>
      <c r="F62" s="540">
        <f>+ROUND(F61*PI()*0.6^2,2)</f>
        <v>278.51</v>
      </c>
      <c r="G62" s="541">
        <f>+SUM(D62:E62)</f>
        <v>573.79999999999995</v>
      </c>
      <c r="H62" s="543"/>
      <c r="I62" s="499"/>
      <c r="J62" s="499"/>
      <c r="K62" s="500"/>
      <c r="L62" s="499"/>
    </row>
    <row r="63" spans="1:12" ht="15.95" hidden="1" customHeight="1" x14ac:dyDescent="0.25">
      <c r="A63" s="524" t="s">
        <v>720</v>
      </c>
      <c r="B63" s="542" t="s">
        <v>878</v>
      </c>
      <c r="C63" s="522" t="s">
        <v>124</v>
      </c>
      <c r="D63" s="539">
        <f>+ROUND($D$11*D35,2)</f>
        <v>0</v>
      </c>
      <c r="E63" s="539">
        <f>+ROUND($D$11*E35,2)</f>
        <v>0</v>
      </c>
      <c r="F63" s="540">
        <f>+ROUND($D$11*F35,2)</f>
        <v>0</v>
      </c>
      <c r="G63" s="541">
        <f>+SUM(D63:E63)</f>
        <v>0</v>
      </c>
      <c r="H63" s="543"/>
      <c r="I63" s="499"/>
      <c r="J63" s="499"/>
      <c r="K63" s="500"/>
      <c r="L63" s="499"/>
    </row>
    <row r="64" spans="1:12" ht="15.95" customHeight="1" x14ac:dyDescent="0.25">
      <c r="A64" s="524" t="s">
        <v>720</v>
      </c>
      <c r="B64" s="525" t="s">
        <v>727</v>
      </c>
      <c r="C64" s="522" t="s">
        <v>40</v>
      </c>
      <c r="D64" s="544" t="str">
        <f>1&amp;"/"&amp;1*1</f>
        <v>1/1</v>
      </c>
      <c r="E64" s="544"/>
      <c r="F64" s="545" t="str">
        <f>1&amp;"/"&amp;1*1</f>
        <v>1/1</v>
      </c>
      <c r="G64" s="546" t="str">
        <f>2&amp;"/"&amp;2*1</f>
        <v>2/2</v>
      </c>
      <c r="H64" s="543"/>
      <c r="I64" s="499"/>
      <c r="J64" s="499"/>
      <c r="K64" s="500"/>
      <c r="L64" s="499"/>
    </row>
    <row r="65" spans="1:12" ht="15.95" customHeight="1" x14ac:dyDescent="0.25">
      <c r="A65" s="524" t="s">
        <v>720</v>
      </c>
      <c r="B65" s="525" t="s">
        <v>879</v>
      </c>
      <c r="C65" s="522" t="s">
        <v>40</v>
      </c>
      <c r="D65" s="371" t="str">
        <f>D11&amp;"/"&amp;D11*(D9+1.15)</f>
        <v>4/252,6</v>
      </c>
      <c r="E65" s="371" t="str">
        <f>E11&amp;"/"&amp;E11*(E9+1.15)</f>
        <v>4/236,6</v>
      </c>
      <c r="F65" s="418" t="str">
        <f>F11&amp;"/"&amp;F11*(F9+1.15)</f>
        <v>4/236,6</v>
      </c>
      <c r="G65" s="547" t="str">
        <f>D11+E11&amp;"/"&amp;D11*(D9+1.15)+E11*(E9+1.15)</f>
        <v>8/489,2</v>
      </c>
      <c r="H65" s="543"/>
      <c r="I65" s="499"/>
      <c r="J65" s="499"/>
      <c r="K65" s="500"/>
      <c r="L65" s="499"/>
    </row>
    <row r="66" spans="1:12" ht="15.95" customHeight="1" x14ac:dyDescent="0.25">
      <c r="A66" s="524" t="s">
        <v>720</v>
      </c>
      <c r="B66" s="525" t="s">
        <v>880</v>
      </c>
      <c r="C66" s="522" t="s">
        <v>10</v>
      </c>
      <c r="D66" s="371">
        <f>ROUND(PI()*0.6^2*1*D11,2)</f>
        <v>4.5199999999999996</v>
      </c>
      <c r="E66" s="371">
        <f>ROUND(PI()*0.6^2*1*E11,2)</f>
        <v>4.5199999999999996</v>
      </c>
      <c r="F66" s="418">
        <f>ROUND(PI()*0.6^2*1*F11,2)</f>
        <v>4.5199999999999996</v>
      </c>
      <c r="G66" s="541">
        <f>+SUM(D66:E66)</f>
        <v>9.0399999999999991</v>
      </c>
      <c r="H66" s="543"/>
      <c r="I66" s="499"/>
      <c r="J66" s="499"/>
      <c r="K66" s="500"/>
      <c r="L66" s="499"/>
    </row>
    <row r="67" spans="1:12" ht="15.95" customHeight="1" x14ac:dyDescent="0.25">
      <c r="A67" s="524" t="s">
        <v>720</v>
      </c>
      <c r="B67" s="525" t="s">
        <v>732</v>
      </c>
      <c r="C67" s="522" t="s">
        <v>137</v>
      </c>
      <c r="D67" s="371"/>
      <c r="E67" s="371">
        <v>1</v>
      </c>
      <c r="F67" s="418"/>
      <c r="G67" s="541">
        <f>+SUM(D67:E67)</f>
        <v>1</v>
      </c>
      <c r="H67" s="543"/>
      <c r="I67" s="499"/>
      <c r="J67" s="499"/>
      <c r="K67" s="500"/>
      <c r="L67" s="499"/>
    </row>
    <row r="68" spans="1:12" ht="15.95" customHeight="1" x14ac:dyDescent="0.25">
      <c r="A68" s="524" t="s">
        <v>720</v>
      </c>
      <c r="B68" s="525" t="s">
        <v>881</v>
      </c>
      <c r="C68" s="522" t="s">
        <v>10</v>
      </c>
      <c r="D68" s="371">
        <f>ROUND(0.6^2*PI()*(D2-D10+0.3)*D11,2)</f>
        <v>297.08</v>
      </c>
      <c r="E68" s="371">
        <f>ROUND(0.6^2*PI()*(E2-E10+0.3)*E11,2)</f>
        <v>279.43</v>
      </c>
      <c r="F68" s="418">
        <f>ROUND(0.6^2*PI()*(F2-F10+0.3)*F11,2)</f>
        <v>279.88</v>
      </c>
      <c r="G68" s="541">
        <f>+SUM(D68:E68)</f>
        <v>576.51</v>
      </c>
      <c r="H68" s="543"/>
      <c r="I68" s="499"/>
      <c r="J68" s="499"/>
      <c r="K68" s="500"/>
      <c r="L68" s="499"/>
    </row>
    <row r="69" spans="1:12" ht="15.95" customHeight="1" x14ac:dyDescent="0.25">
      <c r="A69" s="524">
        <v>3</v>
      </c>
      <c r="B69" s="525" t="s">
        <v>882</v>
      </c>
      <c r="C69" s="522"/>
      <c r="D69" s="371"/>
      <c r="E69" s="371"/>
      <c r="F69" s="418"/>
      <c r="G69" s="541"/>
      <c r="H69" s="543"/>
      <c r="I69" s="499"/>
      <c r="J69" s="499"/>
      <c r="K69" s="500"/>
      <c r="L69" s="499"/>
    </row>
    <row r="70" spans="1:12" ht="15.95" customHeight="1" x14ac:dyDescent="0.25">
      <c r="A70" s="524" t="s">
        <v>720</v>
      </c>
      <c r="B70" s="379" t="s">
        <v>883</v>
      </c>
      <c r="C70" s="370" t="s">
        <v>10</v>
      </c>
      <c r="D70" s="371">
        <f>+ROUND(1/3*D15*(D19+D25+SQRT(D19*D25))-0.4*(D6+1)*(D7+1)-D11*PI()*0.6^2*(D2-D5+D31),2)</f>
        <v>492.53</v>
      </c>
      <c r="E70" s="371">
        <f>+ROUND(1/3*E15*(E19+E25+SQRT(E19*E25))-0.4*(E6+1)*(E7+1)-E11*PI()*0.6^2*(E2-E5+E31),2)</f>
        <v>513.09</v>
      </c>
      <c r="F70" s="418">
        <f>+ROUND(1/3*F15*(F19+F25+SQRT(F19*F25))-0.4*(F6+1)*(F7+1)-F11*PI()*0.6^2*(F2-F5+F31),2)</f>
        <v>533.87</v>
      </c>
      <c r="G70" s="541">
        <f t="shared" ref="G70:G77" si="4">+SUM(D70:E70)</f>
        <v>1005.62</v>
      </c>
      <c r="H70" s="543"/>
      <c r="I70" s="499"/>
      <c r="J70" s="499"/>
      <c r="K70" s="500"/>
      <c r="L70" s="499"/>
    </row>
    <row r="71" spans="1:12" ht="15.95" customHeight="1" x14ac:dyDescent="0.25">
      <c r="A71" s="524" t="s">
        <v>720</v>
      </c>
      <c r="B71" s="379" t="s">
        <v>884</v>
      </c>
      <c r="C71" s="370" t="s">
        <v>10</v>
      </c>
      <c r="D71" s="548">
        <f>+ROUND(D70-D6*D7*D8-D32-D57,2)</f>
        <v>188.1</v>
      </c>
      <c r="E71" s="548">
        <f>+ROUND(E70-E6*E7*E8-E32-E57,2)</f>
        <v>179.93</v>
      </c>
      <c r="F71" s="549">
        <f>+ROUND(F70-F6*F7*F8-F32-F57,2)</f>
        <v>227.3</v>
      </c>
      <c r="G71" s="541">
        <f t="shared" si="4"/>
        <v>368.03</v>
      </c>
      <c r="H71" s="543"/>
      <c r="I71" s="499"/>
      <c r="J71" s="499"/>
      <c r="K71" s="500"/>
      <c r="L71" s="499"/>
    </row>
    <row r="72" spans="1:12" ht="15.95" hidden="1" customHeight="1" x14ac:dyDescent="0.25">
      <c r="A72" s="524" t="s">
        <v>720</v>
      </c>
      <c r="B72" s="379" t="s">
        <v>885</v>
      </c>
      <c r="C72" s="376" t="s">
        <v>764</v>
      </c>
      <c r="D72" s="388" t="str">
        <f>D43&amp;"/"&amp;D43*D42&amp;"/"&amp;ROUND(D43*D42*D45,2)</f>
        <v>0/0/0</v>
      </c>
      <c r="E72" s="388" t="str">
        <f>E43&amp;"/"&amp;E43*E42&amp;"/"&amp;ROUND(E43*E42*E45,2)</f>
        <v>0/0/0</v>
      </c>
      <c r="F72" s="389" t="str">
        <f>F43&amp;"/"&amp;F43*F42&amp;"/"&amp;ROUND(F43*F42*F45,2)</f>
        <v>0/0/0</v>
      </c>
      <c r="G72" s="541">
        <f t="shared" si="4"/>
        <v>0</v>
      </c>
      <c r="H72" s="550"/>
      <c r="I72" s="499"/>
      <c r="J72" s="499"/>
      <c r="K72" s="500"/>
      <c r="L72" s="499"/>
    </row>
    <row r="73" spans="1:12" ht="15.95" hidden="1" customHeight="1" x14ac:dyDescent="0.25">
      <c r="A73" s="524" t="s">
        <v>720</v>
      </c>
      <c r="B73" s="379" t="s">
        <v>886</v>
      </c>
      <c r="C73" s="376" t="s">
        <v>40</v>
      </c>
      <c r="D73" s="388" t="str">
        <f>D43&amp;"/"&amp;ROUND(D43*D48,2)</f>
        <v>0/0</v>
      </c>
      <c r="E73" s="388" t="str">
        <f>E43&amp;"/"&amp;ROUND(E43*E48,2)</f>
        <v>0/0</v>
      </c>
      <c r="F73" s="389" t="str">
        <f>F43&amp;"/"&amp;ROUND(F43*F48,2)</f>
        <v>0/0</v>
      </c>
      <c r="G73" s="541">
        <f t="shared" si="4"/>
        <v>0</v>
      </c>
      <c r="H73" s="550"/>
      <c r="I73" s="499"/>
      <c r="J73" s="499"/>
      <c r="K73" s="500"/>
      <c r="L73" s="499"/>
    </row>
    <row r="74" spans="1:12" ht="15.95" hidden="1" customHeight="1" x14ac:dyDescent="0.25">
      <c r="A74" s="524" t="s">
        <v>720</v>
      </c>
      <c r="B74" s="379" t="s">
        <v>887</v>
      </c>
      <c r="C74" s="376" t="s">
        <v>764</v>
      </c>
      <c r="D74" s="388" t="str">
        <f>D47&amp;"/"&amp;D47*D42&amp;"/"&amp;ROUND(D47*D42*D49,2)</f>
        <v>0/0/0</v>
      </c>
      <c r="E74" s="388" t="str">
        <f>E47&amp;"/"&amp;E47*E42&amp;"/"&amp;ROUND(E47*E42*E49,2)</f>
        <v>0/0/0</v>
      </c>
      <c r="F74" s="389" t="str">
        <f>F47&amp;"/"&amp;F47*F42&amp;"/"&amp;ROUND(F47*F42*F49,2)</f>
        <v>0/0/0</v>
      </c>
      <c r="G74" s="541">
        <f t="shared" si="4"/>
        <v>0</v>
      </c>
      <c r="H74" s="550"/>
      <c r="I74" s="499"/>
      <c r="J74" s="499"/>
      <c r="K74" s="500"/>
      <c r="L74" s="499"/>
    </row>
    <row r="75" spans="1:12" ht="15.95" hidden="1" customHeight="1" x14ac:dyDescent="0.25">
      <c r="A75" s="524" t="s">
        <v>720</v>
      </c>
      <c r="B75" s="379" t="s">
        <v>888</v>
      </c>
      <c r="C75" s="376" t="s">
        <v>40</v>
      </c>
      <c r="D75" s="388" t="str">
        <f>D47&amp;"/"&amp;ROUND(D47*D48,2)</f>
        <v>0/0</v>
      </c>
      <c r="E75" s="388" t="str">
        <f>E47&amp;"/"&amp;ROUND(E47*E48,2)</f>
        <v>0/0</v>
      </c>
      <c r="F75" s="389" t="str">
        <f>F47&amp;"/"&amp;ROUND(F47*F48,2)</f>
        <v>0/0</v>
      </c>
      <c r="G75" s="541">
        <f t="shared" si="4"/>
        <v>0</v>
      </c>
      <c r="H75" s="550"/>
      <c r="I75" s="499"/>
      <c r="J75" s="499"/>
      <c r="K75" s="500"/>
      <c r="L75" s="499"/>
    </row>
    <row r="76" spans="1:12" ht="15.95" hidden="1" customHeight="1" x14ac:dyDescent="0.25">
      <c r="A76" s="524" t="s">
        <v>720</v>
      </c>
      <c r="B76" s="379" t="s">
        <v>889</v>
      </c>
      <c r="C76" s="376" t="s">
        <v>746</v>
      </c>
      <c r="D76" s="388" t="str">
        <f>(D50+D52)&amp;"/"&amp;ROUND((D50+D52)*D53,2)</f>
        <v>0/0</v>
      </c>
      <c r="E76" s="388" t="str">
        <f>(E50+E52)&amp;"/"&amp;ROUND((E50+E52)*E53,2)</f>
        <v>0/0</v>
      </c>
      <c r="F76" s="389" t="str">
        <f>(F50+F52)&amp;"/"&amp;ROUND((F50+F52)*F53,2)</f>
        <v>0/0</v>
      </c>
      <c r="G76" s="541">
        <f t="shared" si="4"/>
        <v>0</v>
      </c>
      <c r="H76" s="550"/>
      <c r="I76" s="499"/>
      <c r="J76" s="499"/>
      <c r="K76" s="500"/>
      <c r="L76" s="499"/>
    </row>
    <row r="77" spans="1:12" ht="15.95" hidden="1" customHeight="1" x14ac:dyDescent="0.25">
      <c r="A77" s="524" t="s">
        <v>720</v>
      </c>
      <c r="B77" s="379" t="s">
        <v>890</v>
      </c>
      <c r="C77" s="376" t="s">
        <v>10</v>
      </c>
      <c r="D77" s="388">
        <f>ROUND(D16*D19,2)</f>
        <v>0</v>
      </c>
      <c r="E77" s="388">
        <f>ROUND(E16*E19,2)</f>
        <v>0</v>
      </c>
      <c r="F77" s="389">
        <f>ROUND(F16*F19,2)</f>
        <v>0</v>
      </c>
      <c r="G77" s="541">
        <f t="shared" si="4"/>
        <v>0</v>
      </c>
      <c r="H77" s="551"/>
      <c r="I77" s="499"/>
      <c r="J77" s="499"/>
      <c r="K77" s="500"/>
      <c r="L77" s="499"/>
    </row>
    <row r="78" spans="1:12" ht="15.95" customHeight="1" x14ac:dyDescent="0.25">
      <c r="A78" s="524" t="s">
        <v>720</v>
      </c>
      <c r="B78" s="379" t="s">
        <v>891</v>
      </c>
      <c r="C78" s="522" t="s">
        <v>116</v>
      </c>
      <c r="D78" s="388">
        <f>+'[3]Khung chong be'!$I$14</f>
        <v>3</v>
      </c>
      <c r="E78" s="388">
        <f>+'[3]Khung chong be'!$I$14</f>
        <v>3</v>
      </c>
      <c r="F78" s="389">
        <f>+'[3]Khung chong be'!$I$14</f>
        <v>3</v>
      </c>
      <c r="G78" s="541">
        <f>+E78</f>
        <v>3</v>
      </c>
      <c r="H78" s="551"/>
      <c r="I78" s="499"/>
      <c r="J78" s="499"/>
      <c r="K78" s="500"/>
      <c r="L78" s="499"/>
    </row>
    <row r="79" spans="1:12" ht="15.95" hidden="1" customHeight="1" x14ac:dyDescent="0.25">
      <c r="A79" s="524" t="s">
        <v>720</v>
      </c>
      <c r="B79" s="379" t="s">
        <v>892</v>
      </c>
      <c r="C79" s="522" t="s">
        <v>893</v>
      </c>
      <c r="D79" s="388"/>
      <c r="E79" s="388"/>
      <c r="F79" s="389"/>
      <c r="G79" s="541">
        <f>+E79</f>
        <v>0</v>
      </c>
      <c r="H79" s="551"/>
      <c r="I79" s="499"/>
      <c r="J79" s="499"/>
      <c r="K79" s="500"/>
      <c r="L79" s="499"/>
    </row>
    <row r="80" spans="1:12" ht="15.95" customHeight="1" x14ac:dyDescent="0.25">
      <c r="A80" s="524" t="s">
        <v>720</v>
      </c>
      <c r="B80" s="525" t="s">
        <v>755</v>
      </c>
      <c r="C80" s="522" t="s">
        <v>10</v>
      </c>
      <c r="D80" s="388">
        <v>0.5</v>
      </c>
      <c r="E80" s="388">
        <v>0.5</v>
      </c>
      <c r="F80" s="389">
        <v>0.5</v>
      </c>
      <c r="G80" s="541">
        <f>+E80</f>
        <v>0.5</v>
      </c>
      <c r="H80" s="551"/>
      <c r="I80" s="499"/>
      <c r="J80" s="499"/>
      <c r="K80" s="500"/>
      <c r="L80" s="499"/>
    </row>
    <row r="81" spans="1:12" ht="15.95" customHeight="1" x14ac:dyDescent="0.25">
      <c r="A81" s="524" t="s">
        <v>720</v>
      </c>
      <c r="B81" s="379" t="s">
        <v>754</v>
      </c>
      <c r="C81" s="376" t="s">
        <v>127</v>
      </c>
      <c r="D81" s="539">
        <v>5</v>
      </c>
      <c r="E81" s="539">
        <v>5</v>
      </c>
      <c r="F81" s="540">
        <v>5</v>
      </c>
      <c r="G81" s="541">
        <f>+SUM(D81:E81)</f>
        <v>10</v>
      </c>
      <c r="H81" s="551"/>
      <c r="I81" s="499"/>
      <c r="J81" s="499"/>
      <c r="K81" s="500"/>
      <c r="L81" s="499"/>
    </row>
    <row r="82" spans="1:12" ht="15.95" customHeight="1" x14ac:dyDescent="0.25">
      <c r="A82" s="524">
        <v>4</v>
      </c>
      <c r="B82" s="525" t="s">
        <v>894</v>
      </c>
      <c r="C82" s="122"/>
      <c r="D82" s="207"/>
      <c r="E82" s="552"/>
      <c r="F82" s="553"/>
      <c r="G82" s="554"/>
      <c r="H82" s="551"/>
      <c r="I82" s="499"/>
      <c r="J82" s="499"/>
      <c r="K82" s="500"/>
      <c r="L82" s="499"/>
    </row>
    <row r="83" spans="1:12" ht="15.95" customHeight="1" x14ac:dyDescent="0.25">
      <c r="A83" s="524" t="s">
        <v>720</v>
      </c>
      <c r="B83" s="525" t="s">
        <v>895</v>
      </c>
      <c r="C83" s="522" t="s">
        <v>116</v>
      </c>
      <c r="D83" s="531">
        <f>+'[3]Khung chong than+xamu'!$I$9+'[3]Khung chong than+xamu'!Q13</f>
        <v>10.08</v>
      </c>
      <c r="E83" s="531">
        <f>+'[3]Khung chong than+xamu'!$I$9+'[3]Khung chong than+xamu'!R13</f>
        <v>11.100000000000001</v>
      </c>
      <c r="F83" s="532">
        <f>+'[3]Khung chong than+xamu'!$I$9+'[3]Khung chong than+xamu'!S13</f>
        <v>12.11</v>
      </c>
      <c r="G83" s="541">
        <f>+E83</f>
        <v>11.100000000000001</v>
      </c>
      <c r="H83" s="551"/>
      <c r="I83" s="499"/>
      <c r="J83" s="499"/>
      <c r="K83" s="500"/>
      <c r="L83" s="499"/>
    </row>
    <row r="84" spans="1:12" ht="15.95" customHeight="1" thickBot="1" x14ac:dyDescent="0.3">
      <c r="A84" s="555" t="s">
        <v>720</v>
      </c>
      <c r="B84" s="556" t="s">
        <v>896</v>
      </c>
      <c r="C84" s="557" t="s">
        <v>10</v>
      </c>
      <c r="D84" s="558">
        <v>1.6</v>
      </c>
      <c r="E84" s="558">
        <v>1.6</v>
      </c>
      <c r="F84" s="559">
        <v>1.6</v>
      </c>
      <c r="G84" s="560">
        <f>+E84</f>
        <v>1.6</v>
      </c>
      <c r="H84" s="561"/>
      <c r="I84" s="499"/>
      <c r="J84" s="1195">
        <f>88*0.075</f>
        <v>6.6</v>
      </c>
      <c r="K84" s="1195"/>
      <c r="L84" s="499"/>
    </row>
    <row r="85" spans="1:12" ht="15.75" hidden="1" thickBot="1" x14ac:dyDescent="0.3">
      <c r="A85" s="562" t="s">
        <v>720</v>
      </c>
      <c r="B85" s="563" t="s">
        <v>897</v>
      </c>
      <c r="C85" s="564" t="s">
        <v>10</v>
      </c>
      <c r="D85" s="565"/>
      <c r="E85" s="565"/>
      <c r="F85" s="566"/>
      <c r="G85" s="567">
        <f>+SUM(D85:E85)</f>
        <v>0</v>
      </c>
      <c r="H85" s="568"/>
      <c r="I85" s="499"/>
      <c r="J85" s="499"/>
      <c r="K85" s="500"/>
      <c r="L85" s="499"/>
    </row>
    <row r="86" spans="1:12" x14ac:dyDescent="0.25">
      <c r="A86" s="569"/>
      <c r="B86" s="570"/>
      <c r="C86" s="462"/>
      <c r="D86" s="571"/>
      <c r="E86" s="571"/>
      <c r="F86" s="571"/>
      <c r="G86" s="571"/>
      <c r="H86" s="446"/>
      <c r="I86" s="499"/>
      <c r="J86" s="499"/>
      <c r="K86" s="500"/>
      <c r="L86" s="499"/>
    </row>
    <row r="87" spans="1:12" x14ac:dyDescent="0.25">
      <c r="A87" s="500"/>
      <c r="B87" s="570" t="s">
        <v>898</v>
      </c>
      <c r="C87" s="500"/>
      <c r="D87" s="500"/>
      <c r="E87" s="572"/>
      <c r="F87" s="572"/>
      <c r="G87" s="500"/>
      <c r="H87" s="499"/>
      <c r="I87" s="499"/>
      <c r="J87" s="499"/>
      <c r="K87" s="500"/>
      <c r="L87" s="499"/>
    </row>
    <row r="88" spans="1:12" x14ac:dyDescent="0.25">
      <c r="A88" s="500"/>
      <c r="B88" s="573" t="s">
        <v>899</v>
      </c>
      <c r="C88" s="500"/>
      <c r="D88" s="500">
        <f>1300+10</f>
        <v>1310</v>
      </c>
      <c r="E88" s="572">
        <v>1300</v>
      </c>
      <c r="F88" s="572"/>
      <c r="G88" s="500"/>
      <c r="H88" s="499"/>
      <c r="I88" s="499"/>
      <c r="J88" s="499"/>
      <c r="K88" s="500"/>
      <c r="L88" s="499"/>
    </row>
    <row r="89" spans="1:12" x14ac:dyDescent="0.25">
      <c r="A89" s="500"/>
      <c r="B89" s="499" t="s">
        <v>900</v>
      </c>
      <c r="C89" s="500"/>
      <c r="D89" s="500">
        <f>+D88/2</f>
        <v>655</v>
      </c>
      <c r="E89" s="572">
        <f>+E88/2</f>
        <v>650</v>
      </c>
      <c r="F89" s="572"/>
      <c r="G89" s="500"/>
      <c r="H89" s="499"/>
      <c r="I89" s="499"/>
      <c r="J89" s="499"/>
      <c r="K89" s="500"/>
      <c r="L89" s="499"/>
    </row>
    <row r="90" spans="1:12" x14ac:dyDescent="0.25">
      <c r="A90" s="500"/>
      <c r="B90" s="573" t="s">
        <v>901</v>
      </c>
      <c r="C90" s="500"/>
      <c r="D90" s="500"/>
      <c r="E90" s="572"/>
      <c r="F90" s="572"/>
      <c r="G90" s="500"/>
      <c r="H90" s="499"/>
      <c r="I90" s="499"/>
      <c r="J90" s="499"/>
      <c r="K90" s="500"/>
      <c r="L90" s="499"/>
    </row>
    <row r="91" spans="1:12" x14ac:dyDescent="0.25">
      <c r="A91" s="499"/>
      <c r="B91" s="499"/>
      <c r="C91" s="499"/>
      <c r="D91" s="500"/>
      <c r="E91" s="572"/>
      <c r="F91" s="572"/>
      <c r="G91" s="500"/>
      <c r="H91" s="499"/>
      <c r="I91" s="499"/>
      <c r="J91" s="499"/>
      <c r="K91" s="499"/>
      <c r="L91" s="499"/>
    </row>
    <row r="94" spans="1:12" x14ac:dyDescent="0.25">
      <c r="D94" s="208">
        <v>1300</v>
      </c>
      <c r="E94" s="234">
        <f>+D94/1000/2</f>
        <v>0.65</v>
      </c>
    </row>
    <row r="95" spans="1:12" x14ac:dyDescent="0.25">
      <c r="D95" s="208">
        <f>1300+20</f>
        <v>1320</v>
      </c>
      <c r="E95" s="234">
        <f>+D95/1000/2</f>
        <v>0.66</v>
      </c>
    </row>
  </sheetData>
  <mergeCells count="14">
    <mergeCell ref="H55:H56"/>
    <mergeCell ref="J84:K84"/>
    <mergeCell ref="A52:A53"/>
    <mergeCell ref="A55:A56"/>
    <mergeCell ref="B55:B56"/>
    <mergeCell ref="C55:C56"/>
    <mergeCell ref="D55:F55"/>
    <mergeCell ref="G55:G56"/>
    <mergeCell ref="A50:A51"/>
    <mergeCell ref="A12:A14"/>
    <mergeCell ref="A17:A19"/>
    <mergeCell ref="A29:A32"/>
    <mergeCell ref="A43:A46"/>
    <mergeCell ref="A47:A49"/>
  </mergeCells>
  <hyperlinks>
    <hyperlink ref="N1" location="'Bảng dien giai KL hoan cong'!A1" display="Quay lai"/>
  </hyperlinks>
  <pageMargins left="0.7" right="0.7" top="0.75" bottom="0.75" header="0.3" footer="0.3"/>
  <pageSetup paperSize="256" scale="85" orientation="portrait" r:id="rId1"/>
  <colBreaks count="1" manualBreakCount="1">
    <brk id="12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view="pageBreakPreview" zoomScaleNormal="100" zoomScaleSheetLayoutView="100" workbookViewId="0">
      <selection activeCell="M57" sqref="M57"/>
    </sheetView>
  </sheetViews>
  <sheetFormatPr defaultRowHeight="16.5" x14ac:dyDescent="0.3"/>
  <cols>
    <col min="1" max="1" width="6.7109375" style="209" customWidth="1"/>
    <col min="2" max="2" width="10.42578125" style="209" customWidth="1"/>
    <col min="3" max="3" width="13.28515625" style="209" customWidth="1"/>
    <col min="4" max="4" width="16.85546875" style="209" customWidth="1"/>
    <col min="5" max="5" width="11.140625" style="209" customWidth="1"/>
    <col min="6" max="6" width="9.140625" style="209"/>
    <col min="7" max="7" width="11.5703125" style="209" customWidth="1"/>
    <col min="8" max="8" width="9.85546875" style="209" customWidth="1"/>
    <col min="9" max="9" width="12.28515625" style="209" customWidth="1"/>
    <col min="10" max="16384" width="9.140625" style="209"/>
  </cols>
  <sheetData>
    <row r="1" spans="1:11" ht="8.25" customHeight="1" x14ac:dyDescent="0.3"/>
    <row r="2" spans="1:11" x14ac:dyDescent="0.3">
      <c r="A2" s="1250" t="s">
        <v>587</v>
      </c>
      <c r="B2" s="1250"/>
      <c r="C2" s="1250"/>
      <c r="D2" s="1250"/>
      <c r="E2" s="1250"/>
      <c r="F2" s="1250"/>
      <c r="G2" s="1250"/>
      <c r="H2" s="1250"/>
      <c r="I2" s="1250"/>
    </row>
    <row r="3" spans="1:11" ht="6.75" customHeight="1" x14ac:dyDescent="0.3"/>
    <row r="4" spans="1:11" ht="49.5" x14ac:dyDescent="0.3">
      <c r="A4" s="1070" t="s">
        <v>377</v>
      </c>
      <c r="B4" s="1070" t="s">
        <v>384</v>
      </c>
      <c r="C4" s="1071" t="s">
        <v>442</v>
      </c>
      <c r="D4" s="1070" t="s">
        <v>427</v>
      </c>
      <c r="E4" s="1071" t="s">
        <v>443</v>
      </c>
      <c r="F4" s="1071" t="s">
        <v>444</v>
      </c>
      <c r="G4" s="1071" t="s">
        <v>445</v>
      </c>
      <c r="H4" s="1071" t="s">
        <v>446</v>
      </c>
      <c r="I4" s="1071" t="s">
        <v>447</v>
      </c>
      <c r="K4" s="210" t="s">
        <v>468</v>
      </c>
    </row>
    <row r="5" spans="1:11" x14ac:dyDescent="0.3">
      <c r="A5" s="211">
        <v>1</v>
      </c>
      <c r="B5" s="212" t="s">
        <v>428</v>
      </c>
      <c r="C5" s="212">
        <v>28</v>
      </c>
      <c r="D5" s="212" t="s">
        <v>437</v>
      </c>
      <c r="E5" s="212">
        <v>11425</v>
      </c>
      <c r="F5" s="212">
        <v>98</v>
      </c>
      <c r="G5" s="212">
        <f>E5*F5/1000</f>
        <v>1119.6500000000001</v>
      </c>
      <c r="H5" s="212">
        <f>VLOOKUP(TruT4!C5,'CKN T4 '!$M$5:$N$14,2,0)</f>
        <v>4.83</v>
      </c>
      <c r="I5" s="213">
        <f>G5*H5</f>
        <v>5407.9095000000007</v>
      </c>
    </row>
    <row r="6" spans="1:11" x14ac:dyDescent="0.3">
      <c r="A6" s="214">
        <v>2</v>
      </c>
      <c r="B6" s="215" t="s">
        <v>429</v>
      </c>
      <c r="C6" s="215">
        <v>28</v>
      </c>
      <c r="D6" s="215" t="s">
        <v>437</v>
      </c>
      <c r="E6" s="215">
        <v>7918</v>
      </c>
      <c r="F6" s="215">
        <v>146</v>
      </c>
      <c r="G6" s="215">
        <f t="shared" ref="G6:G13" si="0">E6*F6/1000</f>
        <v>1156.028</v>
      </c>
      <c r="H6" s="215">
        <f>VLOOKUP(TruT4!C6,'CKN T4 '!$M$5:$N$14,2,0)</f>
        <v>4.83</v>
      </c>
      <c r="I6" s="216">
        <f t="shared" ref="I6:I13" si="1">G6*H6</f>
        <v>5583.6152400000001</v>
      </c>
    </row>
    <row r="7" spans="1:11" x14ac:dyDescent="0.3">
      <c r="A7" s="214">
        <v>3</v>
      </c>
      <c r="B7" s="215" t="s">
        <v>430</v>
      </c>
      <c r="C7" s="215">
        <v>28</v>
      </c>
      <c r="D7" s="215" t="s">
        <v>437</v>
      </c>
      <c r="E7" s="215">
        <v>11425</v>
      </c>
      <c r="F7" s="215">
        <v>49</v>
      </c>
      <c r="G7" s="215">
        <f t="shared" si="0"/>
        <v>559.82500000000005</v>
      </c>
      <c r="H7" s="215">
        <f>VLOOKUP(TruT4!C7,'CKN T4 '!$M$5:$N$14,2,0)</f>
        <v>4.83</v>
      </c>
      <c r="I7" s="216">
        <f t="shared" si="1"/>
        <v>2703.9547500000003</v>
      </c>
    </row>
    <row r="8" spans="1:11" x14ac:dyDescent="0.3">
      <c r="A8" s="214">
        <v>4</v>
      </c>
      <c r="B8" s="215" t="s">
        <v>431</v>
      </c>
      <c r="C8" s="215">
        <v>28</v>
      </c>
      <c r="D8" s="215" t="s">
        <v>437</v>
      </c>
      <c r="E8" s="215">
        <v>7918</v>
      </c>
      <c r="F8" s="215">
        <v>73</v>
      </c>
      <c r="G8" s="215">
        <f t="shared" si="0"/>
        <v>578.01400000000001</v>
      </c>
      <c r="H8" s="215">
        <f>VLOOKUP(TruT4!C8,'CKN T4 '!$M$5:$N$14,2,0)</f>
        <v>4.83</v>
      </c>
      <c r="I8" s="216">
        <f t="shared" si="1"/>
        <v>2791.80762</v>
      </c>
    </row>
    <row r="9" spans="1:11" x14ac:dyDescent="0.3">
      <c r="A9" s="214">
        <v>5</v>
      </c>
      <c r="B9" s="215" t="s">
        <v>432</v>
      </c>
      <c r="C9" s="215">
        <v>16</v>
      </c>
      <c r="D9" s="215" t="s">
        <v>437</v>
      </c>
      <c r="E9" s="215">
        <v>10900</v>
      </c>
      <c r="F9" s="215">
        <v>26</v>
      </c>
      <c r="G9" s="215">
        <f t="shared" si="0"/>
        <v>283.39999999999998</v>
      </c>
      <c r="H9" s="215">
        <f>VLOOKUP(TruT4!C9,'CKN T4 '!$M$5:$N$14,2,0)</f>
        <v>1.58</v>
      </c>
      <c r="I9" s="216">
        <f t="shared" si="1"/>
        <v>447.77199999999999</v>
      </c>
    </row>
    <row r="10" spans="1:11" x14ac:dyDescent="0.3">
      <c r="A10" s="214">
        <v>6</v>
      </c>
      <c r="B10" s="215" t="s">
        <v>433</v>
      </c>
      <c r="C10" s="215">
        <v>16</v>
      </c>
      <c r="D10" s="215" t="s">
        <v>437</v>
      </c>
      <c r="E10" s="215">
        <v>7684</v>
      </c>
      <c r="F10" s="215">
        <v>26</v>
      </c>
      <c r="G10" s="215">
        <f t="shared" si="0"/>
        <v>199.78399999999999</v>
      </c>
      <c r="H10" s="215">
        <f>VLOOKUP(TruT4!C10,'CKN T4 '!$M$5:$N$14,2,0)</f>
        <v>1.58</v>
      </c>
      <c r="I10" s="216">
        <f t="shared" si="1"/>
        <v>315.65872000000002</v>
      </c>
    </row>
    <row r="11" spans="1:11" x14ac:dyDescent="0.3">
      <c r="A11" s="214">
        <v>7</v>
      </c>
      <c r="B11" s="215" t="s">
        <v>434</v>
      </c>
      <c r="C11" s="215">
        <v>18</v>
      </c>
      <c r="D11" s="215" t="s">
        <v>437</v>
      </c>
      <c r="E11" s="215">
        <v>2621</v>
      </c>
      <c r="F11" s="215">
        <v>171</v>
      </c>
      <c r="G11" s="215">
        <f t="shared" si="0"/>
        <v>448.19099999999997</v>
      </c>
      <c r="H11" s="215">
        <f>VLOOKUP(TruT4!C11,'CKN T4 '!$M$5:$N$14,2,0)</f>
        <v>2</v>
      </c>
      <c r="I11" s="216">
        <f t="shared" si="1"/>
        <v>896.38199999999995</v>
      </c>
    </row>
    <row r="12" spans="1:11" x14ac:dyDescent="0.3">
      <c r="A12" s="214">
        <v>8</v>
      </c>
      <c r="B12" s="215" t="s">
        <v>435</v>
      </c>
      <c r="C12" s="215">
        <v>16</v>
      </c>
      <c r="D12" s="215" t="s">
        <v>437</v>
      </c>
      <c r="E12" s="215">
        <v>2621</v>
      </c>
      <c r="F12" s="215">
        <v>98</v>
      </c>
      <c r="G12" s="215">
        <f t="shared" si="0"/>
        <v>256.858</v>
      </c>
      <c r="H12" s="215">
        <f>VLOOKUP(TruT4!C12,'CKN T4 '!$M$5:$N$14,2,0)</f>
        <v>1.58</v>
      </c>
      <c r="I12" s="216">
        <f t="shared" si="1"/>
        <v>405.83564000000001</v>
      </c>
    </row>
    <row r="13" spans="1:11" x14ac:dyDescent="0.3">
      <c r="A13" s="217">
        <v>9</v>
      </c>
      <c r="B13" s="218" t="s">
        <v>436</v>
      </c>
      <c r="C13" s="218">
        <v>16</v>
      </c>
      <c r="D13" s="218" t="s">
        <v>437</v>
      </c>
      <c r="E13" s="218">
        <v>2621</v>
      </c>
      <c r="F13" s="218">
        <v>146</v>
      </c>
      <c r="G13" s="218">
        <f t="shared" si="0"/>
        <v>382.666</v>
      </c>
      <c r="H13" s="218">
        <f>VLOOKUP(TruT4!C13,'CKN T4 '!$M$5:$N$14,2,0)</f>
        <v>1.58</v>
      </c>
      <c r="I13" s="219">
        <f t="shared" si="1"/>
        <v>604.61228000000006</v>
      </c>
    </row>
    <row r="14" spans="1:11" x14ac:dyDescent="0.3">
      <c r="B14" s="220"/>
      <c r="C14" s="220"/>
      <c r="D14" s="220"/>
      <c r="E14" s="220"/>
      <c r="F14" s="220"/>
      <c r="G14" s="220"/>
      <c r="H14" s="220"/>
      <c r="I14" s="221"/>
    </row>
    <row r="15" spans="1:11" x14ac:dyDescent="0.3">
      <c r="B15" s="1251" t="s">
        <v>377</v>
      </c>
      <c r="C15" s="1072" t="s">
        <v>378</v>
      </c>
      <c r="D15" s="1072" t="s">
        <v>386</v>
      </c>
      <c r="I15" s="222"/>
    </row>
    <row r="16" spans="1:11" x14ac:dyDescent="0.3">
      <c r="B16" s="1252"/>
      <c r="C16" s="1073" t="s">
        <v>556</v>
      </c>
      <c r="D16" s="1073" t="s">
        <v>589</v>
      </c>
      <c r="I16" s="222"/>
    </row>
    <row r="17" spans="1:9" x14ac:dyDescent="0.3">
      <c r="B17" s="212">
        <v>1</v>
      </c>
      <c r="C17" s="212">
        <v>16</v>
      </c>
      <c r="D17" s="1078">
        <f>SUMIF($C$5:$C$13,C17,$I$5:$I$13)/1000</f>
        <v>1.7738786400000002</v>
      </c>
      <c r="I17" s="222"/>
    </row>
    <row r="18" spans="1:9" x14ac:dyDescent="0.3">
      <c r="B18" s="215">
        <v>2</v>
      </c>
      <c r="C18" s="215">
        <v>18</v>
      </c>
      <c r="D18" s="1079">
        <f t="shared" ref="D18:D19" si="2">SUMIF($C$5:$C$13,C18,$I$5:$I$13)/1000</f>
        <v>0.8963819999999999</v>
      </c>
      <c r="I18" s="222"/>
    </row>
    <row r="19" spans="1:9" x14ac:dyDescent="0.3">
      <c r="B19" s="218">
        <v>3</v>
      </c>
      <c r="C19" s="218">
        <v>28</v>
      </c>
      <c r="D19" s="1080">
        <f t="shared" si="2"/>
        <v>16.48728711</v>
      </c>
      <c r="I19" s="222"/>
    </row>
    <row r="20" spans="1:9" x14ac:dyDescent="0.3">
      <c r="I20" s="222"/>
    </row>
    <row r="21" spans="1:9" x14ac:dyDescent="0.3">
      <c r="A21" s="1250" t="s">
        <v>588</v>
      </c>
      <c r="B21" s="1250"/>
      <c r="C21" s="1250"/>
      <c r="D21" s="1250"/>
      <c r="E21" s="1250"/>
      <c r="F21" s="1250"/>
      <c r="G21" s="1250"/>
      <c r="H21" s="1250"/>
      <c r="I21" s="1250"/>
    </row>
    <row r="22" spans="1:9" ht="7.5" customHeight="1" x14ac:dyDescent="0.3"/>
    <row r="23" spans="1:9" ht="49.5" x14ac:dyDescent="0.3">
      <c r="A23" s="1070" t="s">
        <v>377</v>
      </c>
      <c r="B23" s="1070" t="s">
        <v>384</v>
      </c>
      <c r="C23" s="1071" t="s">
        <v>442</v>
      </c>
      <c r="D23" s="1070" t="s">
        <v>427</v>
      </c>
      <c r="E23" s="1071" t="s">
        <v>443</v>
      </c>
      <c r="F23" s="1071" t="s">
        <v>444</v>
      </c>
      <c r="G23" s="1071" t="s">
        <v>445</v>
      </c>
      <c r="H23" s="1071" t="s">
        <v>446</v>
      </c>
      <c r="I23" s="1071" t="s">
        <v>447</v>
      </c>
    </row>
    <row r="24" spans="1:9" x14ac:dyDescent="0.3">
      <c r="A24" s="223">
        <v>1</v>
      </c>
      <c r="B24" s="223" t="s">
        <v>438</v>
      </c>
      <c r="C24" s="223">
        <v>32</v>
      </c>
      <c r="D24" s="223" t="s">
        <v>437</v>
      </c>
      <c r="E24" s="223">
        <v>11181</v>
      </c>
      <c r="F24" s="223">
        <v>180</v>
      </c>
      <c r="G24" s="223">
        <f>E24*F24/1000</f>
        <v>2012.58</v>
      </c>
      <c r="H24" s="223">
        <f>VLOOKUP(TruT4!C24,'CKN T4 '!$M$5:$N$14,2,0)</f>
        <v>6.31</v>
      </c>
      <c r="I24" s="224">
        <f t="shared" ref="I24:I27" si="3">G24*H24</f>
        <v>12699.379799999999</v>
      </c>
    </row>
    <row r="25" spans="1:9" x14ac:dyDescent="0.3">
      <c r="A25" s="225">
        <v>2</v>
      </c>
      <c r="B25" s="225" t="s">
        <v>439</v>
      </c>
      <c r="C25" s="225">
        <v>16</v>
      </c>
      <c r="D25" s="225" t="s">
        <v>437</v>
      </c>
      <c r="E25" s="225">
        <v>9515</v>
      </c>
      <c r="F25" s="225">
        <v>162</v>
      </c>
      <c r="G25" s="225">
        <f t="shared" ref="G25:G27" si="4">E25*F25/1000</f>
        <v>1541.43</v>
      </c>
      <c r="H25" s="225">
        <f>VLOOKUP(TruT4!C25,'CKN T4 '!$M$5:$N$14,2,0)</f>
        <v>1.58</v>
      </c>
      <c r="I25" s="226">
        <f t="shared" si="3"/>
        <v>2435.4594000000002</v>
      </c>
    </row>
    <row r="26" spans="1:9" x14ac:dyDescent="0.3">
      <c r="A26" s="225">
        <v>3</v>
      </c>
      <c r="B26" s="225" t="s">
        <v>440</v>
      </c>
      <c r="C26" s="225">
        <v>16</v>
      </c>
      <c r="D26" s="225" t="s">
        <v>437</v>
      </c>
      <c r="E26" s="225">
        <v>2049</v>
      </c>
      <c r="F26" s="225">
        <v>84</v>
      </c>
      <c r="G26" s="225">
        <f t="shared" si="4"/>
        <v>172.11600000000001</v>
      </c>
      <c r="H26" s="225">
        <f>VLOOKUP(TruT4!C26,'CKN T4 '!$M$5:$N$14,2,0)</f>
        <v>1.58</v>
      </c>
      <c r="I26" s="226">
        <f t="shared" si="3"/>
        <v>271.94328000000002</v>
      </c>
    </row>
    <row r="27" spans="1:9" x14ac:dyDescent="0.3">
      <c r="A27" s="227">
        <v>4</v>
      </c>
      <c r="B27" s="227" t="s">
        <v>441</v>
      </c>
      <c r="C27" s="227">
        <v>16</v>
      </c>
      <c r="D27" s="227" t="s">
        <v>437</v>
      </c>
      <c r="E27" s="227">
        <v>5747</v>
      </c>
      <c r="F27" s="227">
        <v>28</v>
      </c>
      <c r="G27" s="227">
        <f t="shared" si="4"/>
        <v>160.916</v>
      </c>
      <c r="H27" s="227">
        <f>VLOOKUP(TruT4!C27,'CKN T4 '!$M$5:$N$14,2,0)</f>
        <v>1.58</v>
      </c>
      <c r="I27" s="228">
        <f t="shared" si="3"/>
        <v>254.24728000000002</v>
      </c>
    </row>
    <row r="28" spans="1:9" x14ac:dyDescent="0.3">
      <c r="I28" s="222"/>
    </row>
    <row r="29" spans="1:9" x14ac:dyDescent="0.3">
      <c r="B29" s="1070" t="s">
        <v>377</v>
      </c>
      <c r="C29" s="1074" t="s">
        <v>378</v>
      </c>
      <c r="D29" s="1074" t="s">
        <v>386</v>
      </c>
      <c r="I29" s="222"/>
    </row>
    <row r="30" spans="1:9" x14ac:dyDescent="0.3">
      <c r="B30" s="212">
        <v>1</v>
      </c>
      <c r="C30" s="223">
        <v>16</v>
      </c>
      <c r="D30" s="232">
        <f>SUMIF($C$24:$C$27,C30,$I$24:$I$27)/1000</f>
        <v>2.9616499600000004</v>
      </c>
      <c r="I30" s="222"/>
    </row>
    <row r="31" spans="1:9" x14ac:dyDescent="0.3">
      <c r="B31" s="218">
        <v>2</v>
      </c>
      <c r="C31" s="227">
        <v>32</v>
      </c>
      <c r="D31" s="233">
        <f>SUMIF($C$24:$C$27,C31,$I$24:$I$27)/1000</f>
        <v>12.699379799999999</v>
      </c>
      <c r="I31" s="222"/>
    </row>
    <row r="32" spans="1:9" x14ac:dyDescent="0.3">
      <c r="I32" s="222"/>
    </row>
    <row r="33" spans="1:9" x14ac:dyDescent="0.3">
      <c r="A33" s="1250" t="s">
        <v>107</v>
      </c>
      <c r="B33" s="1250"/>
      <c r="C33" s="1250"/>
      <c r="D33" s="1250"/>
      <c r="E33" s="1250"/>
      <c r="F33" s="1250"/>
      <c r="G33" s="1250"/>
      <c r="H33" s="1250"/>
      <c r="I33" s="1250"/>
    </row>
    <row r="35" spans="1:9" ht="49.5" x14ac:dyDescent="0.3">
      <c r="A35" s="1070" t="s">
        <v>377</v>
      </c>
      <c r="B35" s="1070" t="s">
        <v>384</v>
      </c>
      <c r="C35" s="1071" t="s">
        <v>442</v>
      </c>
      <c r="D35" s="1070" t="s">
        <v>427</v>
      </c>
      <c r="E35" s="1071" t="s">
        <v>443</v>
      </c>
      <c r="F35" s="1071" t="s">
        <v>444</v>
      </c>
      <c r="G35" s="1071" t="s">
        <v>445</v>
      </c>
      <c r="H35" s="1071" t="s">
        <v>446</v>
      </c>
      <c r="I35" s="1071" t="s">
        <v>447</v>
      </c>
    </row>
    <row r="36" spans="1:9" x14ac:dyDescent="0.3">
      <c r="A36" s="212">
        <v>1</v>
      </c>
      <c r="B36" s="211" t="s">
        <v>448</v>
      </c>
      <c r="C36" s="211">
        <v>32</v>
      </c>
      <c r="D36" s="211" t="s">
        <v>437</v>
      </c>
      <c r="E36" s="211">
        <v>11152</v>
      </c>
      <c r="F36" s="211">
        <v>20</v>
      </c>
      <c r="G36" s="211">
        <f>E36*F36/1000</f>
        <v>223.04</v>
      </c>
      <c r="H36" s="211">
        <f>VLOOKUP(TruT4!C36,'CKN T4 '!$M$5:$N$14,2,0)</f>
        <v>6.31</v>
      </c>
      <c r="I36" s="229">
        <f t="shared" ref="I36:I56" si="5">G36*H36</f>
        <v>1407.3824</v>
      </c>
    </row>
    <row r="37" spans="1:9" x14ac:dyDescent="0.3">
      <c r="A37" s="215">
        <v>2</v>
      </c>
      <c r="B37" s="214" t="s">
        <v>449</v>
      </c>
      <c r="C37" s="214">
        <v>32</v>
      </c>
      <c r="D37" s="214" t="s">
        <v>437</v>
      </c>
      <c r="E37" s="214">
        <v>10850</v>
      </c>
      <c r="F37" s="214">
        <v>20</v>
      </c>
      <c r="G37" s="214">
        <f t="shared" ref="G37:G56" si="6">E37*F37/1000</f>
        <v>217</v>
      </c>
      <c r="H37" s="214">
        <f>VLOOKUP(TruT4!C37,'CKN T4 '!$M$5:$N$14,2,0)</f>
        <v>6.31</v>
      </c>
      <c r="I37" s="230">
        <f t="shared" si="5"/>
        <v>1369.27</v>
      </c>
    </row>
    <row r="38" spans="1:9" x14ac:dyDescent="0.3">
      <c r="A38" s="212">
        <v>3</v>
      </c>
      <c r="B38" s="214" t="s">
        <v>450</v>
      </c>
      <c r="C38" s="214">
        <v>28</v>
      </c>
      <c r="D38" s="214" t="s">
        <v>437</v>
      </c>
      <c r="E38" s="214">
        <v>13589</v>
      </c>
      <c r="F38" s="214">
        <v>8</v>
      </c>
      <c r="G38" s="214">
        <f t="shared" si="6"/>
        <v>108.712</v>
      </c>
      <c r="H38" s="214">
        <f>VLOOKUP(TruT4!C38,'CKN T4 '!$M$5:$N$14,2,0)</f>
        <v>4.83</v>
      </c>
      <c r="I38" s="230">
        <f t="shared" si="5"/>
        <v>525.07896000000005</v>
      </c>
    </row>
    <row r="39" spans="1:9" x14ac:dyDescent="0.3">
      <c r="A39" s="215">
        <v>4</v>
      </c>
      <c r="B39" s="214" t="s">
        <v>451</v>
      </c>
      <c r="C39" s="214">
        <v>28</v>
      </c>
      <c r="D39" s="214" t="s">
        <v>437</v>
      </c>
      <c r="E39" s="214">
        <v>13389</v>
      </c>
      <c r="F39" s="214">
        <v>12</v>
      </c>
      <c r="G39" s="214">
        <f t="shared" si="6"/>
        <v>160.66800000000001</v>
      </c>
      <c r="H39" s="214">
        <f>VLOOKUP(TruT4!C39,'CKN T4 '!$M$5:$N$14,2,0)</f>
        <v>4.83</v>
      </c>
      <c r="I39" s="230">
        <f t="shared" si="5"/>
        <v>776.02644000000009</v>
      </c>
    </row>
    <row r="40" spans="1:9" x14ac:dyDescent="0.3">
      <c r="A40" s="212">
        <v>5</v>
      </c>
      <c r="B40" s="214" t="s">
        <v>452</v>
      </c>
      <c r="C40" s="214">
        <v>25</v>
      </c>
      <c r="D40" s="214" t="s">
        <v>437</v>
      </c>
      <c r="E40" s="214">
        <v>6606</v>
      </c>
      <c r="F40" s="214">
        <v>90</v>
      </c>
      <c r="G40" s="214">
        <f t="shared" si="6"/>
        <v>594.54</v>
      </c>
      <c r="H40" s="214">
        <f>VLOOKUP(TruT4!C40,'CKN T4 '!$M$5:$N$14,2,0)</f>
        <v>3.85</v>
      </c>
      <c r="I40" s="230">
        <f t="shared" si="5"/>
        <v>2288.9789999999998</v>
      </c>
    </row>
    <row r="41" spans="1:9" x14ac:dyDescent="0.3">
      <c r="A41" s="215">
        <v>6</v>
      </c>
      <c r="B41" s="214" t="s">
        <v>453</v>
      </c>
      <c r="C41" s="214">
        <v>25</v>
      </c>
      <c r="D41" s="214" t="s">
        <v>437</v>
      </c>
      <c r="E41" s="214">
        <v>5686</v>
      </c>
      <c r="F41" s="214">
        <v>68</v>
      </c>
      <c r="G41" s="214">
        <f t="shared" si="6"/>
        <v>386.64800000000002</v>
      </c>
      <c r="H41" s="214">
        <f>VLOOKUP(TruT4!C41,'CKN T4 '!$M$5:$N$14,2,0)</f>
        <v>3.85</v>
      </c>
      <c r="I41" s="230">
        <f t="shared" si="5"/>
        <v>1488.5948000000001</v>
      </c>
    </row>
    <row r="42" spans="1:9" x14ac:dyDescent="0.3">
      <c r="A42" s="212">
        <v>7</v>
      </c>
      <c r="B42" s="214" t="s">
        <v>454</v>
      </c>
      <c r="C42" s="214">
        <v>16</v>
      </c>
      <c r="D42" s="214" t="s">
        <v>437</v>
      </c>
      <c r="E42" s="214">
        <v>5290</v>
      </c>
      <c r="F42" s="214">
        <v>90</v>
      </c>
      <c r="G42" s="214">
        <f t="shared" si="6"/>
        <v>476.1</v>
      </c>
      <c r="H42" s="214">
        <f>VLOOKUP(TruT4!C42,'CKN T4 '!$M$5:$N$14,2,0)</f>
        <v>1.58</v>
      </c>
      <c r="I42" s="230">
        <f t="shared" si="5"/>
        <v>752.23800000000006</v>
      </c>
    </row>
    <row r="43" spans="1:9" x14ac:dyDescent="0.3">
      <c r="A43" s="215">
        <v>8</v>
      </c>
      <c r="B43" s="214" t="s">
        <v>455</v>
      </c>
      <c r="C43" s="214">
        <v>16</v>
      </c>
      <c r="D43" s="214" t="s">
        <v>437</v>
      </c>
      <c r="E43" s="214">
        <v>4480</v>
      </c>
      <c r="F43" s="214">
        <v>68</v>
      </c>
      <c r="G43" s="214">
        <f t="shared" si="6"/>
        <v>304.64</v>
      </c>
      <c r="H43" s="214">
        <f>VLOOKUP(TruT4!C43,'CKN T4 '!$M$5:$N$14,2,0)</f>
        <v>1.58</v>
      </c>
      <c r="I43" s="230">
        <f t="shared" si="5"/>
        <v>481.33120000000002</v>
      </c>
    </row>
    <row r="44" spans="1:9" x14ac:dyDescent="0.3">
      <c r="A44" s="212">
        <v>9</v>
      </c>
      <c r="B44" s="214" t="s">
        <v>456</v>
      </c>
      <c r="C44" s="214">
        <v>16</v>
      </c>
      <c r="D44" s="214" t="s">
        <v>437</v>
      </c>
      <c r="E44" s="214">
        <v>10850</v>
      </c>
      <c r="F44" s="214">
        <v>5</v>
      </c>
      <c r="G44" s="214">
        <f t="shared" si="6"/>
        <v>54.25</v>
      </c>
      <c r="H44" s="214">
        <f>VLOOKUP(TruT4!C44,'CKN T4 '!$M$5:$N$14,2,0)</f>
        <v>1.58</v>
      </c>
      <c r="I44" s="230">
        <f t="shared" si="5"/>
        <v>85.715000000000003</v>
      </c>
    </row>
    <row r="45" spans="1:9" x14ac:dyDescent="0.3">
      <c r="A45" s="215">
        <v>10</v>
      </c>
      <c r="B45" s="214" t="s">
        <v>457</v>
      </c>
      <c r="C45" s="214">
        <v>16</v>
      </c>
      <c r="D45" s="214" t="s">
        <v>437</v>
      </c>
      <c r="E45" s="214">
        <v>9005</v>
      </c>
      <c r="F45" s="214">
        <v>10</v>
      </c>
      <c r="G45" s="214">
        <f t="shared" si="6"/>
        <v>90.05</v>
      </c>
      <c r="H45" s="214">
        <f>VLOOKUP(TruT4!C45,'CKN T4 '!$M$5:$N$14,2,0)</f>
        <v>1.58</v>
      </c>
      <c r="I45" s="230">
        <f t="shared" si="5"/>
        <v>142.279</v>
      </c>
    </row>
    <row r="46" spans="1:9" x14ac:dyDescent="0.3">
      <c r="A46" s="212">
        <v>11</v>
      </c>
      <c r="B46" s="214" t="s">
        <v>458</v>
      </c>
      <c r="C46" s="214">
        <v>16</v>
      </c>
      <c r="D46" s="214" t="s">
        <v>437</v>
      </c>
      <c r="E46" s="214">
        <v>1237</v>
      </c>
      <c r="F46" s="214">
        <v>81</v>
      </c>
      <c r="G46" s="214">
        <f t="shared" si="6"/>
        <v>100.197</v>
      </c>
      <c r="H46" s="214">
        <f>VLOOKUP(TruT4!C46,'CKN T4 '!$M$5:$N$14,2,0)</f>
        <v>1.58</v>
      </c>
      <c r="I46" s="230">
        <f t="shared" si="5"/>
        <v>158.31126</v>
      </c>
    </row>
    <row r="47" spans="1:9" x14ac:dyDescent="0.3">
      <c r="A47" s="215">
        <v>12</v>
      </c>
      <c r="B47" s="214" t="s">
        <v>459</v>
      </c>
      <c r="C47" s="214">
        <v>16</v>
      </c>
      <c r="D47" s="214" t="s">
        <v>437</v>
      </c>
      <c r="E47" s="214">
        <v>2987</v>
      </c>
      <c r="F47" s="214">
        <v>81</v>
      </c>
      <c r="G47" s="214">
        <f t="shared" si="6"/>
        <v>241.947</v>
      </c>
      <c r="H47" s="214">
        <f>VLOOKUP(TruT4!C47,'CKN T4 '!$M$5:$N$14,2,0)</f>
        <v>1.58</v>
      </c>
      <c r="I47" s="230">
        <f t="shared" si="5"/>
        <v>382.27626000000004</v>
      </c>
    </row>
    <row r="48" spans="1:9" x14ac:dyDescent="0.3">
      <c r="A48" s="212">
        <v>13</v>
      </c>
      <c r="B48" s="214" t="s">
        <v>460</v>
      </c>
      <c r="C48" s="214">
        <v>10</v>
      </c>
      <c r="D48" s="214" t="s">
        <v>463</v>
      </c>
      <c r="E48" s="214">
        <v>1800</v>
      </c>
      <c r="F48" s="214">
        <v>80</v>
      </c>
      <c r="G48" s="214">
        <f t="shared" si="6"/>
        <v>144</v>
      </c>
      <c r="H48" s="214">
        <f>VLOOKUP(TruT4!C48,'CKN T4 '!$M$5:$N$14,2,0)</f>
        <v>0.61699999999999999</v>
      </c>
      <c r="I48" s="230">
        <f t="shared" si="5"/>
        <v>88.847999999999999</v>
      </c>
    </row>
    <row r="49" spans="1:9" x14ac:dyDescent="0.3">
      <c r="A49" s="215">
        <v>14</v>
      </c>
      <c r="B49" s="214" t="s">
        <v>461</v>
      </c>
      <c r="C49" s="214">
        <v>10</v>
      </c>
      <c r="D49" s="214" t="s">
        <v>463</v>
      </c>
      <c r="E49" s="214">
        <v>2900</v>
      </c>
      <c r="F49" s="214">
        <v>40</v>
      </c>
      <c r="G49" s="214">
        <f t="shared" si="6"/>
        <v>116</v>
      </c>
      <c r="H49" s="214">
        <f>VLOOKUP(TruT4!C49,'CKN T4 '!$M$5:$N$14,2,0)</f>
        <v>0.61699999999999999</v>
      </c>
      <c r="I49" s="230">
        <f t="shared" si="5"/>
        <v>71.572000000000003</v>
      </c>
    </row>
    <row r="50" spans="1:9" x14ac:dyDescent="0.3">
      <c r="A50" s="212">
        <v>15</v>
      </c>
      <c r="B50" s="214" t="s">
        <v>462</v>
      </c>
      <c r="C50" s="214">
        <v>8</v>
      </c>
      <c r="D50" s="214" t="s">
        <v>463</v>
      </c>
      <c r="E50" s="214">
        <v>220</v>
      </c>
      <c r="F50" s="214">
        <v>36</v>
      </c>
      <c r="G50" s="214">
        <f t="shared" si="6"/>
        <v>7.92</v>
      </c>
      <c r="H50" s="214">
        <v>0.39500000000000002</v>
      </c>
      <c r="I50" s="230">
        <f t="shared" si="5"/>
        <v>3.1284000000000001</v>
      </c>
    </row>
    <row r="51" spans="1:9" x14ac:dyDescent="0.3">
      <c r="A51" s="215">
        <v>16</v>
      </c>
      <c r="B51" s="214" t="s">
        <v>357</v>
      </c>
      <c r="C51" s="214">
        <v>10</v>
      </c>
      <c r="D51" s="214" t="s">
        <v>463</v>
      </c>
      <c r="E51" s="214">
        <v>950</v>
      </c>
      <c r="F51" s="214">
        <v>100</v>
      </c>
      <c r="G51" s="214">
        <f t="shared" si="6"/>
        <v>95</v>
      </c>
      <c r="H51" s="214">
        <f>VLOOKUP(TruT4!C51,'CKN T4 '!$M$5:$N$14,2,0)</f>
        <v>0.61699999999999999</v>
      </c>
      <c r="I51" s="230">
        <f t="shared" si="5"/>
        <v>58.615000000000002</v>
      </c>
    </row>
    <row r="52" spans="1:9" x14ac:dyDescent="0.3">
      <c r="A52" s="212">
        <v>17</v>
      </c>
      <c r="B52" s="214" t="s">
        <v>358</v>
      </c>
      <c r="C52" s="214">
        <v>10</v>
      </c>
      <c r="D52" s="214" t="s">
        <v>463</v>
      </c>
      <c r="E52" s="214">
        <v>950</v>
      </c>
      <c r="F52" s="214">
        <v>100</v>
      </c>
      <c r="G52" s="214">
        <f t="shared" si="6"/>
        <v>95</v>
      </c>
      <c r="H52" s="214">
        <f>VLOOKUP(TruT4!C52,'CKN T4 '!$M$5:$N$14,2,0)</f>
        <v>0.61699999999999999</v>
      </c>
      <c r="I52" s="230">
        <f t="shared" si="5"/>
        <v>58.615000000000002</v>
      </c>
    </row>
    <row r="53" spans="1:9" x14ac:dyDescent="0.3">
      <c r="A53" s="215">
        <v>18</v>
      </c>
      <c r="B53" s="214" t="s">
        <v>361</v>
      </c>
      <c r="C53" s="214">
        <v>10</v>
      </c>
      <c r="D53" s="214" t="s">
        <v>463</v>
      </c>
      <c r="E53" s="214">
        <v>600</v>
      </c>
      <c r="F53" s="214">
        <v>60</v>
      </c>
      <c r="G53" s="214">
        <f t="shared" si="6"/>
        <v>36</v>
      </c>
      <c r="H53" s="214">
        <f>VLOOKUP(TruT4!C53,'CKN T4 '!$M$5:$N$14,2,0)</f>
        <v>0.61699999999999999</v>
      </c>
      <c r="I53" s="230">
        <f t="shared" si="5"/>
        <v>22.212</v>
      </c>
    </row>
    <row r="54" spans="1:9" x14ac:dyDescent="0.3">
      <c r="A54" s="212">
        <v>19</v>
      </c>
      <c r="B54" s="214" t="s">
        <v>363</v>
      </c>
      <c r="C54" s="214">
        <v>10</v>
      </c>
      <c r="D54" s="214" t="s">
        <v>463</v>
      </c>
      <c r="E54" s="214">
        <v>600</v>
      </c>
      <c r="F54" s="214">
        <v>60</v>
      </c>
      <c r="G54" s="214">
        <f t="shared" si="6"/>
        <v>36</v>
      </c>
      <c r="H54" s="214">
        <f>VLOOKUP(TruT4!C54,'CKN T4 '!$M$5:$N$14,2,0)</f>
        <v>0.61699999999999999</v>
      </c>
      <c r="I54" s="230">
        <f t="shared" si="5"/>
        <v>22.212</v>
      </c>
    </row>
    <row r="55" spans="1:9" x14ac:dyDescent="0.3">
      <c r="A55" s="215">
        <v>20</v>
      </c>
      <c r="B55" s="214" t="s">
        <v>365</v>
      </c>
      <c r="C55" s="214">
        <v>10</v>
      </c>
      <c r="D55" s="214" t="s">
        <v>463</v>
      </c>
      <c r="E55" s="214">
        <v>725</v>
      </c>
      <c r="F55" s="214">
        <v>34</v>
      </c>
      <c r="G55" s="214">
        <f t="shared" si="6"/>
        <v>24.65</v>
      </c>
      <c r="H55" s="214">
        <f>VLOOKUP(TruT4!C55,'CKN T4 '!$M$5:$N$14,2,0)</f>
        <v>0.61699999999999999</v>
      </c>
      <c r="I55" s="230">
        <f t="shared" si="5"/>
        <v>15.20905</v>
      </c>
    </row>
    <row r="56" spans="1:9" x14ac:dyDescent="0.3">
      <c r="A56" s="218">
        <v>21</v>
      </c>
      <c r="B56" s="217" t="s">
        <v>367</v>
      </c>
      <c r="C56" s="217">
        <v>10</v>
      </c>
      <c r="D56" s="217" t="s">
        <v>463</v>
      </c>
      <c r="E56" s="217">
        <v>830</v>
      </c>
      <c r="F56" s="217">
        <v>30</v>
      </c>
      <c r="G56" s="217">
        <f t="shared" si="6"/>
        <v>24.9</v>
      </c>
      <c r="H56" s="217">
        <f>VLOOKUP(TruT4!C56,'CKN T4 '!$M$5:$N$14,2,0)</f>
        <v>0.61699999999999999</v>
      </c>
      <c r="I56" s="231">
        <f t="shared" si="5"/>
        <v>15.363299999999999</v>
      </c>
    </row>
    <row r="58" spans="1:9" x14ac:dyDescent="0.3">
      <c r="B58" s="1070" t="s">
        <v>377</v>
      </c>
      <c r="C58" s="1074" t="s">
        <v>378</v>
      </c>
      <c r="D58" s="1074" t="s">
        <v>386</v>
      </c>
    </row>
    <row r="59" spans="1:9" x14ac:dyDescent="0.3">
      <c r="B59" s="212">
        <v>1</v>
      </c>
      <c r="C59" s="223">
        <v>8</v>
      </c>
      <c r="D59" s="1075">
        <f>SUMIF($C$36:$C$56,C59,$I$36:$I$56)/1000</f>
        <v>3.1283999999999999E-3</v>
      </c>
    </row>
    <row r="60" spans="1:9" x14ac:dyDescent="0.3">
      <c r="B60" s="215">
        <v>2</v>
      </c>
      <c r="C60" s="225">
        <v>10</v>
      </c>
      <c r="D60" s="1076">
        <f t="shared" ref="D60:D64" si="7">SUMIF($C$36:$C$56,C60,$I$36:$I$56)/1000</f>
        <v>0.35264635</v>
      </c>
    </row>
    <row r="61" spans="1:9" x14ac:dyDescent="0.3">
      <c r="B61" s="215">
        <v>3</v>
      </c>
      <c r="C61" s="225">
        <v>16</v>
      </c>
      <c r="D61" s="1076">
        <f t="shared" si="7"/>
        <v>2.0021507199999999</v>
      </c>
    </row>
    <row r="62" spans="1:9" x14ac:dyDescent="0.3">
      <c r="B62" s="215">
        <v>4</v>
      </c>
      <c r="C62" s="225">
        <v>25</v>
      </c>
      <c r="D62" s="1076">
        <f t="shared" si="7"/>
        <v>3.7775738000000003</v>
      </c>
    </row>
    <row r="63" spans="1:9" x14ac:dyDescent="0.3">
      <c r="B63" s="215">
        <v>5</v>
      </c>
      <c r="C63" s="225">
        <v>28</v>
      </c>
      <c r="D63" s="1076">
        <f t="shared" si="7"/>
        <v>1.3011054000000002</v>
      </c>
    </row>
    <row r="64" spans="1:9" x14ac:dyDescent="0.3">
      <c r="B64" s="218">
        <v>6</v>
      </c>
      <c r="C64" s="227">
        <v>32</v>
      </c>
      <c r="D64" s="1077">
        <f t="shared" si="7"/>
        <v>2.7766524000000001</v>
      </c>
    </row>
  </sheetData>
  <mergeCells count="4">
    <mergeCell ref="A2:I2"/>
    <mergeCell ref="A21:I21"/>
    <mergeCell ref="A33:I33"/>
    <mergeCell ref="B15:B16"/>
  </mergeCells>
  <hyperlinks>
    <hyperlink ref="K4" location="'Bảng dien giai KL hoan cong'!A1" display="Quay lai sheet dien giai"/>
  </hyperlinks>
  <pageMargins left="0.7" right="0.7" top="0.75" bottom="0.75" header="0.3" footer="0.3"/>
  <pageSetup paperSize="256" scale="8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27"/>
  <sheetViews>
    <sheetView view="pageBreakPreview" topLeftCell="A7" zoomScale="85" zoomScaleNormal="100" zoomScaleSheetLayoutView="85" workbookViewId="0"/>
  </sheetViews>
  <sheetFormatPr defaultRowHeight="15" x14ac:dyDescent="0.25"/>
  <cols>
    <col min="1" max="1" width="11.7109375" style="134" customWidth="1"/>
    <col min="2" max="2" width="13.140625" style="134" customWidth="1"/>
    <col min="3" max="3" width="11.7109375" style="134" customWidth="1"/>
    <col min="4" max="4" width="13.5703125" style="134" customWidth="1"/>
    <col min="5" max="5" width="10.42578125" style="134" customWidth="1"/>
    <col min="6" max="6" width="10.85546875" style="134" customWidth="1"/>
    <col min="7" max="7" width="11" style="134" customWidth="1"/>
    <col min="8" max="8" width="13.42578125" style="134" customWidth="1"/>
    <col min="9" max="16384" width="9.140625" style="134"/>
  </cols>
  <sheetData>
    <row r="2" spans="1:10" ht="15.75" x14ac:dyDescent="0.25">
      <c r="A2" s="1253" t="s">
        <v>1455</v>
      </c>
      <c r="B2" s="1253"/>
      <c r="C2" s="1253"/>
      <c r="D2" s="1253"/>
      <c r="E2" s="1253"/>
      <c r="F2" s="1253"/>
      <c r="G2" s="1253"/>
      <c r="H2" s="1253"/>
      <c r="I2" s="1253"/>
    </row>
    <row r="4" spans="1:10" x14ac:dyDescent="0.25">
      <c r="A4" s="1254" t="s">
        <v>383</v>
      </c>
      <c r="B4" s="1254" t="s">
        <v>384</v>
      </c>
      <c r="C4" s="1107" t="s">
        <v>378</v>
      </c>
      <c r="D4" s="1107" t="s">
        <v>477</v>
      </c>
      <c r="E4" s="1107" t="s">
        <v>380</v>
      </c>
      <c r="F4" s="1107" t="s">
        <v>514</v>
      </c>
      <c r="G4" s="1107" t="s">
        <v>381</v>
      </c>
      <c r="H4" s="1107" t="s">
        <v>515</v>
      </c>
      <c r="I4" s="1254" t="s">
        <v>0</v>
      </c>
      <c r="J4" s="180" t="s">
        <v>540</v>
      </c>
    </row>
    <row r="5" spans="1:10" ht="26.25" customHeight="1" x14ac:dyDescent="0.25">
      <c r="A5" s="1255"/>
      <c r="B5" s="1255"/>
      <c r="C5" s="1108" t="s">
        <v>556</v>
      </c>
      <c r="D5" s="1108" t="s">
        <v>556</v>
      </c>
      <c r="E5" s="1108" t="s">
        <v>585</v>
      </c>
      <c r="F5" s="1108" t="s">
        <v>556</v>
      </c>
      <c r="G5" s="1108" t="s">
        <v>416</v>
      </c>
      <c r="H5" s="1108" t="s">
        <v>410</v>
      </c>
      <c r="I5" s="1255"/>
      <c r="J5" s="180"/>
    </row>
    <row r="6" spans="1:10" x14ac:dyDescent="0.25">
      <c r="A6" s="1260" t="s">
        <v>533</v>
      </c>
      <c r="B6" s="183" t="s">
        <v>516</v>
      </c>
      <c r="C6" s="184">
        <v>22</v>
      </c>
      <c r="D6" s="135">
        <v>5163</v>
      </c>
      <c r="E6" s="135">
        <v>78</v>
      </c>
      <c r="F6" s="135">
        <f>ROUND(D6*E6,2)/1000</f>
        <v>402.714</v>
      </c>
      <c r="G6" s="135">
        <f>VLOOKUP(C6,'CKN T4 '!$M$5:$N$14,2,0)</f>
        <v>2.98</v>
      </c>
      <c r="H6" s="135">
        <f>ROUND(G6*F6,2)</f>
        <v>1200.0899999999999</v>
      </c>
      <c r="I6" s="135"/>
    </row>
    <row r="7" spans="1:10" x14ac:dyDescent="0.25">
      <c r="A7" s="1261"/>
      <c r="B7" s="181" t="s">
        <v>517</v>
      </c>
      <c r="C7" s="144">
        <v>16</v>
      </c>
      <c r="D7" s="136">
        <v>5163</v>
      </c>
      <c r="E7" s="136">
        <v>78</v>
      </c>
      <c r="F7" s="136">
        <f t="shared" ref="F7:F17" si="0">ROUND(D7*E7,2)/1000</f>
        <v>402.714</v>
      </c>
      <c r="G7" s="136">
        <f>VLOOKUP(C7,'CKN T4 '!$M$5:$N$14,2,0)</f>
        <v>1.58</v>
      </c>
      <c r="H7" s="136">
        <f t="shared" ref="H7:H17" si="1">ROUND(G7*F7,2)</f>
        <v>636.29</v>
      </c>
      <c r="I7" s="136"/>
    </row>
    <row r="8" spans="1:10" x14ac:dyDescent="0.25">
      <c r="A8" s="1261"/>
      <c r="B8" s="181" t="s">
        <v>518</v>
      </c>
      <c r="C8" s="144">
        <v>12</v>
      </c>
      <c r="D8" s="136">
        <v>11550</v>
      </c>
      <c r="E8" s="136">
        <v>75</v>
      </c>
      <c r="F8" s="136">
        <f t="shared" si="0"/>
        <v>866.25</v>
      </c>
      <c r="G8" s="136">
        <f>VLOOKUP(C8,'CKN T4 '!$M$5:$N$14,2,0)</f>
        <v>0.88800000000000001</v>
      </c>
      <c r="H8" s="136">
        <f t="shared" si="1"/>
        <v>769.23</v>
      </c>
      <c r="I8" s="136"/>
    </row>
    <row r="9" spans="1:10" x14ac:dyDescent="0.25">
      <c r="A9" s="1261"/>
      <c r="B9" s="181" t="s">
        <v>487</v>
      </c>
      <c r="C9" s="144">
        <v>16</v>
      </c>
      <c r="D9" s="136">
        <v>4894</v>
      </c>
      <c r="E9" s="136">
        <v>78</v>
      </c>
      <c r="F9" s="136">
        <f t="shared" si="0"/>
        <v>381.73200000000003</v>
      </c>
      <c r="G9" s="136">
        <f>VLOOKUP(C9,'CKN T4 '!$M$5:$N$14,2,0)</f>
        <v>1.58</v>
      </c>
      <c r="H9" s="136">
        <f t="shared" si="1"/>
        <v>603.14</v>
      </c>
      <c r="I9" s="136"/>
    </row>
    <row r="10" spans="1:10" x14ac:dyDescent="0.25">
      <c r="A10" s="1261"/>
      <c r="B10" s="181" t="s">
        <v>519</v>
      </c>
      <c r="C10" s="144">
        <v>16</v>
      </c>
      <c r="D10" s="136">
        <v>1600</v>
      </c>
      <c r="E10" s="136">
        <v>72</v>
      </c>
      <c r="F10" s="136">
        <f t="shared" si="0"/>
        <v>115.2</v>
      </c>
      <c r="G10" s="136">
        <f>VLOOKUP(C10,'CKN T4 '!$M$5:$N$14,2,0)</f>
        <v>1.58</v>
      </c>
      <c r="H10" s="136">
        <f t="shared" si="1"/>
        <v>182.02</v>
      </c>
      <c r="I10" s="136"/>
    </row>
    <row r="11" spans="1:10" x14ac:dyDescent="0.25">
      <c r="A11" s="1261"/>
      <c r="B11" s="181" t="s">
        <v>486</v>
      </c>
      <c r="C11" s="144">
        <v>14</v>
      </c>
      <c r="D11" s="136">
        <v>1940</v>
      </c>
      <c r="E11" s="136">
        <v>78</v>
      </c>
      <c r="F11" s="136">
        <f t="shared" si="0"/>
        <v>151.32</v>
      </c>
      <c r="G11" s="136">
        <f>VLOOKUP(C11,'CKN T4 '!$M$5:$N$14,2,0)</f>
        <v>1.21</v>
      </c>
      <c r="H11" s="136">
        <f t="shared" si="1"/>
        <v>183.1</v>
      </c>
      <c r="I11" s="136"/>
    </row>
    <row r="12" spans="1:10" x14ac:dyDescent="0.25">
      <c r="A12" s="1261"/>
      <c r="B12" s="181" t="s">
        <v>520</v>
      </c>
      <c r="C12" s="144">
        <v>12</v>
      </c>
      <c r="D12" s="136">
        <v>1640</v>
      </c>
      <c r="E12" s="136">
        <v>72</v>
      </c>
      <c r="F12" s="136">
        <f t="shared" si="0"/>
        <v>118.08</v>
      </c>
      <c r="G12" s="136">
        <f>VLOOKUP(C12,'CKN T4 '!$M$5:$N$14,2,0)</f>
        <v>0.88800000000000001</v>
      </c>
      <c r="H12" s="136">
        <f t="shared" si="1"/>
        <v>104.86</v>
      </c>
      <c r="I12" s="136"/>
    </row>
    <row r="13" spans="1:10" x14ac:dyDescent="0.25">
      <c r="A13" s="1261"/>
      <c r="B13" s="181" t="s">
        <v>521</v>
      </c>
      <c r="C13" s="144">
        <v>12</v>
      </c>
      <c r="D13" s="136">
        <v>640</v>
      </c>
      <c r="E13" s="136">
        <v>18</v>
      </c>
      <c r="F13" s="136">
        <f t="shared" si="0"/>
        <v>11.52</v>
      </c>
      <c r="G13" s="136">
        <f>VLOOKUP(C13,'CKN T4 '!$M$5:$N$14,2,0)</f>
        <v>0.88800000000000001</v>
      </c>
      <c r="H13" s="136">
        <f t="shared" si="1"/>
        <v>10.23</v>
      </c>
      <c r="I13" s="136"/>
    </row>
    <row r="14" spans="1:10" x14ac:dyDescent="0.25">
      <c r="A14" s="1261"/>
      <c r="B14" s="181" t="s">
        <v>522</v>
      </c>
      <c r="C14" s="144">
        <v>12</v>
      </c>
      <c r="D14" s="136">
        <v>3249</v>
      </c>
      <c r="E14" s="136">
        <v>38</v>
      </c>
      <c r="F14" s="136">
        <f t="shared" si="0"/>
        <v>123.462</v>
      </c>
      <c r="G14" s="136">
        <f>VLOOKUP(C14,'CKN T4 '!$M$5:$N$14,2,0)</f>
        <v>0.88800000000000001</v>
      </c>
      <c r="H14" s="136">
        <f t="shared" si="1"/>
        <v>109.63</v>
      </c>
      <c r="I14" s="136"/>
    </row>
    <row r="15" spans="1:10" x14ac:dyDescent="0.25">
      <c r="A15" s="1261"/>
      <c r="B15" s="181" t="s">
        <v>523</v>
      </c>
      <c r="C15" s="144">
        <v>12</v>
      </c>
      <c r="D15" s="136">
        <v>1835</v>
      </c>
      <c r="E15" s="136">
        <v>10</v>
      </c>
      <c r="F15" s="136">
        <f t="shared" si="0"/>
        <v>18.350000000000001</v>
      </c>
      <c r="G15" s="136">
        <f>VLOOKUP(C15,'CKN T4 '!$M$5:$N$14,2,0)</f>
        <v>0.88800000000000001</v>
      </c>
      <c r="H15" s="136">
        <f t="shared" si="1"/>
        <v>16.29</v>
      </c>
      <c r="I15" s="136"/>
    </row>
    <row r="16" spans="1:10" x14ac:dyDescent="0.25">
      <c r="A16" s="1261"/>
      <c r="B16" s="181" t="s">
        <v>524</v>
      </c>
      <c r="C16" s="144">
        <v>14</v>
      </c>
      <c r="D16" s="136">
        <v>4845</v>
      </c>
      <c r="E16" s="136">
        <v>7</v>
      </c>
      <c r="F16" s="136">
        <f t="shared" si="0"/>
        <v>33.914999999999999</v>
      </c>
      <c r="G16" s="136">
        <f>VLOOKUP(C16,'CKN T4 '!$M$5:$N$14,2,0)</f>
        <v>1.21</v>
      </c>
      <c r="H16" s="136">
        <f t="shared" si="1"/>
        <v>41.04</v>
      </c>
      <c r="I16" s="136"/>
    </row>
    <row r="17" spans="1:9" x14ac:dyDescent="0.25">
      <c r="A17" s="1262"/>
      <c r="B17" s="182" t="s">
        <v>525</v>
      </c>
      <c r="C17" s="179">
        <v>14</v>
      </c>
      <c r="D17" s="137">
        <v>5080</v>
      </c>
      <c r="E17" s="137">
        <v>7</v>
      </c>
      <c r="F17" s="137">
        <f t="shared" si="0"/>
        <v>35.56</v>
      </c>
      <c r="G17" s="137">
        <f>VLOOKUP(C17,'CKN T4 '!$M$5:$N$14,2,0)</f>
        <v>1.21</v>
      </c>
      <c r="H17" s="137">
        <f t="shared" si="1"/>
        <v>43.03</v>
      </c>
      <c r="I17" s="137"/>
    </row>
    <row r="18" spans="1:9" x14ac:dyDescent="0.25">
      <c r="A18" s="1098" t="s">
        <v>386</v>
      </c>
      <c r="B18" s="1099"/>
      <c r="C18" s="1103" t="s">
        <v>378</v>
      </c>
      <c r="D18" s="1104" t="s">
        <v>139</v>
      </c>
    </row>
    <row r="19" spans="1:9" x14ac:dyDescent="0.25">
      <c r="A19" s="1097"/>
      <c r="B19" s="1097"/>
      <c r="C19" s="135">
        <v>12</v>
      </c>
      <c r="D19" s="1102">
        <f>SUMIF($C$6:$C$17,C19,$H$6:$H$17)/1000</f>
        <v>1.01024</v>
      </c>
    </row>
    <row r="20" spans="1:9" x14ac:dyDescent="0.25">
      <c r="A20" s="1097"/>
      <c r="B20" s="1097"/>
      <c r="C20" s="136">
        <v>14</v>
      </c>
      <c r="D20" s="1100">
        <f t="shared" ref="D20:D22" si="2">SUMIF($C$6:$C$17,C20,$H$6:$H$17)/1000</f>
        <v>0.26716999999999996</v>
      </c>
    </row>
    <row r="21" spans="1:9" x14ac:dyDescent="0.25">
      <c r="A21" s="1097"/>
      <c r="B21" s="1097"/>
      <c r="C21" s="136">
        <v>16</v>
      </c>
      <c r="D21" s="1100">
        <f t="shared" si="2"/>
        <v>1.4214499999999999</v>
      </c>
    </row>
    <row r="22" spans="1:9" x14ac:dyDescent="0.25">
      <c r="A22" s="1097"/>
      <c r="B22" s="1097"/>
      <c r="C22" s="137">
        <v>22</v>
      </c>
      <c r="D22" s="1101">
        <f t="shared" si="2"/>
        <v>1.2000899999999999</v>
      </c>
    </row>
    <row r="23" spans="1:9" ht="15.75" thickBot="1" x14ac:dyDescent="0.3"/>
    <row r="24" spans="1:9" ht="25.5" x14ac:dyDescent="0.25">
      <c r="A24" s="1256" t="s">
        <v>547</v>
      </c>
      <c r="B24" s="1258" t="s">
        <v>548</v>
      </c>
      <c r="C24" s="1081" t="s">
        <v>549</v>
      </c>
      <c r="D24" s="1258" t="s">
        <v>550</v>
      </c>
      <c r="E24" s="1081" t="s">
        <v>551</v>
      </c>
      <c r="F24" s="1081" t="s">
        <v>552</v>
      </c>
      <c r="G24" s="1081" t="s">
        <v>553</v>
      </c>
      <c r="H24" s="1081" t="s">
        <v>554</v>
      </c>
      <c r="I24" s="1105" t="s">
        <v>555</v>
      </c>
    </row>
    <row r="25" spans="1:9" x14ac:dyDescent="0.25">
      <c r="A25" s="1257"/>
      <c r="B25" s="1259"/>
      <c r="C25" s="1082" t="s">
        <v>556</v>
      </c>
      <c r="D25" s="1259"/>
      <c r="E25" s="1082" t="s">
        <v>556</v>
      </c>
      <c r="F25" s="1082" t="s">
        <v>557</v>
      </c>
      <c r="G25" s="1082" t="s">
        <v>558</v>
      </c>
      <c r="H25" s="1082" t="s">
        <v>559</v>
      </c>
      <c r="I25" s="1106" t="s">
        <v>560</v>
      </c>
    </row>
    <row r="26" spans="1:9" x14ac:dyDescent="0.25">
      <c r="A26" s="1263" t="s">
        <v>561</v>
      </c>
      <c r="B26" s="138" t="s">
        <v>428</v>
      </c>
      <c r="C26" s="139">
        <v>16</v>
      </c>
      <c r="D26" s="138" t="str">
        <f t="shared" ref="D26:D41" si="3">+IF(C26&lt;=10,"CB240-T","CB400-V")</f>
        <v>CB400-V</v>
      </c>
      <c r="E26" s="138">
        <v>7153</v>
      </c>
      <c r="F26" s="138">
        <v>17</v>
      </c>
      <c r="G26" s="140">
        <f t="shared" ref="G26:G36" si="4">E26*F26/1000</f>
        <v>121.601</v>
      </c>
      <c r="H26" s="141">
        <f t="shared" ref="H26:H36" si="5">HLOOKUP(C26,KLDV,2,0)</f>
        <v>1.58</v>
      </c>
      <c r="I26" s="142">
        <f t="shared" ref="I26:I36" si="6">G26*H26</f>
        <v>192.12958</v>
      </c>
    </row>
    <row r="27" spans="1:9" x14ac:dyDescent="0.25">
      <c r="A27" s="1264"/>
      <c r="B27" s="143" t="s">
        <v>429</v>
      </c>
      <c r="C27" s="144">
        <v>20</v>
      </c>
      <c r="D27" s="143" t="str">
        <f t="shared" si="3"/>
        <v>CB400-V</v>
      </c>
      <c r="E27" s="143">
        <f>+E26</f>
        <v>7153</v>
      </c>
      <c r="F27" s="143">
        <f>+F26</f>
        <v>17</v>
      </c>
      <c r="G27" s="145">
        <f t="shared" si="4"/>
        <v>121.601</v>
      </c>
      <c r="H27" s="146">
        <f t="shared" si="5"/>
        <v>2.4700000000000002</v>
      </c>
      <c r="I27" s="147">
        <f t="shared" si="6"/>
        <v>300.35447000000005</v>
      </c>
    </row>
    <row r="28" spans="1:9" x14ac:dyDescent="0.25">
      <c r="A28" s="1264"/>
      <c r="B28" s="143" t="s">
        <v>430</v>
      </c>
      <c r="C28" s="144">
        <v>16</v>
      </c>
      <c r="D28" s="143" t="str">
        <f t="shared" si="3"/>
        <v>CB400-V</v>
      </c>
      <c r="E28" s="143">
        <v>3870</v>
      </c>
      <c r="F28" s="143">
        <v>15</v>
      </c>
      <c r="G28" s="145">
        <f t="shared" si="4"/>
        <v>58.05</v>
      </c>
      <c r="H28" s="146">
        <f t="shared" si="5"/>
        <v>1.58</v>
      </c>
      <c r="I28" s="147">
        <f t="shared" si="6"/>
        <v>91.718999999999994</v>
      </c>
    </row>
    <row r="29" spans="1:9" x14ac:dyDescent="0.25">
      <c r="A29" s="1264"/>
      <c r="B29" s="143" t="s">
        <v>431</v>
      </c>
      <c r="C29" s="144">
        <v>20</v>
      </c>
      <c r="D29" s="143" t="str">
        <f t="shared" si="3"/>
        <v>CB400-V</v>
      </c>
      <c r="E29" s="143">
        <f>+E28</f>
        <v>3870</v>
      </c>
      <c r="F29" s="143">
        <v>15</v>
      </c>
      <c r="G29" s="145">
        <f t="shared" si="4"/>
        <v>58.05</v>
      </c>
      <c r="H29" s="146">
        <f t="shared" si="5"/>
        <v>2.4700000000000002</v>
      </c>
      <c r="I29" s="147">
        <f t="shared" si="6"/>
        <v>143.3835</v>
      </c>
    </row>
    <row r="30" spans="1:9" x14ac:dyDescent="0.25">
      <c r="A30" s="1264"/>
      <c r="B30" s="143" t="s">
        <v>432</v>
      </c>
      <c r="C30" s="144">
        <v>16</v>
      </c>
      <c r="D30" s="143" t="str">
        <f t="shared" si="3"/>
        <v>CB400-V</v>
      </c>
      <c r="E30" s="143">
        <v>4395</v>
      </c>
      <c r="F30" s="143">
        <v>7</v>
      </c>
      <c r="G30" s="145">
        <f t="shared" si="4"/>
        <v>30.765000000000001</v>
      </c>
      <c r="H30" s="146">
        <f t="shared" si="5"/>
        <v>1.58</v>
      </c>
      <c r="I30" s="147">
        <f t="shared" si="6"/>
        <v>48.608700000000006</v>
      </c>
    </row>
    <row r="31" spans="1:9" x14ac:dyDescent="0.25">
      <c r="A31" s="1264"/>
      <c r="B31" s="143" t="s">
        <v>433</v>
      </c>
      <c r="C31" s="144">
        <v>20</v>
      </c>
      <c r="D31" s="143" t="str">
        <f t="shared" si="3"/>
        <v>CB400-V</v>
      </c>
      <c r="E31" s="143">
        <f>+E30</f>
        <v>4395</v>
      </c>
      <c r="F31" s="143">
        <v>7</v>
      </c>
      <c r="G31" s="145">
        <f t="shared" si="4"/>
        <v>30.765000000000001</v>
      </c>
      <c r="H31" s="146">
        <f t="shared" si="5"/>
        <v>2.4700000000000002</v>
      </c>
      <c r="I31" s="147">
        <f t="shared" si="6"/>
        <v>75.989550000000008</v>
      </c>
    </row>
    <row r="32" spans="1:9" x14ac:dyDescent="0.25">
      <c r="A32" s="1264"/>
      <c r="B32" s="143" t="s">
        <v>434</v>
      </c>
      <c r="C32" s="144">
        <v>16</v>
      </c>
      <c r="D32" s="143" t="str">
        <f t="shared" si="3"/>
        <v>CB400-V</v>
      </c>
      <c r="E32" s="143">
        <v>4466</v>
      </c>
      <c r="F32" s="143">
        <v>6</v>
      </c>
      <c r="G32" s="145">
        <f t="shared" si="4"/>
        <v>26.795999999999999</v>
      </c>
      <c r="H32" s="146">
        <f t="shared" si="5"/>
        <v>1.58</v>
      </c>
      <c r="I32" s="147">
        <f t="shared" si="6"/>
        <v>42.337679999999999</v>
      </c>
    </row>
    <row r="33" spans="1:9" x14ac:dyDescent="0.25">
      <c r="A33" s="1264"/>
      <c r="B33" s="143" t="s">
        <v>435</v>
      </c>
      <c r="C33" s="144">
        <v>20</v>
      </c>
      <c r="D33" s="143" t="str">
        <f t="shared" si="3"/>
        <v>CB400-V</v>
      </c>
      <c r="E33" s="143">
        <v>4610</v>
      </c>
      <c r="F33" s="143">
        <f>+F32</f>
        <v>6</v>
      </c>
      <c r="G33" s="145">
        <f t="shared" si="4"/>
        <v>27.66</v>
      </c>
      <c r="H33" s="146">
        <f t="shared" si="5"/>
        <v>2.4700000000000002</v>
      </c>
      <c r="I33" s="147">
        <f t="shared" si="6"/>
        <v>68.3202</v>
      </c>
    </row>
    <row r="34" spans="1:9" x14ac:dyDescent="0.25">
      <c r="A34" s="1264"/>
      <c r="B34" s="143" t="s">
        <v>436</v>
      </c>
      <c r="C34" s="144">
        <v>16</v>
      </c>
      <c r="D34" s="143" t="str">
        <f t="shared" si="3"/>
        <v>CB400-V</v>
      </c>
      <c r="E34" s="143">
        <v>4966</v>
      </c>
      <c r="F34" s="143">
        <v>7</v>
      </c>
      <c r="G34" s="145">
        <f t="shared" si="4"/>
        <v>34.762</v>
      </c>
      <c r="H34" s="146">
        <f t="shared" si="5"/>
        <v>1.58</v>
      </c>
      <c r="I34" s="147">
        <f t="shared" si="6"/>
        <v>54.923960000000001</v>
      </c>
    </row>
    <row r="35" spans="1:9" x14ac:dyDescent="0.25">
      <c r="A35" s="1264"/>
      <c r="B35" s="143" t="s">
        <v>526</v>
      </c>
      <c r="C35" s="144">
        <v>20</v>
      </c>
      <c r="D35" s="143" t="str">
        <f t="shared" si="3"/>
        <v>CB400-V</v>
      </c>
      <c r="E35" s="143">
        <v>5110</v>
      </c>
      <c r="F35" s="143">
        <f>+F34</f>
        <v>7</v>
      </c>
      <c r="G35" s="145">
        <f t="shared" si="4"/>
        <v>35.770000000000003</v>
      </c>
      <c r="H35" s="146">
        <f t="shared" si="5"/>
        <v>2.4700000000000002</v>
      </c>
      <c r="I35" s="147">
        <f t="shared" si="6"/>
        <v>88.351900000000015</v>
      </c>
    </row>
    <row r="36" spans="1:9" x14ac:dyDescent="0.25">
      <c r="A36" s="1264"/>
      <c r="B36" s="143" t="s">
        <v>527</v>
      </c>
      <c r="C36" s="144">
        <v>16</v>
      </c>
      <c r="D36" s="143" t="str">
        <f t="shared" si="3"/>
        <v>CB400-V</v>
      </c>
      <c r="E36" s="143">
        <v>4745</v>
      </c>
      <c r="F36" s="143">
        <v>3</v>
      </c>
      <c r="G36" s="145">
        <f t="shared" si="4"/>
        <v>14.234999999999999</v>
      </c>
      <c r="H36" s="146">
        <f t="shared" si="5"/>
        <v>1.58</v>
      </c>
      <c r="I36" s="147">
        <f t="shared" si="6"/>
        <v>22.491299999999999</v>
      </c>
    </row>
    <row r="37" spans="1:9" x14ac:dyDescent="0.25">
      <c r="A37" s="1264"/>
      <c r="B37" s="143" t="s">
        <v>528</v>
      </c>
      <c r="C37" s="144">
        <v>12</v>
      </c>
      <c r="D37" s="143" t="str">
        <f t="shared" si="3"/>
        <v>CB400-V</v>
      </c>
      <c r="E37" s="143">
        <v>730</v>
      </c>
      <c r="F37" s="143">
        <v>97</v>
      </c>
      <c r="G37" s="145">
        <f>E37*F37/1000</f>
        <v>70.81</v>
      </c>
      <c r="H37" s="146">
        <f>HLOOKUP(C37,KLDV,2,0)</f>
        <v>0.88800000000000001</v>
      </c>
      <c r="I37" s="147">
        <f>G37*H37</f>
        <v>62.879280000000001</v>
      </c>
    </row>
    <row r="38" spans="1:9" x14ac:dyDescent="0.25">
      <c r="A38" s="1264"/>
      <c r="B38" s="143" t="s">
        <v>529</v>
      </c>
      <c r="C38" s="144">
        <v>14</v>
      </c>
      <c r="D38" s="143" t="str">
        <f t="shared" si="3"/>
        <v>CB400-V</v>
      </c>
      <c r="E38" s="143">
        <v>1715</v>
      </c>
      <c r="F38" s="143">
        <v>26</v>
      </c>
      <c r="G38" s="145">
        <f>E38*F38/1000</f>
        <v>44.59</v>
      </c>
      <c r="H38" s="146">
        <f>HLOOKUP(C38,KLDV,2,0)</f>
        <v>1.21</v>
      </c>
      <c r="I38" s="147">
        <f>G38*H38</f>
        <v>53.953900000000004</v>
      </c>
    </row>
    <row r="39" spans="1:9" x14ac:dyDescent="0.25">
      <c r="A39" s="1264"/>
      <c r="B39" s="143" t="s">
        <v>530</v>
      </c>
      <c r="C39" s="144">
        <v>14</v>
      </c>
      <c r="D39" s="143" t="str">
        <f t="shared" si="3"/>
        <v>CB400-V</v>
      </c>
      <c r="E39" s="143">
        <v>2430</v>
      </c>
      <c r="F39" s="143">
        <v>33</v>
      </c>
      <c r="G39" s="145">
        <f>E39*F39/1000</f>
        <v>80.19</v>
      </c>
      <c r="H39" s="146">
        <f>HLOOKUP(C39,KLDV,2,0)</f>
        <v>1.21</v>
      </c>
      <c r="I39" s="147">
        <f>G39*H39</f>
        <v>97.029899999999998</v>
      </c>
    </row>
    <row r="40" spans="1:9" x14ac:dyDescent="0.25">
      <c r="A40" s="1264"/>
      <c r="B40" s="143" t="s">
        <v>531</v>
      </c>
      <c r="C40" s="144">
        <v>14</v>
      </c>
      <c r="D40" s="143" t="str">
        <f t="shared" si="3"/>
        <v>CB400-V</v>
      </c>
      <c r="E40" s="143">
        <v>1488</v>
      </c>
      <c r="F40" s="143">
        <v>33</v>
      </c>
      <c r="G40" s="145">
        <f>E40*F40/1000</f>
        <v>49.103999999999999</v>
      </c>
      <c r="H40" s="146">
        <f>HLOOKUP(C40,KLDV,2,0)</f>
        <v>1.21</v>
      </c>
      <c r="I40" s="147">
        <f>G40*H40</f>
        <v>59.415839999999996</v>
      </c>
    </row>
    <row r="41" spans="1:9" x14ac:dyDescent="0.25">
      <c r="A41" s="1264"/>
      <c r="B41" s="143" t="s">
        <v>532</v>
      </c>
      <c r="C41" s="144">
        <v>12</v>
      </c>
      <c r="D41" s="143" t="str">
        <f t="shared" si="3"/>
        <v>CB400-V</v>
      </c>
      <c r="E41" s="143">
        <v>4880</v>
      </c>
      <c r="F41" s="143">
        <v>8</v>
      </c>
      <c r="G41" s="145">
        <f>E41*F41/1000</f>
        <v>39.04</v>
      </c>
      <c r="H41" s="146">
        <f>HLOOKUP(C41,KLDV,2,0)</f>
        <v>0.88800000000000001</v>
      </c>
      <c r="I41" s="147">
        <f>G41*H41</f>
        <v>34.667520000000003</v>
      </c>
    </row>
    <row r="42" spans="1:9" x14ac:dyDescent="0.25">
      <c r="A42" s="1265" t="s">
        <v>562</v>
      </c>
      <c r="B42" s="1266"/>
      <c r="C42" s="1266"/>
      <c r="D42" s="1266"/>
      <c r="E42" s="1266"/>
      <c r="F42" s="1266"/>
      <c r="G42" s="1266"/>
      <c r="H42" s="1266"/>
      <c r="I42" s="1267"/>
    </row>
    <row r="43" spans="1:9" x14ac:dyDescent="0.25">
      <c r="A43" s="1268" t="s">
        <v>563</v>
      </c>
      <c r="B43" s="1269"/>
      <c r="C43" s="1269"/>
      <c r="D43" s="1269"/>
      <c r="E43" s="1269"/>
      <c r="F43" s="1269"/>
      <c r="G43" s="1270"/>
      <c r="H43" s="148">
        <v>12</v>
      </c>
      <c r="I43" s="149">
        <f>SUMIF(C26:C41,H43,I26:I41)</f>
        <v>97.546800000000005</v>
      </c>
    </row>
    <row r="44" spans="1:9" x14ac:dyDescent="0.25">
      <c r="A44" s="1271"/>
      <c r="B44" s="1272"/>
      <c r="C44" s="1272"/>
      <c r="D44" s="1272"/>
      <c r="E44" s="1272"/>
      <c r="F44" s="1272"/>
      <c r="G44" s="1273"/>
      <c r="H44" s="150">
        <v>14</v>
      </c>
      <c r="I44" s="151">
        <f>SUMIF(C26:C41,H44,I26:I41)</f>
        <v>210.39964000000001</v>
      </c>
    </row>
    <row r="45" spans="1:9" x14ac:dyDescent="0.25">
      <c r="A45" s="1271"/>
      <c r="B45" s="1272"/>
      <c r="C45" s="1272"/>
      <c r="D45" s="1272"/>
      <c r="E45" s="1272"/>
      <c r="F45" s="1272"/>
      <c r="G45" s="1273"/>
      <c r="H45" s="150">
        <v>16</v>
      </c>
      <c r="I45" s="151">
        <f>SUMIF(C26:C41,H45,I26:I41)</f>
        <v>452.21021999999999</v>
      </c>
    </row>
    <row r="46" spans="1:9" x14ac:dyDescent="0.25">
      <c r="A46" s="1274"/>
      <c r="B46" s="1275"/>
      <c r="C46" s="1275"/>
      <c r="D46" s="1275"/>
      <c r="E46" s="1275"/>
      <c r="F46" s="1275"/>
      <c r="G46" s="1276"/>
      <c r="H46" s="152">
        <v>20</v>
      </c>
      <c r="I46" s="153">
        <f>SUMIF($D$6:$D$21,H46,$J$6:$J$21)</f>
        <v>0</v>
      </c>
    </row>
    <row r="47" spans="1:9" x14ac:dyDescent="0.25">
      <c r="A47" s="185"/>
      <c r="B47" s="186" t="s">
        <v>564</v>
      </c>
      <c r="C47" s="187"/>
      <c r="D47" s="187"/>
      <c r="E47" s="187"/>
      <c r="F47" s="187"/>
      <c r="G47" s="187"/>
      <c r="H47" s="188"/>
      <c r="I47" s="157">
        <f>SUM(I26:I41)</f>
        <v>1436.55628</v>
      </c>
    </row>
    <row r="48" spans="1:9" x14ac:dyDescent="0.25">
      <c r="A48" s="189"/>
      <c r="B48" s="190" t="s">
        <v>565</v>
      </c>
      <c r="C48" s="191"/>
      <c r="D48" s="191"/>
      <c r="E48" s="191"/>
      <c r="F48" s="191"/>
      <c r="G48" s="191"/>
      <c r="H48" s="192"/>
      <c r="I48" s="193">
        <f>ROUND(18*0.5,2)</f>
        <v>9</v>
      </c>
    </row>
    <row r="49" spans="1:9" x14ac:dyDescent="0.25">
      <c r="A49" s="189"/>
      <c r="B49" s="190" t="s">
        <v>566</v>
      </c>
      <c r="C49" s="191"/>
      <c r="D49" s="191"/>
      <c r="E49" s="191"/>
      <c r="F49" s="191"/>
      <c r="G49" s="191"/>
      <c r="H49" s="192"/>
      <c r="I49" s="193">
        <f>ROUND(0.322*5,2)</f>
        <v>1.61</v>
      </c>
    </row>
    <row r="50" spans="1:9" x14ac:dyDescent="0.25">
      <c r="A50" s="189"/>
      <c r="B50" s="190" t="s">
        <v>567</v>
      </c>
      <c r="C50" s="191"/>
      <c r="D50" s="191"/>
      <c r="E50" s="191"/>
      <c r="F50" s="191"/>
      <c r="G50" s="191"/>
      <c r="H50" s="194"/>
      <c r="I50" s="193">
        <f>ROUND(18*2+6.04*0.5,2)+ROUND(0.322*2+1.93*5,2)</f>
        <v>49.31</v>
      </c>
    </row>
    <row r="51" spans="1:9" ht="15.75" thickBot="1" x14ac:dyDescent="0.3">
      <c r="A51" s="195"/>
      <c r="B51" s="196" t="s">
        <v>568</v>
      </c>
      <c r="C51" s="197"/>
      <c r="D51" s="197"/>
      <c r="E51" s="197"/>
      <c r="F51" s="197"/>
      <c r="G51" s="197"/>
      <c r="H51" s="198"/>
      <c r="I51" s="199">
        <f>ROUND(18*1.5+6.3*0.5,2)</f>
        <v>30.15</v>
      </c>
    </row>
    <row r="53" spans="1:9" ht="15.75" thickBot="1" x14ac:dyDescent="0.3"/>
    <row r="54" spans="1:9" ht="25.5" x14ac:dyDescent="0.25">
      <c r="A54" s="1256" t="s">
        <v>547</v>
      </c>
      <c r="B54" s="1258" t="s">
        <v>548</v>
      </c>
      <c r="C54" s="1081" t="s">
        <v>549</v>
      </c>
      <c r="D54" s="1258" t="s">
        <v>550</v>
      </c>
      <c r="E54" s="1081" t="s">
        <v>551</v>
      </c>
      <c r="F54" s="1081" t="s">
        <v>552</v>
      </c>
      <c r="G54" s="1081" t="s">
        <v>553</v>
      </c>
      <c r="H54" s="1081" t="s">
        <v>554</v>
      </c>
      <c r="I54" s="1105" t="s">
        <v>555</v>
      </c>
    </row>
    <row r="55" spans="1:9" x14ac:dyDescent="0.25">
      <c r="A55" s="1257"/>
      <c r="B55" s="1259"/>
      <c r="C55" s="1082" t="s">
        <v>556</v>
      </c>
      <c r="D55" s="1259"/>
      <c r="E55" s="1082" t="s">
        <v>556</v>
      </c>
      <c r="F55" s="1082" t="s">
        <v>557</v>
      </c>
      <c r="G55" s="1082" t="s">
        <v>558</v>
      </c>
      <c r="H55" s="1082" t="s">
        <v>559</v>
      </c>
      <c r="I55" s="1106" t="s">
        <v>560</v>
      </c>
    </row>
    <row r="56" spans="1:9" x14ac:dyDescent="0.25">
      <c r="A56" s="1263" t="s">
        <v>569</v>
      </c>
      <c r="B56" s="138" t="s">
        <v>428</v>
      </c>
      <c r="C56" s="139">
        <v>16</v>
      </c>
      <c r="D56" s="138" t="str">
        <f t="shared" ref="D56:D71" si="7">+IF(C56&lt;=10,"CB240-T","CB400-V")</f>
        <v>CB400-V</v>
      </c>
      <c r="E56" s="138">
        <v>6933</v>
      </c>
      <c r="F56" s="138">
        <v>17</v>
      </c>
      <c r="G56" s="140">
        <f t="shared" ref="G56:G71" si="8">E56*F56/1000</f>
        <v>117.861</v>
      </c>
      <c r="H56" s="141">
        <f t="shared" ref="H56:H71" si="9">HLOOKUP(C56,KLDV,2,0)</f>
        <v>1.58</v>
      </c>
      <c r="I56" s="142">
        <f t="shared" ref="I56:I71" si="10">G56*H56</f>
        <v>186.22038000000001</v>
      </c>
    </row>
    <row r="57" spans="1:9" x14ac:dyDescent="0.25">
      <c r="A57" s="1264"/>
      <c r="B57" s="143" t="s">
        <v>429</v>
      </c>
      <c r="C57" s="144">
        <v>20</v>
      </c>
      <c r="D57" s="143" t="str">
        <f t="shared" si="7"/>
        <v>CB400-V</v>
      </c>
      <c r="E57" s="143">
        <v>6933</v>
      </c>
      <c r="F57" s="143">
        <f>+F56</f>
        <v>17</v>
      </c>
      <c r="G57" s="145">
        <f t="shared" si="8"/>
        <v>117.861</v>
      </c>
      <c r="H57" s="146">
        <f t="shared" si="9"/>
        <v>2.4700000000000002</v>
      </c>
      <c r="I57" s="147">
        <f t="shared" si="10"/>
        <v>291.11667000000006</v>
      </c>
    </row>
    <row r="58" spans="1:9" x14ac:dyDescent="0.25">
      <c r="A58" s="1264"/>
      <c r="B58" s="143" t="s">
        <v>430</v>
      </c>
      <c r="C58" s="144">
        <v>16</v>
      </c>
      <c r="D58" s="143" t="str">
        <f t="shared" si="7"/>
        <v>CB400-V</v>
      </c>
      <c r="E58" s="143">
        <v>3870</v>
      </c>
      <c r="F58" s="143">
        <v>14</v>
      </c>
      <c r="G58" s="145">
        <f t="shared" si="8"/>
        <v>54.18</v>
      </c>
      <c r="H58" s="146">
        <f t="shared" si="9"/>
        <v>1.58</v>
      </c>
      <c r="I58" s="147">
        <f t="shared" si="10"/>
        <v>85.604399999999998</v>
      </c>
    </row>
    <row r="59" spans="1:9" x14ac:dyDescent="0.25">
      <c r="A59" s="1264"/>
      <c r="B59" s="143" t="s">
        <v>431</v>
      </c>
      <c r="C59" s="144">
        <v>20</v>
      </c>
      <c r="D59" s="143" t="str">
        <f t="shared" si="7"/>
        <v>CB400-V</v>
      </c>
      <c r="E59" s="143">
        <f>+E58</f>
        <v>3870</v>
      </c>
      <c r="F59" s="143">
        <f>+F58</f>
        <v>14</v>
      </c>
      <c r="G59" s="145">
        <f t="shared" si="8"/>
        <v>54.18</v>
      </c>
      <c r="H59" s="146">
        <f t="shared" si="9"/>
        <v>2.4700000000000002</v>
      </c>
      <c r="I59" s="147">
        <f t="shared" si="10"/>
        <v>133.8246</v>
      </c>
    </row>
    <row r="60" spans="1:9" x14ac:dyDescent="0.25">
      <c r="A60" s="1264"/>
      <c r="B60" s="143" t="s">
        <v>432</v>
      </c>
      <c r="C60" s="144">
        <v>16</v>
      </c>
      <c r="D60" s="143" t="str">
        <f t="shared" si="7"/>
        <v>CB400-V</v>
      </c>
      <c r="E60" s="143">
        <v>4395</v>
      </c>
      <c r="F60" s="143">
        <v>7</v>
      </c>
      <c r="G60" s="145">
        <f t="shared" si="8"/>
        <v>30.765000000000001</v>
      </c>
      <c r="H60" s="146">
        <f t="shared" si="9"/>
        <v>1.58</v>
      </c>
      <c r="I60" s="147">
        <f t="shared" si="10"/>
        <v>48.608700000000006</v>
      </c>
    </row>
    <row r="61" spans="1:9" x14ac:dyDescent="0.25">
      <c r="A61" s="1264"/>
      <c r="B61" s="143" t="s">
        <v>433</v>
      </c>
      <c r="C61" s="144">
        <v>20</v>
      </c>
      <c r="D61" s="143" t="str">
        <f t="shared" si="7"/>
        <v>CB400-V</v>
      </c>
      <c r="E61" s="143">
        <f>+E60</f>
        <v>4395</v>
      </c>
      <c r="F61" s="143">
        <f>+F60</f>
        <v>7</v>
      </c>
      <c r="G61" s="145">
        <f t="shared" si="8"/>
        <v>30.765000000000001</v>
      </c>
      <c r="H61" s="146">
        <f t="shared" si="9"/>
        <v>2.4700000000000002</v>
      </c>
      <c r="I61" s="147">
        <f t="shared" si="10"/>
        <v>75.989550000000008</v>
      </c>
    </row>
    <row r="62" spans="1:9" x14ac:dyDescent="0.25">
      <c r="A62" s="1264"/>
      <c r="B62" s="143" t="s">
        <v>434</v>
      </c>
      <c r="C62" s="144">
        <v>16</v>
      </c>
      <c r="D62" s="143" t="str">
        <f t="shared" si="7"/>
        <v>CB400-V</v>
      </c>
      <c r="E62" s="143">
        <v>4466</v>
      </c>
      <c r="F62" s="143">
        <v>6</v>
      </c>
      <c r="G62" s="145">
        <f t="shared" si="8"/>
        <v>26.795999999999999</v>
      </c>
      <c r="H62" s="146">
        <f t="shared" si="9"/>
        <v>1.58</v>
      </c>
      <c r="I62" s="147">
        <f t="shared" si="10"/>
        <v>42.337679999999999</v>
      </c>
    </row>
    <row r="63" spans="1:9" x14ac:dyDescent="0.25">
      <c r="A63" s="1264"/>
      <c r="B63" s="143" t="s">
        <v>435</v>
      </c>
      <c r="C63" s="144">
        <v>20</v>
      </c>
      <c r="D63" s="143" t="str">
        <f t="shared" si="7"/>
        <v>CB400-V</v>
      </c>
      <c r="E63" s="143">
        <v>4610</v>
      </c>
      <c r="F63" s="143">
        <f>+F62</f>
        <v>6</v>
      </c>
      <c r="G63" s="145">
        <f t="shared" si="8"/>
        <v>27.66</v>
      </c>
      <c r="H63" s="146">
        <f t="shared" si="9"/>
        <v>2.4700000000000002</v>
      </c>
      <c r="I63" s="147">
        <f t="shared" si="10"/>
        <v>68.3202</v>
      </c>
    </row>
    <row r="64" spans="1:9" x14ac:dyDescent="0.25">
      <c r="A64" s="1264"/>
      <c r="B64" s="143" t="s">
        <v>436</v>
      </c>
      <c r="C64" s="144">
        <v>16</v>
      </c>
      <c r="D64" s="143" t="str">
        <f t="shared" si="7"/>
        <v>CB400-V</v>
      </c>
      <c r="E64" s="143">
        <v>4966</v>
      </c>
      <c r="F64" s="143">
        <v>7</v>
      </c>
      <c r="G64" s="145">
        <f t="shared" si="8"/>
        <v>34.762</v>
      </c>
      <c r="H64" s="146">
        <f t="shared" si="9"/>
        <v>1.58</v>
      </c>
      <c r="I64" s="147">
        <f t="shared" si="10"/>
        <v>54.923960000000001</v>
      </c>
    </row>
    <row r="65" spans="1:9" x14ac:dyDescent="0.25">
      <c r="A65" s="1264"/>
      <c r="B65" s="143" t="s">
        <v>526</v>
      </c>
      <c r="C65" s="144">
        <v>20</v>
      </c>
      <c r="D65" s="143" t="str">
        <f t="shared" si="7"/>
        <v>CB400-V</v>
      </c>
      <c r="E65" s="143">
        <v>5110</v>
      </c>
      <c r="F65" s="143">
        <f>+F64</f>
        <v>7</v>
      </c>
      <c r="G65" s="145">
        <f t="shared" si="8"/>
        <v>35.770000000000003</v>
      </c>
      <c r="H65" s="146">
        <f t="shared" si="9"/>
        <v>2.4700000000000002</v>
      </c>
      <c r="I65" s="147">
        <f t="shared" si="10"/>
        <v>88.351900000000015</v>
      </c>
    </row>
    <row r="66" spans="1:9" x14ac:dyDescent="0.25">
      <c r="A66" s="1264"/>
      <c r="B66" s="143" t="s">
        <v>527</v>
      </c>
      <c r="C66" s="144">
        <v>16</v>
      </c>
      <c r="D66" s="143" t="str">
        <f t="shared" si="7"/>
        <v>CB400-V</v>
      </c>
      <c r="E66" s="143">
        <v>4745</v>
      </c>
      <c r="F66" s="143">
        <v>3</v>
      </c>
      <c r="G66" s="145">
        <f t="shared" si="8"/>
        <v>14.234999999999999</v>
      </c>
      <c r="H66" s="146">
        <f t="shared" si="9"/>
        <v>1.58</v>
      </c>
      <c r="I66" s="147">
        <f t="shared" si="10"/>
        <v>22.491299999999999</v>
      </c>
    </row>
    <row r="67" spans="1:9" x14ac:dyDescent="0.25">
      <c r="A67" s="1264"/>
      <c r="B67" s="143" t="s">
        <v>528</v>
      </c>
      <c r="C67" s="144">
        <v>12</v>
      </c>
      <c r="D67" s="143" t="str">
        <f t="shared" si="7"/>
        <v>CB400-V</v>
      </c>
      <c r="E67" s="143">
        <v>730</v>
      </c>
      <c r="F67" s="143">
        <v>96</v>
      </c>
      <c r="G67" s="145">
        <f t="shared" si="8"/>
        <v>70.08</v>
      </c>
      <c r="H67" s="146">
        <f t="shared" si="9"/>
        <v>0.88800000000000001</v>
      </c>
      <c r="I67" s="147">
        <f t="shared" si="10"/>
        <v>62.23104</v>
      </c>
    </row>
    <row r="68" spans="1:9" x14ac:dyDescent="0.25">
      <c r="A68" s="1264"/>
      <c r="B68" s="143" t="s">
        <v>529</v>
      </c>
      <c r="C68" s="144">
        <v>14</v>
      </c>
      <c r="D68" s="143" t="str">
        <f t="shared" si="7"/>
        <v>CB400-V</v>
      </c>
      <c r="E68" s="143">
        <v>1715</v>
      </c>
      <c r="F68" s="143">
        <v>26</v>
      </c>
      <c r="G68" s="145">
        <f t="shared" si="8"/>
        <v>44.59</v>
      </c>
      <c r="H68" s="146">
        <f t="shared" si="9"/>
        <v>1.21</v>
      </c>
      <c r="I68" s="147">
        <f t="shared" si="10"/>
        <v>53.953900000000004</v>
      </c>
    </row>
    <row r="69" spans="1:9" x14ac:dyDescent="0.25">
      <c r="A69" s="1264"/>
      <c r="B69" s="143" t="s">
        <v>530</v>
      </c>
      <c r="C69" s="144">
        <v>14</v>
      </c>
      <c r="D69" s="143" t="str">
        <f t="shared" si="7"/>
        <v>CB400-V</v>
      </c>
      <c r="E69" s="143">
        <v>2430</v>
      </c>
      <c r="F69" s="143">
        <v>34</v>
      </c>
      <c r="G69" s="145">
        <f t="shared" si="8"/>
        <v>82.62</v>
      </c>
      <c r="H69" s="146">
        <f t="shared" si="9"/>
        <v>1.21</v>
      </c>
      <c r="I69" s="147">
        <f t="shared" si="10"/>
        <v>99.970200000000006</v>
      </c>
    </row>
    <row r="70" spans="1:9" x14ac:dyDescent="0.25">
      <c r="A70" s="1264"/>
      <c r="B70" s="143" t="s">
        <v>531</v>
      </c>
      <c r="C70" s="144">
        <v>14</v>
      </c>
      <c r="D70" s="143" t="str">
        <f t="shared" si="7"/>
        <v>CB400-V</v>
      </c>
      <c r="E70" s="143">
        <v>1488</v>
      </c>
      <c r="F70" s="143">
        <f>+F69</f>
        <v>34</v>
      </c>
      <c r="G70" s="145">
        <f t="shared" si="8"/>
        <v>50.591999999999999</v>
      </c>
      <c r="H70" s="146">
        <f t="shared" si="9"/>
        <v>1.21</v>
      </c>
      <c r="I70" s="147">
        <f t="shared" si="10"/>
        <v>61.216319999999996</v>
      </c>
    </row>
    <row r="71" spans="1:9" x14ac:dyDescent="0.25">
      <c r="A71" s="1264"/>
      <c r="B71" s="143" t="s">
        <v>532</v>
      </c>
      <c r="C71" s="144">
        <v>12</v>
      </c>
      <c r="D71" s="143" t="str">
        <f t="shared" si="7"/>
        <v>CB400-V</v>
      </c>
      <c r="E71" s="143">
        <v>4800</v>
      </c>
      <c r="F71" s="143">
        <v>8</v>
      </c>
      <c r="G71" s="145">
        <f t="shared" si="8"/>
        <v>38.4</v>
      </c>
      <c r="H71" s="146">
        <f t="shared" si="9"/>
        <v>0.88800000000000001</v>
      </c>
      <c r="I71" s="147">
        <f t="shared" si="10"/>
        <v>34.099199999999996</v>
      </c>
    </row>
    <row r="72" spans="1:9" x14ac:dyDescent="0.25">
      <c r="A72" s="1265" t="s">
        <v>562</v>
      </c>
      <c r="B72" s="1266"/>
      <c r="C72" s="1266"/>
      <c r="D72" s="1266"/>
      <c r="E72" s="1266"/>
      <c r="F72" s="1266"/>
      <c r="G72" s="1266"/>
      <c r="H72" s="1266"/>
      <c r="I72" s="1267"/>
    </row>
    <row r="73" spans="1:9" x14ac:dyDescent="0.25">
      <c r="A73" s="1268" t="s">
        <v>563</v>
      </c>
      <c r="B73" s="1269"/>
      <c r="C73" s="1269"/>
      <c r="D73" s="1269"/>
      <c r="E73" s="1269"/>
      <c r="F73" s="1269"/>
      <c r="G73" s="1270"/>
      <c r="H73" s="148">
        <v>12</v>
      </c>
      <c r="I73" s="149">
        <f>SUMIF(C56:C71,H73,I56:I71)</f>
        <v>96.330240000000003</v>
      </c>
    </row>
    <row r="74" spans="1:9" x14ac:dyDescent="0.25">
      <c r="A74" s="1271"/>
      <c r="B74" s="1272"/>
      <c r="C74" s="1272"/>
      <c r="D74" s="1272"/>
      <c r="E74" s="1272"/>
      <c r="F74" s="1272"/>
      <c r="G74" s="1273"/>
      <c r="H74" s="150">
        <v>14</v>
      </c>
      <c r="I74" s="151">
        <f>SUMIF(C56:C71,H74,I56:I71)</f>
        <v>215.14042000000001</v>
      </c>
    </row>
    <row r="75" spans="1:9" x14ac:dyDescent="0.25">
      <c r="A75" s="1271"/>
      <c r="B75" s="1272"/>
      <c r="C75" s="1272"/>
      <c r="D75" s="1272"/>
      <c r="E75" s="1272"/>
      <c r="F75" s="1272"/>
      <c r="G75" s="1273"/>
      <c r="H75" s="150">
        <v>16</v>
      </c>
      <c r="I75" s="151">
        <f>SUMIF(C56:C71,H75,I56:I71)</f>
        <v>440.18642000000006</v>
      </c>
    </row>
    <row r="76" spans="1:9" x14ac:dyDescent="0.25">
      <c r="A76" s="1274"/>
      <c r="B76" s="1275"/>
      <c r="C76" s="1275"/>
      <c r="D76" s="1275"/>
      <c r="E76" s="1275"/>
      <c r="F76" s="1275"/>
      <c r="G76" s="1276"/>
      <c r="H76" s="152">
        <v>20</v>
      </c>
      <c r="I76" s="153">
        <f>SUMIF($D$6:$D$21,H76,$J$6:$J$21)</f>
        <v>0</v>
      </c>
    </row>
    <row r="77" spans="1:9" x14ac:dyDescent="0.25">
      <c r="A77" s="154"/>
      <c r="B77" s="186" t="s">
        <v>564</v>
      </c>
      <c r="C77" s="187"/>
      <c r="D77" s="187"/>
      <c r="E77" s="187"/>
      <c r="F77" s="187"/>
      <c r="G77" s="187"/>
      <c r="H77" s="188"/>
      <c r="I77" s="157">
        <f>SUM(I56:I71)</f>
        <v>1409.2599999999998</v>
      </c>
    </row>
    <row r="78" spans="1:9" x14ac:dyDescent="0.25">
      <c r="A78" s="155"/>
      <c r="B78" s="190" t="s">
        <v>565</v>
      </c>
      <c r="C78" s="191"/>
      <c r="D78" s="191"/>
      <c r="E78" s="191"/>
      <c r="F78" s="191"/>
      <c r="G78" s="191"/>
      <c r="H78" s="192"/>
      <c r="I78" s="193">
        <f>ROUND(17.43*0.5,2)</f>
        <v>8.7200000000000006</v>
      </c>
    </row>
    <row r="79" spans="1:9" x14ac:dyDescent="0.25">
      <c r="A79" s="155"/>
      <c r="B79" s="190" t="s">
        <v>566</v>
      </c>
      <c r="C79" s="191"/>
      <c r="D79" s="191"/>
      <c r="E79" s="191"/>
      <c r="F79" s="191"/>
      <c r="G79" s="191"/>
      <c r="H79" s="192"/>
      <c r="I79" s="193">
        <f>ROUND(0.322*5,2)</f>
        <v>1.61</v>
      </c>
    </row>
    <row r="80" spans="1:9" x14ac:dyDescent="0.25">
      <c r="A80" s="155"/>
      <c r="B80" s="190" t="s">
        <v>567</v>
      </c>
      <c r="C80" s="191"/>
      <c r="D80" s="191"/>
      <c r="E80" s="191"/>
      <c r="F80" s="191"/>
      <c r="G80" s="191"/>
      <c r="H80" s="194"/>
      <c r="I80" s="193">
        <f>ROUND(17.43*2+5.82*0.5,2)+ROUND(0.322*2+1.93*5,2)</f>
        <v>48.06</v>
      </c>
    </row>
    <row r="81" spans="1:9" ht="15.75" thickBot="1" x14ac:dyDescent="0.3">
      <c r="A81" s="156"/>
      <c r="B81" s="196" t="s">
        <v>568</v>
      </c>
      <c r="C81" s="197"/>
      <c r="D81" s="197"/>
      <c r="E81" s="197"/>
      <c r="F81" s="197"/>
      <c r="G81" s="197"/>
      <c r="H81" s="198"/>
      <c r="I81" s="199">
        <f>ROUND(17.43*1.5+5.82*0.5,2)</f>
        <v>29.06</v>
      </c>
    </row>
    <row r="82" spans="1:9" ht="15.75" thickBot="1" x14ac:dyDescent="0.3"/>
    <row r="83" spans="1:9" ht="25.5" x14ac:dyDescent="0.25">
      <c r="A83" s="1256" t="s">
        <v>547</v>
      </c>
      <c r="B83" s="1258" t="s">
        <v>548</v>
      </c>
      <c r="C83" s="1081" t="s">
        <v>549</v>
      </c>
      <c r="D83" s="1258" t="s">
        <v>550</v>
      </c>
      <c r="E83" s="1081" t="s">
        <v>551</v>
      </c>
      <c r="F83" s="1081" t="s">
        <v>552</v>
      </c>
      <c r="G83" s="1081" t="s">
        <v>553</v>
      </c>
      <c r="H83" s="1081" t="s">
        <v>554</v>
      </c>
      <c r="I83" s="1105" t="s">
        <v>555</v>
      </c>
    </row>
    <row r="84" spans="1:9" x14ac:dyDescent="0.25">
      <c r="A84" s="1257"/>
      <c r="B84" s="1259"/>
      <c r="C84" s="1082" t="s">
        <v>556</v>
      </c>
      <c r="D84" s="1259"/>
      <c r="E84" s="1082" t="s">
        <v>556</v>
      </c>
      <c r="F84" s="1082" t="s">
        <v>557</v>
      </c>
      <c r="G84" s="1082" t="s">
        <v>558</v>
      </c>
      <c r="H84" s="1082" t="s">
        <v>559</v>
      </c>
      <c r="I84" s="1106" t="s">
        <v>560</v>
      </c>
    </row>
    <row r="85" spans="1:9" x14ac:dyDescent="0.25">
      <c r="A85" s="1263" t="s">
        <v>570</v>
      </c>
      <c r="B85" s="138" t="s">
        <v>428</v>
      </c>
      <c r="C85" s="139">
        <v>20</v>
      </c>
      <c r="D85" s="138" t="str">
        <f t="shared" ref="D85:D92" si="11">+IF(C85&lt;=10,"CB240-T","CB400-V")</f>
        <v>CB400-V</v>
      </c>
      <c r="E85" s="138">
        <v>6292</v>
      </c>
      <c r="F85" s="138">
        <v>77</v>
      </c>
      <c r="G85" s="140">
        <f t="shared" ref="G85:G92" si="12">E85*F85/1000</f>
        <v>484.48399999999998</v>
      </c>
      <c r="H85" s="141">
        <f t="shared" ref="H85:H92" si="13">HLOOKUP(C85,KLDV,2,0)</f>
        <v>2.4700000000000002</v>
      </c>
      <c r="I85" s="142">
        <f t="shared" ref="I85:I92" si="14">G85*H85</f>
        <v>1196.6754800000001</v>
      </c>
    </row>
    <row r="86" spans="1:9" x14ac:dyDescent="0.25">
      <c r="A86" s="1264"/>
      <c r="B86" s="143" t="s">
        <v>429</v>
      </c>
      <c r="C86" s="144">
        <v>18</v>
      </c>
      <c r="D86" s="143" t="str">
        <f t="shared" si="11"/>
        <v>CB400-V</v>
      </c>
      <c r="E86" s="143">
        <v>12637</v>
      </c>
      <c r="F86" s="143">
        <v>39</v>
      </c>
      <c r="G86" s="145">
        <f t="shared" si="12"/>
        <v>492.84300000000002</v>
      </c>
      <c r="H86" s="146">
        <f t="shared" si="13"/>
        <v>2</v>
      </c>
      <c r="I86" s="147">
        <f t="shared" si="14"/>
        <v>985.68600000000004</v>
      </c>
    </row>
    <row r="87" spans="1:9" x14ac:dyDescent="0.25">
      <c r="A87" s="1264"/>
      <c r="B87" s="143" t="s">
        <v>430</v>
      </c>
      <c r="C87" s="144">
        <v>22</v>
      </c>
      <c r="D87" s="143" t="str">
        <f t="shared" si="11"/>
        <v>CB400-V</v>
      </c>
      <c r="E87" s="143">
        <v>6540</v>
      </c>
      <c r="F87" s="143">
        <f>+F85</f>
        <v>77</v>
      </c>
      <c r="G87" s="145">
        <f t="shared" si="12"/>
        <v>503.58</v>
      </c>
      <c r="H87" s="146">
        <f t="shared" si="13"/>
        <v>2.98</v>
      </c>
      <c r="I87" s="147">
        <f t="shared" si="14"/>
        <v>1500.6684</v>
      </c>
    </row>
    <row r="88" spans="1:9" x14ac:dyDescent="0.25">
      <c r="A88" s="1264"/>
      <c r="B88" s="143" t="s">
        <v>431</v>
      </c>
      <c r="C88" s="144">
        <v>20</v>
      </c>
      <c r="D88" s="143" t="str">
        <f t="shared" si="11"/>
        <v>CB400-V</v>
      </c>
      <c r="E88" s="143">
        <v>12765</v>
      </c>
      <c r="F88" s="143">
        <f>+F86</f>
        <v>39</v>
      </c>
      <c r="G88" s="145">
        <f t="shared" si="12"/>
        <v>497.83499999999998</v>
      </c>
      <c r="H88" s="146">
        <f t="shared" si="13"/>
        <v>2.4700000000000002</v>
      </c>
      <c r="I88" s="147">
        <f t="shared" si="14"/>
        <v>1229.65245</v>
      </c>
    </row>
    <row r="89" spans="1:9" x14ac:dyDescent="0.25">
      <c r="A89" s="1264"/>
      <c r="B89" s="143" t="s">
        <v>432</v>
      </c>
      <c r="C89" s="144">
        <v>14</v>
      </c>
      <c r="D89" s="143" t="str">
        <f t="shared" si="11"/>
        <v>CB400-V</v>
      </c>
      <c r="E89" s="143">
        <v>12381</v>
      </c>
      <c r="F89" s="143">
        <v>20</v>
      </c>
      <c r="G89" s="145">
        <f t="shared" si="12"/>
        <v>247.62</v>
      </c>
      <c r="H89" s="146">
        <f t="shared" si="13"/>
        <v>1.21</v>
      </c>
      <c r="I89" s="147">
        <f t="shared" si="14"/>
        <v>299.62020000000001</v>
      </c>
    </row>
    <row r="90" spans="1:9" x14ac:dyDescent="0.25">
      <c r="A90" s="1264"/>
      <c r="B90" s="143" t="s">
        <v>433</v>
      </c>
      <c r="C90" s="144">
        <v>14</v>
      </c>
      <c r="D90" s="143" t="str">
        <f t="shared" si="11"/>
        <v>CB400-V</v>
      </c>
      <c r="E90" s="143">
        <v>6196</v>
      </c>
      <c r="F90" s="143">
        <f>+F89</f>
        <v>20</v>
      </c>
      <c r="G90" s="145">
        <f t="shared" si="12"/>
        <v>123.92</v>
      </c>
      <c r="H90" s="146">
        <f t="shared" si="13"/>
        <v>1.21</v>
      </c>
      <c r="I90" s="147">
        <f t="shared" si="14"/>
        <v>149.94319999999999</v>
      </c>
    </row>
    <row r="91" spans="1:9" x14ac:dyDescent="0.25">
      <c r="A91" s="1264"/>
      <c r="B91" s="143" t="s">
        <v>434</v>
      </c>
      <c r="C91" s="144">
        <v>14</v>
      </c>
      <c r="D91" s="143" t="str">
        <f t="shared" si="11"/>
        <v>CB400-V</v>
      </c>
      <c r="E91" s="143">
        <v>2126</v>
      </c>
      <c r="F91" s="143">
        <f>75*2+13*2</f>
        <v>176</v>
      </c>
      <c r="G91" s="145">
        <f t="shared" si="12"/>
        <v>374.17599999999999</v>
      </c>
      <c r="H91" s="146">
        <f t="shared" si="13"/>
        <v>1.21</v>
      </c>
      <c r="I91" s="147">
        <f t="shared" si="14"/>
        <v>452.75295999999997</v>
      </c>
    </row>
    <row r="92" spans="1:9" x14ac:dyDescent="0.25">
      <c r="A92" s="1264"/>
      <c r="B92" s="143" t="s">
        <v>435</v>
      </c>
      <c r="C92" s="144">
        <v>14</v>
      </c>
      <c r="D92" s="143" t="str">
        <f t="shared" si="11"/>
        <v>CB400-V</v>
      </c>
      <c r="E92" s="143">
        <f>+E91</f>
        <v>2126</v>
      </c>
      <c r="F92" s="143">
        <f>19*7</f>
        <v>133</v>
      </c>
      <c r="G92" s="145">
        <f t="shared" si="12"/>
        <v>282.75799999999998</v>
      </c>
      <c r="H92" s="146">
        <f t="shared" si="13"/>
        <v>1.21</v>
      </c>
      <c r="I92" s="147">
        <f t="shared" si="14"/>
        <v>342.13717999999994</v>
      </c>
    </row>
    <row r="93" spans="1:9" x14ac:dyDescent="0.25">
      <c r="A93" s="1265" t="s">
        <v>562</v>
      </c>
      <c r="B93" s="1266"/>
      <c r="C93" s="1266"/>
      <c r="D93" s="1266"/>
      <c r="E93" s="1266"/>
      <c r="F93" s="1266"/>
      <c r="G93" s="1266"/>
      <c r="H93" s="1266"/>
      <c r="I93" s="1267"/>
    </row>
    <row r="94" spans="1:9" x14ac:dyDescent="0.25">
      <c r="A94" s="1268" t="s">
        <v>563</v>
      </c>
      <c r="B94" s="1269"/>
      <c r="C94" s="1269"/>
      <c r="D94" s="1269"/>
      <c r="E94" s="1269"/>
      <c r="F94" s="1269"/>
      <c r="G94" s="1270"/>
      <c r="H94" s="148">
        <v>14</v>
      </c>
      <c r="I94" s="149">
        <f>SUMIF(C85:C92,H94,I85:I92)</f>
        <v>1244.45354</v>
      </c>
    </row>
    <row r="95" spans="1:9" x14ac:dyDescent="0.25">
      <c r="A95" s="1271"/>
      <c r="B95" s="1272"/>
      <c r="C95" s="1272"/>
      <c r="D95" s="1272"/>
      <c r="E95" s="1272"/>
      <c r="F95" s="1272"/>
      <c r="G95" s="1273"/>
      <c r="H95" s="150">
        <v>20</v>
      </c>
      <c r="I95" s="151">
        <f>SUMIF(C85:C92,H95,I85:I92)</f>
        <v>2426.3279300000004</v>
      </c>
    </row>
    <row r="96" spans="1:9" x14ac:dyDescent="0.25">
      <c r="A96" s="1271"/>
      <c r="B96" s="1272"/>
      <c r="C96" s="1272"/>
      <c r="D96" s="1272"/>
      <c r="E96" s="1272"/>
      <c r="F96" s="1272"/>
      <c r="G96" s="1273"/>
      <c r="H96" s="150">
        <v>22</v>
      </c>
      <c r="I96" s="151">
        <f>SUMIF(C85:C92,H96,I85:I92)</f>
        <v>1500.6684</v>
      </c>
    </row>
    <row r="97" spans="1:16" x14ac:dyDescent="0.25">
      <c r="A97" s="1274"/>
      <c r="B97" s="1275"/>
      <c r="C97" s="1275"/>
      <c r="D97" s="1275"/>
      <c r="E97" s="1275"/>
      <c r="F97" s="1275"/>
      <c r="G97" s="1276"/>
      <c r="H97" s="152">
        <v>25</v>
      </c>
      <c r="I97" s="153">
        <f>SUMIF($D$6:$D$13,H97,$J$6:$J$13)</f>
        <v>0</v>
      </c>
    </row>
    <row r="98" spans="1:16" x14ac:dyDescent="0.25">
      <c r="A98" s="154"/>
      <c r="B98" s="186" t="s">
        <v>564</v>
      </c>
      <c r="C98" s="187"/>
      <c r="D98" s="187"/>
      <c r="E98" s="187"/>
      <c r="F98" s="187"/>
      <c r="G98" s="187"/>
      <c r="H98" s="188"/>
      <c r="I98" s="157">
        <f>SUM(I85:I92)</f>
        <v>6157.1358699999992</v>
      </c>
    </row>
    <row r="99" spans="1:16" x14ac:dyDescent="0.25">
      <c r="A99" s="155"/>
      <c r="B99" s="190" t="s">
        <v>571</v>
      </c>
      <c r="C99" s="191"/>
      <c r="D99" s="191"/>
      <c r="E99" s="191"/>
      <c r="F99" s="191"/>
      <c r="G99" s="191"/>
      <c r="H99" s="192"/>
      <c r="I99" s="193">
        <f>ROUND(D103*D104*D105-PI()*D107*D107/4*D106*0.15,2)</f>
        <v>139.55000000000001</v>
      </c>
    </row>
    <row r="100" spans="1:16" x14ac:dyDescent="0.25">
      <c r="A100" s="155"/>
      <c r="B100" s="190" t="s">
        <v>572</v>
      </c>
      <c r="C100" s="191"/>
      <c r="D100" s="191"/>
      <c r="E100" s="191"/>
      <c r="F100" s="191"/>
      <c r="G100" s="191"/>
      <c r="H100" s="192"/>
      <c r="I100" s="193">
        <f>ROUND((D103+0.2)*(D104+0.2)*0.1-PI()*D107*D107/4*D106*0.1,2)</f>
        <v>6.81</v>
      </c>
    </row>
    <row r="101" spans="1:16" x14ac:dyDescent="0.25">
      <c r="A101" s="155"/>
      <c r="B101" s="190" t="s">
        <v>567</v>
      </c>
      <c r="C101" s="191"/>
      <c r="D101" s="191"/>
      <c r="E101" s="191"/>
      <c r="F101" s="191"/>
      <c r="G101" s="191"/>
      <c r="H101" s="194"/>
      <c r="I101" s="193">
        <f>ROUND((D103+D104)*2*D105,2)</f>
        <v>70.8</v>
      </c>
    </row>
    <row r="102" spans="1:16" ht="15.75" thickBot="1" x14ac:dyDescent="0.3">
      <c r="A102" s="156"/>
      <c r="B102" s="196" t="s">
        <v>568</v>
      </c>
      <c r="C102" s="197"/>
      <c r="D102" s="197"/>
      <c r="E102" s="197"/>
      <c r="F102" s="197"/>
      <c r="G102" s="197"/>
      <c r="H102" s="198"/>
      <c r="I102" s="199">
        <f>ROUND(I101+2*11.7+2.6*10.7,2)</f>
        <v>122.02</v>
      </c>
    </row>
    <row r="103" spans="1:16" hidden="1" x14ac:dyDescent="0.25">
      <c r="A103" s="158"/>
      <c r="B103" s="158"/>
      <c r="C103" s="158" t="s">
        <v>573</v>
      </c>
      <c r="D103" s="158">
        <v>11.7</v>
      </c>
      <c r="E103" s="158" t="s">
        <v>124</v>
      </c>
      <c r="F103" s="158"/>
      <c r="G103" s="158"/>
      <c r="H103" s="158"/>
      <c r="I103" s="158"/>
    </row>
    <row r="104" spans="1:16" hidden="1" x14ac:dyDescent="0.25">
      <c r="A104" s="158"/>
      <c r="B104" s="158"/>
      <c r="C104" s="158" t="s">
        <v>414</v>
      </c>
      <c r="D104" s="158">
        <v>6</v>
      </c>
      <c r="E104" s="158" t="s">
        <v>124</v>
      </c>
      <c r="F104" s="158"/>
      <c r="G104" s="158"/>
      <c r="H104" s="158"/>
      <c r="I104" s="158"/>
    </row>
    <row r="105" spans="1:16" hidden="1" x14ac:dyDescent="0.25">
      <c r="A105" s="158"/>
      <c r="B105" s="158"/>
      <c r="C105" s="158" t="s">
        <v>574</v>
      </c>
      <c r="D105" s="158">
        <v>2</v>
      </c>
      <c r="E105" s="158" t="s">
        <v>124</v>
      </c>
      <c r="F105" s="158"/>
      <c r="G105" s="158"/>
      <c r="H105" s="158"/>
      <c r="I105" s="158"/>
    </row>
    <row r="106" spans="1:16" hidden="1" x14ac:dyDescent="0.25">
      <c r="A106" s="158"/>
      <c r="B106" s="158"/>
      <c r="C106" s="158" t="s">
        <v>575</v>
      </c>
      <c r="D106" s="158">
        <v>5</v>
      </c>
      <c r="E106" s="158" t="s">
        <v>576</v>
      </c>
      <c r="F106" s="158"/>
      <c r="G106" s="158"/>
      <c r="H106" s="158"/>
      <c r="I106" s="158"/>
    </row>
    <row r="107" spans="1:16" hidden="1" x14ac:dyDescent="0.25">
      <c r="A107" s="158"/>
      <c r="B107" s="158"/>
      <c r="C107" s="158" t="s">
        <v>577</v>
      </c>
      <c r="D107" s="158">
        <v>1.2</v>
      </c>
      <c r="E107" s="158" t="s">
        <v>124</v>
      </c>
      <c r="F107" s="158"/>
      <c r="G107" s="158"/>
      <c r="H107" s="158"/>
      <c r="I107" s="158"/>
    </row>
    <row r="108" spans="1:16" ht="15.75" thickBot="1" x14ac:dyDescent="0.3"/>
    <row r="109" spans="1:16" ht="25.5" x14ac:dyDescent="0.25">
      <c r="A109" s="1256" t="s">
        <v>547</v>
      </c>
      <c r="B109" s="1258" t="s">
        <v>548</v>
      </c>
      <c r="C109" s="1081" t="s">
        <v>549</v>
      </c>
      <c r="D109" s="1258" t="s">
        <v>550</v>
      </c>
      <c r="E109" s="1081" t="s">
        <v>551</v>
      </c>
      <c r="F109" s="1081" t="s">
        <v>552</v>
      </c>
      <c r="G109" s="1081" t="s">
        <v>553</v>
      </c>
      <c r="H109" s="1081" t="s">
        <v>554</v>
      </c>
      <c r="I109" s="1105" t="s">
        <v>555</v>
      </c>
      <c r="J109" s="159"/>
      <c r="K109" s="159"/>
      <c r="L109" s="159"/>
      <c r="M109" s="159"/>
      <c r="N109" s="159"/>
      <c r="O109" s="159"/>
      <c r="P109" s="159"/>
    </row>
    <row r="110" spans="1:16" x14ac:dyDescent="0.25">
      <c r="A110" s="1257"/>
      <c r="B110" s="1259"/>
      <c r="C110" s="1082" t="s">
        <v>556</v>
      </c>
      <c r="D110" s="1259"/>
      <c r="E110" s="1082" t="s">
        <v>556</v>
      </c>
      <c r="F110" s="1082" t="s">
        <v>557</v>
      </c>
      <c r="G110" s="1082" t="s">
        <v>558</v>
      </c>
      <c r="H110" s="1082" t="s">
        <v>559</v>
      </c>
      <c r="I110" s="1106" t="s">
        <v>560</v>
      </c>
      <c r="J110" s="158"/>
      <c r="K110" s="158"/>
      <c r="L110" s="158"/>
      <c r="M110" s="158"/>
      <c r="N110" s="158"/>
      <c r="O110" s="158"/>
      <c r="P110" s="158"/>
    </row>
    <row r="111" spans="1:16" x14ac:dyDescent="0.25">
      <c r="A111" s="1277" t="s">
        <v>578</v>
      </c>
      <c r="B111" s="160" t="s">
        <v>357</v>
      </c>
      <c r="C111" s="161">
        <v>10</v>
      </c>
      <c r="D111" s="160" t="str">
        <f t="shared" ref="D111:D119" si="15">+IF(C111&lt;=10,"CB240-T","CB400-V")</f>
        <v>CB240-T</v>
      </c>
      <c r="E111" s="160">
        <v>900</v>
      </c>
      <c r="F111" s="160">
        <v>90</v>
      </c>
      <c r="G111" s="162">
        <f t="shared" ref="G111:G119" si="16">E111*F111/1000</f>
        <v>81</v>
      </c>
      <c r="H111" s="162">
        <f t="shared" ref="H111:H119" si="17">HLOOKUP(C111,KLDV,2,0)</f>
        <v>0.61699999999999999</v>
      </c>
      <c r="I111" s="163">
        <f t="shared" ref="I111:I119" si="18">G111*H111</f>
        <v>49.976999999999997</v>
      </c>
      <c r="J111" s="164"/>
      <c r="K111" s="164"/>
      <c r="L111" s="164"/>
      <c r="M111" s="164"/>
      <c r="N111" s="164"/>
      <c r="O111" s="164"/>
      <c r="P111" s="164"/>
    </row>
    <row r="112" spans="1:16" x14ac:dyDescent="0.25">
      <c r="A112" s="1277"/>
      <c r="B112" s="165" t="s">
        <v>358</v>
      </c>
      <c r="C112" s="150">
        <v>10</v>
      </c>
      <c r="D112" s="165" t="str">
        <f t="shared" si="15"/>
        <v>CB240-T</v>
      </c>
      <c r="E112" s="165">
        <v>800</v>
      </c>
      <c r="F112" s="165">
        <f>10*2*5</f>
        <v>100</v>
      </c>
      <c r="G112" s="166">
        <f>E112*F112/1000</f>
        <v>80</v>
      </c>
      <c r="H112" s="166">
        <f t="shared" si="17"/>
        <v>0.61699999999999999</v>
      </c>
      <c r="I112" s="151">
        <f>G112*H112</f>
        <v>49.36</v>
      </c>
      <c r="J112" s="164"/>
      <c r="K112" s="164"/>
      <c r="L112" s="164"/>
      <c r="M112" s="164"/>
      <c r="N112" s="164"/>
      <c r="O112" s="164"/>
      <c r="P112" s="164"/>
    </row>
    <row r="113" spans="1:16" x14ac:dyDescent="0.25">
      <c r="A113" s="1277"/>
      <c r="B113" s="165" t="s">
        <v>361</v>
      </c>
      <c r="C113" s="150">
        <v>6</v>
      </c>
      <c r="D113" s="165" t="str">
        <f t="shared" si="15"/>
        <v>CB240-T</v>
      </c>
      <c r="E113" s="165">
        <v>450</v>
      </c>
      <c r="F113" s="165">
        <f>12*5</f>
        <v>60</v>
      </c>
      <c r="G113" s="166">
        <f>E113*F113/1000</f>
        <v>27</v>
      </c>
      <c r="H113" s="166">
        <f t="shared" si="17"/>
        <v>0.222</v>
      </c>
      <c r="I113" s="151">
        <f>G113*H113</f>
        <v>5.9939999999999998</v>
      </c>
      <c r="J113" s="164"/>
      <c r="K113" s="164"/>
      <c r="L113" s="164"/>
      <c r="M113" s="164"/>
      <c r="N113" s="164"/>
      <c r="O113" s="164"/>
      <c r="P113" s="164"/>
    </row>
    <row r="114" spans="1:16" x14ac:dyDescent="0.25">
      <c r="A114" s="1277"/>
      <c r="B114" s="165" t="s">
        <v>363</v>
      </c>
      <c r="C114" s="150">
        <v>6</v>
      </c>
      <c r="D114" s="165" t="str">
        <f t="shared" si="15"/>
        <v>CB240-T</v>
      </c>
      <c r="E114" s="165">
        <v>550</v>
      </c>
      <c r="F114" s="165">
        <v>50</v>
      </c>
      <c r="G114" s="166">
        <f>E114*F114/1000</f>
        <v>27.5</v>
      </c>
      <c r="H114" s="166">
        <f t="shared" si="17"/>
        <v>0.222</v>
      </c>
      <c r="I114" s="151">
        <f>G114*H114</f>
        <v>6.1050000000000004</v>
      </c>
      <c r="J114" s="164"/>
      <c r="K114" s="164"/>
      <c r="L114" s="164"/>
      <c r="M114" s="164"/>
      <c r="N114" s="164"/>
      <c r="O114" s="164"/>
      <c r="P114" s="164"/>
    </row>
    <row r="115" spans="1:16" x14ac:dyDescent="0.25">
      <c r="A115" s="167"/>
      <c r="B115" s="168" t="s">
        <v>373</v>
      </c>
      <c r="C115" s="161">
        <v>6</v>
      </c>
      <c r="D115" s="160" t="str">
        <f t="shared" si="15"/>
        <v>CB240-T</v>
      </c>
      <c r="E115" s="160">
        <v>200</v>
      </c>
      <c r="F115" s="160">
        <v>80</v>
      </c>
      <c r="G115" s="166">
        <f>E115*F115/1000</f>
        <v>16</v>
      </c>
      <c r="H115" s="166">
        <f t="shared" si="17"/>
        <v>0.222</v>
      </c>
      <c r="I115" s="151">
        <f>G115*H115</f>
        <v>3.552</v>
      </c>
      <c r="J115" s="164"/>
      <c r="K115" s="164"/>
      <c r="L115" s="164"/>
      <c r="M115" s="164"/>
      <c r="N115" s="164"/>
      <c r="O115" s="164"/>
      <c r="P115" s="164"/>
    </row>
    <row r="116" spans="1:16" x14ac:dyDescent="0.25">
      <c r="A116" s="1278" t="s">
        <v>579</v>
      </c>
      <c r="B116" s="169" t="s">
        <v>365</v>
      </c>
      <c r="C116" s="148">
        <v>10</v>
      </c>
      <c r="D116" s="170" t="str">
        <f>+IF(C116&lt;=10,"CB240-T","CB400-V")</f>
        <v>CB240-T</v>
      </c>
      <c r="E116" s="170">
        <v>1300</v>
      </c>
      <c r="F116" s="170">
        <f>8*2*2</f>
        <v>32</v>
      </c>
      <c r="G116" s="171">
        <f t="shared" si="16"/>
        <v>41.6</v>
      </c>
      <c r="H116" s="171">
        <f t="shared" si="17"/>
        <v>0.61699999999999999</v>
      </c>
      <c r="I116" s="149">
        <f t="shared" si="18"/>
        <v>25.667200000000001</v>
      </c>
      <c r="J116" s="164"/>
      <c r="K116" s="164"/>
      <c r="L116" s="164"/>
      <c r="M116" s="164"/>
      <c r="N116" s="164"/>
      <c r="O116" s="164"/>
      <c r="P116" s="164"/>
    </row>
    <row r="117" spans="1:16" x14ac:dyDescent="0.25">
      <c r="A117" s="1277"/>
      <c r="B117" s="165" t="s">
        <v>370</v>
      </c>
      <c r="C117" s="150">
        <v>10</v>
      </c>
      <c r="D117" s="165" t="str">
        <f>+IF(C117&lt;=10,"CB240-T","CB400-V")</f>
        <v>CB240-T</v>
      </c>
      <c r="E117" s="165">
        <v>3000</v>
      </c>
      <c r="F117" s="165">
        <f>2*2</f>
        <v>4</v>
      </c>
      <c r="G117" s="166">
        <f>E117*F117/1000</f>
        <v>12</v>
      </c>
      <c r="H117" s="166">
        <f t="shared" si="17"/>
        <v>0.61699999999999999</v>
      </c>
      <c r="I117" s="151">
        <f>G117*H117</f>
        <v>7.4039999999999999</v>
      </c>
      <c r="J117" s="164"/>
      <c r="K117" s="164"/>
      <c r="L117" s="164"/>
      <c r="M117" s="164"/>
      <c r="N117" s="164"/>
      <c r="O117" s="164"/>
      <c r="P117" s="164"/>
    </row>
    <row r="118" spans="1:16" x14ac:dyDescent="0.25">
      <c r="A118" s="1277"/>
      <c r="B118" s="168" t="s">
        <v>373</v>
      </c>
      <c r="C118" s="161">
        <v>10</v>
      </c>
      <c r="D118" s="165" t="str">
        <f t="shared" si="15"/>
        <v>CB240-T</v>
      </c>
      <c r="E118" s="160">
        <v>3520</v>
      </c>
      <c r="F118" s="160">
        <f>6*2</f>
        <v>12</v>
      </c>
      <c r="G118" s="162">
        <f t="shared" si="16"/>
        <v>42.24</v>
      </c>
      <c r="H118" s="162">
        <f t="shared" si="17"/>
        <v>0.61699999999999999</v>
      </c>
      <c r="I118" s="163">
        <f t="shared" si="18"/>
        <v>26.062080000000002</v>
      </c>
      <c r="J118" s="164"/>
      <c r="K118" s="164"/>
      <c r="L118" s="164"/>
      <c r="M118" s="164"/>
      <c r="N118" s="164"/>
      <c r="O118" s="164"/>
      <c r="P118" s="164"/>
    </row>
    <row r="119" spans="1:16" x14ac:dyDescent="0.25">
      <c r="A119" s="1277"/>
      <c r="B119" s="168" t="s">
        <v>534</v>
      </c>
      <c r="C119" s="161">
        <v>8</v>
      </c>
      <c r="D119" s="165" t="str">
        <f t="shared" si="15"/>
        <v>CB240-T</v>
      </c>
      <c r="E119" s="160">
        <v>200</v>
      </c>
      <c r="F119" s="160">
        <f>6*2</f>
        <v>12</v>
      </c>
      <c r="G119" s="162">
        <f t="shared" si="16"/>
        <v>2.4</v>
      </c>
      <c r="H119" s="162">
        <f t="shared" si="17"/>
        <v>0.39500000000000002</v>
      </c>
      <c r="I119" s="163">
        <f t="shared" si="18"/>
        <v>0.94799999999999995</v>
      </c>
      <c r="J119" s="164"/>
      <c r="K119" s="164"/>
      <c r="L119" s="164"/>
      <c r="M119" s="164"/>
      <c r="N119" s="164"/>
      <c r="O119" s="164"/>
      <c r="P119" s="164"/>
    </row>
    <row r="120" spans="1:16" x14ac:dyDescent="0.25">
      <c r="A120" s="1265" t="s">
        <v>562</v>
      </c>
      <c r="B120" s="1266"/>
      <c r="C120" s="1266"/>
      <c r="D120" s="1266"/>
      <c r="E120" s="1266"/>
      <c r="F120" s="1266"/>
      <c r="G120" s="1266"/>
      <c r="H120" s="1266"/>
      <c r="I120" s="1267"/>
      <c r="J120" s="164"/>
      <c r="K120" s="164"/>
      <c r="L120" s="164"/>
      <c r="M120" s="164"/>
      <c r="N120" s="164"/>
      <c r="O120" s="164"/>
      <c r="P120" s="164"/>
    </row>
    <row r="121" spans="1:16" x14ac:dyDescent="0.25">
      <c r="A121" s="172"/>
      <c r="B121" s="173"/>
      <c r="C121" s="173"/>
      <c r="D121" s="173"/>
      <c r="E121" s="173"/>
      <c r="F121" s="173"/>
      <c r="G121" s="173"/>
      <c r="H121" s="150">
        <v>6</v>
      </c>
      <c r="I121" s="163">
        <f>SUMIF($C$111:$C$119,H121,$I$111:$I$119)</f>
        <v>15.651</v>
      </c>
      <c r="J121" s="164"/>
      <c r="K121" s="164"/>
      <c r="L121" s="164"/>
      <c r="M121" s="164"/>
      <c r="N121" s="164"/>
      <c r="O121" s="164"/>
      <c r="P121" s="164"/>
    </row>
    <row r="122" spans="1:16" x14ac:dyDescent="0.25">
      <c r="A122" s="1271" t="s">
        <v>563</v>
      </c>
      <c r="B122" s="1272"/>
      <c r="C122" s="1272"/>
      <c r="D122" s="1272"/>
      <c r="E122" s="1272"/>
      <c r="F122" s="1272"/>
      <c r="G122" s="1273"/>
      <c r="H122" s="150">
        <v>8</v>
      </c>
      <c r="I122" s="163">
        <f t="shared" ref="I122:I123" si="19">SUMIF($C$111:$C$119,H122,$I$111:$I$119)</f>
        <v>0.94799999999999995</v>
      </c>
      <c r="J122" s="164"/>
      <c r="K122" s="174" t="s">
        <v>580</v>
      </c>
      <c r="L122" s="174"/>
      <c r="M122" s="174"/>
      <c r="N122" s="164"/>
      <c r="O122" s="164"/>
      <c r="P122" s="164"/>
    </row>
    <row r="123" spans="1:16" x14ac:dyDescent="0.25">
      <c r="A123" s="1271"/>
      <c r="B123" s="1272"/>
      <c r="C123" s="1272"/>
      <c r="D123" s="1272"/>
      <c r="E123" s="1272"/>
      <c r="F123" s="1272"/>
      <c r="G123" s="1273"/>
      <c r="H123" s="150">
        <v>10</v>
      </c>
      <c r="I123" s="163">
        <f t="shared" si="19"/>
        <v>158.47028</v>
      </c>
      <c r="J123" s="164"/>
      <c r="K123" s="175">
        <f>SUM(I122:I123)</f>
        <v>159.41828000000001</v>
      </c>
      <c r="L123" s="175">
        <f>+I124-K123</f>
        <v>15.65100000000001</v>
      </c>
      <c r="M123" s="174" t="str">
        <f>IF(L123=0,"ok","Notok")</f>
        <v>Notok</v>
      </c>
      <c r="N123" s="164"/>
      <c r="O123" s="164"/>
      <c r="P123" s="164"/>
    </row>
    <row r="124" spans="1:16" x14ac:dyDescent="0.25">
      <c r="A124" s="154"/>
      <c r="B124" s="186" t="s">
        <v>564</v>
      </c>
      <c r="C124" s="187"/>
      <c r="D124" s="187"/>
      <c r="E124" s="187"/>
      <c r="F124" s="187"/>
      <c r="G124" s="187"/>
      <c r="H124" s="188"/>
      <c r="I124" s="157">
        <f>SUM(I111:I119)</f>
        <v>175.06928000000002</v>
      </c>
      <c r="J124" s="164"/>
      <c r="K124" s="164"/>
      <c r="L124" s="164"/>
      <c r="M124" s="164"/>
      <c r="N124" s="164"/>
      <c r="O124" s="164"/>
      <c r="P124" s="164"/>
    </row>
    <row r="125" spans="1:16" x14ac:dyDescent="0.25">
      <c r="A125" s="176"/>
      <c r="B125" s="190" t="s">
        <v>581</v>
      </c>
      <c r="C125" s="200"/>
      <c r="D125" s="200"/>
      <c r="E125" s="200"/>
      <c r="F125" s="200"/>
      <c r="G125" s="200"/>
      <c r="H125" s="201"/>
      <c r="I125" s="193">
        <f>ROUND(1*1.4*0.15,2)*2</f>
        <v>0.42</v>
      </c>
      <c r="J125" s="164"/>
      <c r="K125" s="164"/>
      <c r="L125" s="164"/>
      <c r="M125" s="164"/>
      <c r="N125" s="164"/>
      <c r="O125" s="164"/>
      <c r="P125" s="164"/>
    </row>
    <row r="126" spans="1:16" x14ac:dyDescent="0.25">
      <c r="A126" s="155"/>
      <c r="B126" s="190" t="s">
        <v>582</v>
      </c>
      <c r="C126" s="200"/>
      <c r="D126" s="200"/>
      <c r="E126" s="200"/>
      <c r="F126" s="200"/>
      <c r="G126" s="200"/>
      <c r="H126" s="202"/>
      <c r="I126" s="193">
        <f>ROUND(0.61*0.51*0.055*5,2)</f>
        <v>0.09</v>
      </c>
      <c r="J126" s="164"/>
      <c r="K126" s="158" t="s">
        <v>583</v>
      </c>
      <c r="L126" s="158">
        <f>1*1.4</f>
        <v>1.4</v>
      </c>
      <c r="M126" s="158">
        <f>0.15*1.4</f>
        <v>0.21</v>
      </c>
      <c r="N126" s="158">
        <v>1.4</v>
      </c>
      <c r="O126" s="158"/>
      <c r="P126" s="158">
        <f>SUM(L126:O126)</f>
        <v>3.01</v>
      </c>
    </row>
    <row r="127" spans="1:16" ht="15.75" thickBot="1" x14ac:dyDescent="0.3">
      <c r="A127" s="156"/>
      <c r="B127" s="196" t="s">
        <v>567</v>
      </c>
      <c r="C127" s="197"/>
      <c r="D127" s="197"/>
      <c r="E127" s="197"/>
      <c r="F127" s="197"/>
      <c r="G127" s="197"/>
      <c r="H127" s="198"/>
      <c r="I127" s="199">
        <f>ROUND(P126+P127,2)</f>
        <v>3.91</v>
      </c>
      <c r="J127" s="164"/>
      <c r="K127" s="158" t="s">
        <v>584</v>
      </c>
      <c r="L127" s="158">
        <f>ROUND(2.2*0.082*5,2)</f>
        <v>0.9</v>
      </c>
      <c r="M127" s="158"/>
      <c r="N127" s="158"/>
      <c r="O127" s="158"/>
      <c r="P127" s="158">
        <f>SUM(L127:O127)</f>
        <v>0.9</v>
      </c>
    </row>
  </sheetData>
  <mergeCells count="30">
    <mergeCell ref="A111:A114"/>
    <mergeCell ref="A116:A119"/>
    <mergeCell ref="A120:I120"/>
    <mergeCell ref="A122:G123"/>
    <mergeCell ref="A85:A92"/>
    <mergeCell ref="A93:I93"/>
    <mergeCell ref="A94:G97"/>
    <mergeCell ref="A109:A110"/>
    <mergeCell ref="B109:B110"/>
    <mergeCell ref="D109:D110"/>
    <mergeCell ref="A56:A71"/>
    <mergeCell ref="A72:I72"/>
    <mergeCell ref="A73:G76"/>
    <mergeCell ref="A83:A84"/>
    <mergeCell ref="B83:B84"/>
    <mergeCell ref="D83:D84"/>
    <mergeCell ref="A26:A41"/>
    <mergeCell ref="A42:I42"/>
    <mergeCell ref="A43:G46"/>
    <mergeCell ref="A54:A55"/>
    <mergeCell ref="B54:B55"/>
    <mergeCell ref="D54:D55"/>
    <mergeCell ref="A2:I2"/>
    <mergeCell ref="A4:A5"/>
    <mergeCell ref="B4:B5"/>
    <mergeCell ref="A24:A25"/>
    <mergeCell ref="B24:B25"/>
    <mergeCell ref="D24:D25"/>
    <mergeCell ref="A6:A17"/>
    <mergeCell ref="I4:I5"/>
  </mergeCells>
  <conditionalFormatting sqref="I47">
    <cfRule type="cellIs" dxfId="8" priority="4" stopIfTrue="1" operator="equal">
      <formula>SUM($J$23:$J$26)</formula>
    </cfRule>
  </conditionalFormatting>
  <conditionalFormatting sqref="I77">
    <cfRule type="cellIs" dxfId="7" priority="3" stopIfTrue="1" operator="equal">
      <formula>SUM($J$23:$J$26)</formula>
    </cfRule>
  </conditionalFormatting>
  <conditionalFormatting sqref="I98">
    <cfRule type="cellIs" dxfId="6" priority="2" stopIfTrue="1" operator="equal">
      <formula>SUM($J$15:$J$18)</formula>
    </cfRule>
  </conditionalFormatting>
  <conditionalFormatting sqref="I124">
    <cfRule type="cellIs" dxfId="5" priority="1" stopIfTrue="1" operator="equal">
      <formula>SUM($J$16:$J$17)</formula>
    </cfRule>
  </conditionalFormatting>
  <hyperlinks>
    <hyperlink ref="J4" location="'Bảng dien giai KL hoan cong'!A1" display="Quay Lại"/>
  </hyperlinks>
  <pageMargins left="0.7" right="0.7" top="0.75" bottom="0.75" header="0.3" footer="0.3"/>
  <pageSetup paperSize="256" scale="8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9"/>
  <sheetViews>
    <sheetView showGridLines="0" view="pageBreakPreview" topLeftCell="A85" zoomScale="85" zoomScaleNormal="100" zoomScaleSheetLayoutView="85" workbookViewId="0"/>
  </sheetViews>
  <sheetFormatPr defaultRowHeight="15" x14ac:dyDescent="0.25"/>
  <sheetData>
    <row r="2" spans="1:11" ht="14.25" customHeight="1" x14ac:dyDescent="0.25">
      <c r="A2" s="1162" t="s">
        <v>625</v>
      </c>
      <c r="B2" s="1162"/>
      <c r="C2" s="1162"/>
      <c r="D2" s="1162"/>
      <c r="E2" s="1162"/>
      <c r="F2" s="1162"/>
      <c r="G2" s="1162"/>
      <c r="H2" s="1162"/>
      <c r="I2" s="1162"/>
    </row>
    <row r="3" spans="1:11" ht="9" customHeight="1" thickBot="1" x14ac:dyDescent="0.3"/>
    <row r="4" spans="1:11" ht="38.25" x14ac:dyDescent="0.25">
      <c r="A4" s="1287" t="s">
        <v>547</v>
      </c>
      <c r="B4" s="1258" t="s">
        <v>548</v>
      </c>
      <c r="C4" s="1081" t="s">
        <v>549</v>
      </c>
      <c r="D4" s="1258" t="s">
        <v>550</v>
      </c>
      <c r="E4" s="1081" t="s">
        <v>551</v>
      </c>
      <c r="F4" s="1081" t="s">
        <v>552</v>
      </c>
      <c r="G4" s="1081" t="s">
        <v>553</v>
      </c>
      <c r="H4" s="1081" t="s">
        <v>554</v>
      </c>
      <c r="I4" s="1081" t="s">
        <v>555</v>
      </c>
      <c r="J4" s="1309" t="s">
        <v>613</v>
      </c>
      <c r="K4" s="259" t="s">
        <v>611</v>
      </c>
    </row>
    <row r="5" spans="1:11" x14ac:dyDescent="0.25">
      <c r="A5" s="1288"/>
      <c r="B5" s="1259"/>
      <c r="C5" s="1082" t="s">
        <v>556</v>
      </c>
      <c r="D5" s="1259"/>
      <c r="E5" s="1082" t="s">
        <v>556</v>
      </c>
      <c r="F5" s="1082" t="s">
        <v>557</v>
      </c>
      <c r="G5" s="1082" t="s">
        <v>558</v>
      </c>
      <c r="H5" s="1082" t="s">
        <v>559</v>
      </c>
      <c r="I5" s="1082" t="s">
        <v>560</v>
      </c>
      <c r="J5" s="1310"/>
    </row>
    <row r="6" spans="1:11" x14ac:dyDescent="0.25">
      <c r="A6" s="1289" t="s">
        <v>62</v>
      </c>
      <c r="B6" s="160" t="s">
        <v>428</v>
      </c>
      <c r="C6" s="161">
        <v>25</v>
      </c>
      <c r="D6" s="160" t="str">
        <f>+IF(C6&lt;=10,"CB240-T","CB400-V")</f>
        <v>CB400-V</v>
      </c>
      <c r="E6" s="160">
        <v>7320</v>
      </c>
      <c r="F6" s="160">
        <v>39</v>
      </c>
      <c r="G6" s="263">
        <f>E6*F6/1000</f>
        <v>285.48</v>
      </c>
      <c r="H6" s="162">
        <f t="shared" ref="H6:H14" si="0">HLOOKUP(C6,KLDV,2,0)</f>
        <v>3.85</v>
      </c>
      <c r="I6" s="263">
        <f>ROUND(G6*H6,2)</f>
        <v>1099.0999999999999</v>
      </c>
      <c r="J6" s="276"/>
    </row>
    <row r="7" spans="1:11" x14ac:dyDescent="0.25">
      <c r="A7" s="1290"/>
      <c r="B7" s="165" t="s">
        <v>429</v>
      </c>
      <c r="C7" s="150">
        <v>25</v>
      </c>
      <c r="D7" s="165" t="str">
        <f t="shared" ref="D7:D14" si="1">+IF(C7&lt;=10,"CB240-T","CB400-V")</f>
        <v>CB400-V</v>
      </c>
      <c r="E7" s="165">
        <v>6320</v>
      </c>
      <c r="F7" s="165">
        <v>46</v>
      </c>
      <c r="G7" s="244">
        <f>E7*F7/1000</f>
        <v>290.72000000000003</v>
      </c>
      <c r="H7" s="166">
        <f t="shared" si="0"/>
        <v>3.85</v>
      </c>
      <c r="I7" s="244">
        <f t="shared" ref="I7:I14" si="2">ROUND(G7*H7,2)</f>
        <v>1119.27</v>
      </c>
      <c r="J7" s="271"/>
    </row>
    <row r="8" spans="1:11" x14ac:dyDescent="0.25">
      <c r="A8" s="1290"/>
      <c r="B8" s="165" t="s">
        <v>430</v>
      </c>
      <c r="C8" s="150">
        <v>20</v>
      </c>
      <c r="D8" s="165" t="str">
        <f t="shared" si="1"/>
        <v>CB400-V</v>
      </c>
      <c r="E8" s="165">
        <v>7320</v>
      </c>
      <c r="F8" s="165">
        <f>+F6</f>
        <v>39</v>
      </c>
      <c r="G8" s="244">
        <f t="shared" ref="G8:G14" si="3">E8*F8/1000</f>
        <v>285.48</v>
      </c>
      <c r="H8" s="166">
        <f t="shared" si="0"/>
        <v>2.4700000000000002</v>
      </c>
      <c r="I8" s="244">
        <f t="shared" si="2"/>
        <v>705.14</v>
      </c>
      <c r="J8" s="271"/>
    </row>
    <row r="9" spans="1:11" x14ac:dyDescent="0.25">
      <c r="A9" s="1290"/>
      <c r="B9" s="165" t="s">
        <v>431</v>
      </c>
      <c r="C9" s="150">
        <v>20</v>
      </c>
      <c r="D9" s="165" t="str">
        <f t="shared" si="1"/>
        <v>CB400-V</v>
      </c>
      <c r="E9" s="165">
        <v>6320</v>
      </c>
      <c r="F9" s="165">
        <f>+F7</f>
        <v>46</v>
      </c>
      <c r="G9" s="244">
        <f t="shared" si="3"/>
        <v>290.72000000000003</v>
      </c>
      <c r="H9" s="166">
        <f t="shared" si="0"/>
        <v>2.4700000000000002</v>
      </c>
      <c r="I9" s="244">
        <f t="shared" si="2"/>
        <v>718.08</v>
      </c>
      <c r="J9" s="271"/>
    </row>
    <row r="10" spans="1:11" x14ac:dyDescent="0.25">
      <c r="A10" s="1290"/>
      <c r="B10" s="165" t="s">
        <v>432</v>
      </c>
      <c r="C10" s="150">
        <v>16</v>
      </c>
      <c r="D10" s="165" t="str">
        <f t="shared" si="1"/>
        <v>CB400-V</v>
      </c>
      <c r="E10" s="165">
        <v>6820</v>
      </c>
      <c r="F10" s="165">
        <f>10*2</f>
        <v>20</v>
      </c>
      <c r="G10" s="244">
        <f t="shared" si="3"/>
        <v>136.4</v>
      </c>
      <c r="H10" s="166">
        <f t="shared" si="0"/>
        <v>1.58</v>
      </c>
      <c r="I10" s="244">
        <f t="shared" si="2"/>
        <v>215.51</v>
      </c>
      <c r="J10" s="271"/>
    </row>
    <row r="11" spans="1:11" x14ac:dyDescent="0.25">
      <c r="A11" s="1290"/>
      <c r="B11" s="165" t="s">
        <v>433</v>
      </c>
      <c r="C11" s="150">
        <v>16</v>
      </c>
      <c r="D11" s="165" t="str">
        <f t="shared" si="1"/>
        <v>CB400-V</v>
      </c>
      <c r="E11" s="165">
        <v>6220</v>
      </c>
      <c r="F11" s="165">
        <f>+F10</f>
        <v>20</v>
      </c>
      <c r="G11" s="244">
        <f t="shared" si="3"/>
        <v>124.4</v>
      </c>
      <c r="H11" s="166">
        <f t="shared" si="0"/>
        <v>1.58</v>
      </c>
      <c r="I11" s="244">
        <f t="shared" si="2"/>
        <v>196.55</v>
      </c>
      <c r="J11" s="271"/>
    </row>
    <row r="12" spans="1:11" x14ac:dyDescent="0.25">
      <c r="A12" s="1290"/>
      <c r="B12" s="165" t="s">
        <v>434</v>
      </c>
      <c r="C12" s="150">
        <v>16</v>
      </c>
      <c r="D12" s="165" t="str">
        <f t="shared" si="1"/>
        <v>CB400-V</v>
      </c>
      <c r="E12" s="165">
        <v>1915</v>
      </c>
      <c r="F12" s="165">
        <v>72</v>
      </c>
      <c r="G12" s="244">
        <f t="shared" si="3"/>
        <v>137.88</v>
      </c>
      <c r="H12" s="166">
        <f t="shared" si="0"/>
        <v>1.58</v>
      </c>
      <c r="I12" s="244">
        <f t="shared" si="2"/>
        <v>217.85</v>
      </c>
      <c r="J12" s="271"/>
    </row>
    <row r="13" spans="1:11" x14ac:dyDescent="0.25">
      <c r="A13" s="1290"/>
      <c r="B13" s="165" t="s">
        <v>435</v>
      </c>
      <c r="C13" s="150">
        <v>16</v>
      </c>
      <c r="D13" s="165" t="str">
        <f t="shared" si="1"/>
        <v>CB400-V</v>
      </c>
      <c r="E13" s="165">
        <f>+E12</f>
        <v>1915</v>
      </c>
      <c r="F13" s="165">
        <f>38*2</f>
        <v>76</v>
      </c>
      <c r="G13" s="244">
        <f>E13*F13/1000</f>
        <v>145.54</v>
      </c>
      <c r="H13" s="166">
        <f>HLOOKUP(C13,KLDV,2,0)</f>
        <v>1.58</v>
      </c>
      <c r="I13" s="244">
        <f t="shared" si="2"/>
        <v>229.95</v>
      </c>
      <c r="J13" s="271"/>
    </row>
    <row r="14" spans="1:11" x14ac:dyDescent="0.25">
      <c r="A14" s="1291"/>
      <c r="B14" s="278" t="s">
        <v>436</v>
      </c>
      <c r="C14" s="279">
        <v>16</v>
      </c>
      <c r="D14" s="278" t="str">
        <f t="shared" si="1"/>
        <v>CB400-V</v>
      </c>
      <c r="E14" s="278">
        <f>+E13</f>
        <v>1915</v>
      </c>
      <c r="F14" s="278">
        <f>+F9*2</f>
        <v>92</v>
      </c>
      <c r="G14" s="280">
        <f t="shared" si="3"/>
        <v>176.18</v>
      </c>
      <c r="H14" s="281">
        <f t="shared" si="0"/>
        <v>1.58</v>
      </c>
      <c r="I14" s="280">
        <f t="shared" si="2"/>
        <v>278.36</v>
      </c>
      <c r="J14" s="282"/>
    </row>
    <row r="15" spans="1:11" x14ac:dyDescent="0.25">
      <c r="A15" s="1263" t="s">
        <v>562</v>
      </c>
      <c r="B15" s="1292"/>
      <c r="C15" s="1292"/>
      <c r="D15" s="1292"/>
      <c r="E15" s="1292"/>
      <c r="F15" s="1292"/>
      <c r="G15" s="1292"/>
      <c r="H15" s="1292"/>
      <c r="I15" s="1292"/>
      <c r="J15" s="284"/>
    </row>
    <row r="16" spans="1:11" x14ac:dyDescent="0.25">
      <c r="A16" s="1293" t="s">
        <v>563</v>
      </c>
      <c r="B16" s="1294"/>
      <c r="C16" s="1294"/>
      <c r="D16" s="1294"/>
      <c r="E16" s="1294"/>
      <c r="F16" s="1294"/>
      <c r="G16" s="1294"/>
      <c r="H16" s="148">
        <v>16</v>
      </c>
      <c r="I16" s="243">
        <f>SUMIF($C$6:$C$14,H16,$I$6:$I$14)</f>
        <v>1138.2199999999998</v>
      </c>
      <c r="J16" s="283"/>
    </row>
    <row r="17" spans="1:10" x14ac:dyDescent="0.25">
      <c r="A17" s="1295"/>
      <c r="B17" s="1296"/>
      <c r="C17" s="1296"/>
      <c r="D17" s="1296"/>
      <c r="E17" s="1296"/>
      <c r="F17" s="1296"/>
      <c r="G17" s="1296"/>
      <c r="H17" s="150">
        <v>20</v>
      </c>
      <c r="I17" s="244">
        <f t="shared" ref="I17:I18" si="4">SUMIF($C$6:$C$14,H17,$I$6:$I$14)</f>
        <v>1423.22</v>
      </c>
      <c r="J17" s="271"/>
    </row>
    <row r="18" spans="1:10" x14ac:dyDescent="0.25">
      <c r="A18" s="1297"/>
      <c r="B18" s="1298"/>
      <c r="C18" s="1298"/>
      <c r="D18" s="1298"/>
      <c r="E18" s="1298"/>
      <c r="F18" s="1298"/>
      <c r="G18" s="1298"/>
      <c r="H18" s="152">
        <v>25</v>
      </c>
      <c r="I18" s="265">
        <f t="shared" si="4"/>
        <v>2218.37</v>
      </c>
      <c r="J18" s="285"/>
    </row>
    <row r="19" spans="1:10" x14ac:dyDescent="0.25">
      <c r="A19" s="154"/>
      <c r="B19" s="245" t="s">
        <v>564</v>
      </c>
      <c r="C19" s="246"/>
      <c r="D19" s="246"/>
      <c r="E19" s="246"/>
      <c r="F19" s="246"/>
      <c r="G19" s="246"/>
      <c r="H19" s="247"/>
      <c r="I19" s="263">
        <f>SUM(I6:I14)</f>
        <v>4779.8099999999995</v>
      </c>
      <c r="J19" s="276"/>
    </row>
    <row r="20" spans="1:10" x14ac:dyDescent="0.25">
      <c r="A20" s="155"/>
      <c r="B20" s="248" t="s">
        <v>605</v>
      </c>
      <c r="C20" s="249"/>
      <c r="D20" s="249"/>
      <c r="E20" s="249"/>
      <c r="F20" s="249"/>
      <c r="G20" s="249"/>
      <c r="H20" s="250"/>
      <c r="I20" s="244">
        <f>ROUND(D26*D27*D28-0.15*D29*PI()*D30*D30/4,2)</f>
        <v>83.32</v>
      </c>
      <c r="J20" s="271"/>
    </row>
    <row r="21" spans="1:10" x14ac:dyDescent="0.25">
      <c r="A21" s="155"/>
      <c r="B21" s="248" t="s">
        <v>572</v>
      </c>
      <c r="C21" s="249"/>
      <c r="D21" s="249"/>
      <c r="E21" s="249"/>
      <c r="F21" s="249"/>
      <c r="G21" s="249"/>
      <c r="H21" s="250"/>
      <c r="I21" s="244">
        <f>ROUND(((D26+0.2)*(D27+0.2)-D29*PI()*D30*D30/4)*0.1,2)</f>
        <v>4.01</v>
      </c>
      <c r="J21" s="271"/>
    </row>
    <row r="22" spans="1:10" x14ac:dyDescent="0.25">
      <c r="A22" s="155"/>
      <c r="B22" s="248" t="s">
        <v>572</v>
      </c>
      <c r="C22" s="249"/>
      <c r="D22" s="249"/>
      <c r="E22" s="249"/>
      <c r="F22" s="249"/>
      <c r="G22" s="249"/>
      <c r="H22" s="250"/>
      <c r="I22" s="244">
        <f>ROUND((D26+0.2)*(D27+0.2)*0.1-PI()*1.2^2*4/4*0.1,2)</f>
        <v>4.01</v>
      </c>
      <c r="J22" s="271"/>
    </row>
    <row r="23" spans="1:10" x14ac:dyDescent="0.25">
      <c r="A23" s="155"/>
      <c r="B23" s="248" t="s">
        <v>568</v>
      </c>
      <c r="C23" s="249"/>
      <c r="D23" s="249"/>
      <c r="E23" s="249"/>
      <c r="F23" s="249"/>
      <c r="G23" s="249"/>
      <c r="H23" s="250"/>
      <c r="I23" s="244">
        <f>I24+D26*D27-9.05</f>
        <v>84.95</v>
      </c>
      <c r="J23" s="271"/>
    </row>
    <row r="24" spans="1:10" ht="15.75" thickBot="1" x14ac:dyDescent="0.3">
      <c r="A24" s="156"/>
      <c r="B24" s="253" t="s">
        <v>567</v>
      </c>
      <c r="C24" s="254"/>
      <c r="D24" s="254"/>
      <c r="E24" s="254"/>
      <c r="F24" s="254"/>
      <c r="G24" s="254"/>
      <c r="H24" s="255"/>
      <c r="I24" s="268">
        <f>ROUND((D26+D27)*2*D28,2)</f>
        <v>52</v>
      </c>
      <c r="J24" s="274"/>
    </row>
    <row r="25" spans="1:10" x14ac:dyDescent="0.25">
      <c r="A25" s="158"/>
      <c r="B25" s="158"/>
      <c r="C25" s="158"/>
      <c r="D25" s="158"/>
      <c r="E25" s="158"/>
      <c r="F25" s="158"/>
      <c r="G25" s="158"/>
      <c r="H25" s="158"/>
      <c r="I25" s="158"/>
      <c r="J25" s="158"/>
    </row>
    <row r="26" spans="1:10" hidden="1" x14ac:dyDescent="0.25">
      <c r="A26" s="158"/>
      <c r="B26" s="158"/>
      <c r="C26" s="158" t="s">
        <v>573</v>
      </c>
      <c r="D26" s="158">
        <v>7</v>
      </c>
      <c r="E26" s="158" t="s">
        <v>124</v>
      </c>
      <c r="F26" s="158">
        <f>ROUND(8.6*6.2*0.1-5*PI()*0.6*0.6*0.1,2)</f>
        <v>4.7699999999999996</v>
      </c>
      <c r="G26" s="158"/>
      <c r="H26" s="158"/>
      <c r="I26" s="158"/>
      <c r="J26" s="158"/>
    </row>
    <row r="27" spans="1:10" hidden="1" x14ac:dyDescent="0.25">
      <c r="A27" s="158"/>
      <c r="B27" s="158"/>
      <c r="C27" s="158" t="s">
        <v>414</v>
      </c>
      <c r="D27" s="158">
        <v>6</v>
      </c>
      <c r="E27" s="158" t="s">
        <v>124</v>
      </c>
      <c r="F27" s="158"/>
      <c r="G27" s="158"/>
      <c r="H27" s="158"/>
      <c r="I27" s="158"/>
      <c r="J27" s="158"/>
    </row>
    <row r="28" spans="1:10" hidden="1" x14ac:dyDescent="0.25">
      <c r="A28" s="158"/>
      <c r="B28" s="158"/>
      <c r="C28" s="158" t="s">
        <v>574</v>
      </c>
      <c r="D28" s="158">
        <v>2</v>
      </c>
      <c r="E28" s="158" t="s">
        <v>124</v>
      </c>
      <c r="F28" s="158"/>
      <c r="G28" s="158"/>
      <c r="H28" s="158"/>
      <c r="I28" s="158"/>
      <c r="J28" s="158"/>
    </row>
    <row r="29" spans="1:10" hidden="1" x14ac:dyDescent="0.25">
      <c r="A29" s="158"/>
      <c r="B29" s="158"/>
      <c r="C29" s="158" t="s">
        <v>575</v>
      </c>
      <c r="D29" s="158">
        <v>4</v>
      </c>
      <c r="E29" s="158" t="s">
        <v>606</v>
      </c>
      <c r="F29" s="158"/>
      <c r="G29" s="158"/>
      <c r="H29" s="158"/>
      <c r="I29" s="158"/>
      <c r="J29" s="158"/>
    </row>
    <row r="30" spans="1:10" hidden="1" x14ac:dyDescent="0.25">
      <c r="A30" s="158"/>
      <c r="B30" s="158"/>
      <c r="C30" s="158" t="s">
        <v>577</v>
      </c>
      <c r="D30" s="158">
        <v>1.2</v>
      </c>
      <c r="E30" s="158" t="s">
        <v>124</v>
      </c>
      <c r="F30" s="158"/>
      <c r="G30" s="158"/>
      <c r="H30" s="158"/>
      <c r="I30" s="158"/>
      <c r="J30" s="158"/>
    </row>
    <row r="31" spans="1:10" x14ac:dyDescent="0.25">
      <c r="A31" s="158"/>
      <c r="B31" s="158"/>
      <c r="C31" s="158"/>
      <c r="D31" s="158"/>
      <c r="E31" s="158"/>
      <c r="F31" s="158"/>
      <c r="G31" s="158"/>
      <c r="H31" s="158"/>
      <c r="I31" s="158"/>
      <c r="J31" s="158"/>
    </row>
    <row r="32" spans="1:10" x14ac:dyDescent="0.25">
      <c r="A32" s="1308" t="s">
        <v>626</v>
      </c>
      <c r="B32" s="1308"/>
      <c r="C32" s="1308"/>
      <c r="D32" s="1308"/>
      <c r="E32" s="1308"/>
      <c r="F32" s="1308"/>
      <c r="G32" s="1308"/>
      <c r="H32" s="1308"/>
      <c r="I32" s="1308"/>
      <c r="J32" s="158"/>
    </row>
    <row r="33" spans="1:13" ht="15.75" thickBot="1" x14ac:dyDescent="0.3"/>
    <row r="34" spans="1:13" ht="38.25" x14ac:dyDescent="0.25">
      <c r="A34" s="1287" t="s">
        <v>547</v>
      </c>
      <c r="B34" s="1258" t="s">
        <v>548</v>
      </c>
      <c r="C34" s="1081" t="s">
        <v>549</v>
      </c>
      <c r="D34" s="1258" t="s">
        <v>550</v>
      </c>
      <c r="E34" s="1081" t="s">
        <v>551</v>
      </c>
      <c r="F34" s="1081" t="s">
        <v>552</v>
      </c>
      <c r="G34" s="1081" t="s">
        <v>553</v>
      </c>
      <c r="H34" s="1081" t="s">
        <v>554</v>
      </c>
      <c r="I34" s="1081" t="s">
        <v>555</v>
      </c>
      <c r="J34" s="1083" t="s">
        <v>613</v>
      </c>
      <c r="K34" s="164"/>
      <c r="L34" s="164"/>
      <c r="M34" s="164"/>
    </row>
    <row r="35" spans="1:13" x14ac:dyDescent="0.25">
      <c r="A35" s="1288"/>
      <c r="B35" s="1259"/>
      <c r="C35" s="1082" t="s">
        <v>556</v>
      </c>
      <c r="D35" s="1259"/>
      <c r="E35" s="1082" t="s">
        <v>556</v>
      </c>
      <c r="F35" s="1082" t="s">
        <v>557</v>
      </c>
      <c r="G35" s="1082" t="s">
        <v>558</v>
      </c>
      <c r="H35" s="1082" t="s">
        <v>559</v>
      </c>
      <c r="I35" s="1082" t="s">
        <v>560</v>
      </c>
      <c r="J35" s="1084"/>
      <c r="K35" s="164"/>
      <c r="L35" s="164"/>
      <c r="M35" s="164"/>
    </row>
    <row r="36" spans="1:13" x14ac:dyDescent="0.25">
      <c r="A36" s="1311" t="s">
        <v>69</v>
      </c>
      <c r="B36" s="170" t="s">
        <v>438</v>
      </c>
      <c r="C36" s="148">
        <v>22</v>
      </c>
      <c r="D36" s="170" t="str">
        <f>+IF(C36&lt;=10,"CB240-T","CB400-V")</f>
        <v>CB400-V</v>
      </c>
      <c r="E36" s="256">
        <v>9155</v>
      </c>
      <c r="F36" s="170">
        <v>88</v>
      </c>
      <c r="G36" s="243">
        <f>E36*F36/1000</f>
        <v>805.64</v>
      </c>
      <c r="H36" s="171">
        <f>HLOOKUP(C36,KLDV,2,0)</f>
        <v>2.98</v>
      </c>
      <c r="I36" s="243">
        <f>G36*H36</f>
        <v>2400.8071999999997</v>
      </c>
      <c r="J36" s="283"/>
      <c r="K36" s="164"/>
      <c r="L36" s="164"/>
      <c r="M36" s="164"/>
    </row>
    <row r="37" spans="1:13" x14ac:dyDescent="0.25">
      <c r="A37" s="1286"/>
      <c r="B37" s="165" t="s">
        <v>439</v>
      </c>
      <c r="C37" s="150">
        <v>16</v>
      </c>
      <c r="D37" s="165" t="str">
        <f>+IF(C37&lt;=10,"CB240-T","CB400-V")</f>
        <v>CB400-V</v>
      </c>
      <c r="E37" s="165">
        <v>8887</v>
      </c>
      <c r="F37" s="165">
        <v>142</v>
      </c>
      <c r="G37" s="244">
        <f>E37*F37/1000</f>
        <v>1261.954</v>
      </c>
      <c r="H37" s="166">
        <f>HLOOKUP(C37,KLDV,2,0)</f>
        <v>1.58</v>
      </c>
      <c r="I37" s="244">
        <f>G37*H37</f>
        <v>1993.88732</v>
      </c>
      <c r="J37" s="271"/>
      <c r="K37" s="164"/>
      <c r="L37" s="164"/>
      <c r="M37" s="164"/>
    </row>
    <row r="38" spans="1:13" x14ac:dyDescent="0.25">
      <c r="A38" s="1286"/>
      <c r="B38" s="165" t="s">
        <v>440</v>
      </c>
      <c r="C38" s="150">
        <v>14</v>
      </c>
      <c r="D38" s="165" t="str">
        <f>+IF(C38&lt;=10,"CB240-T","CB400-V")</f>
        <v>CB400-V</v>
      </c>
      <c r="E38" s="165">
        <v>1735</v>
      </c>
      <c r="F38" s="257">
        <v>60</v>
      </c>
      <c r="G38" s="244">
        <f>E38*F38/1000</f>
        <v>104.1</v>
      </c>
      <c r="H38" s="166">
        <f>HLOOKUP(C38,KLDV,2,0)</f>
        <v>1.21</v>
      </c>
      <c r="I38" s="244">
        <f>G38*H38</f>
        <v>125.96099999999998</v>
      </c>
      <c r="J38" s="271"/>
      <c r="K38" s="164"/>
      <c r="L38" s="164"/>
      <c r="M38" s="164"/>
    </row>
    <row r="39" spans="1:13" x14ac:dyDescent="0.25">
      <c r="A39" s="1312"/>
      <c r="B39" s="288" t="s">
        <v>441</v>
      </c>
      <c r="C39" s="152">
        <v>14</v>
      </c>
      <c r="D39" s="288" t="str">
        <f>+IF(C39&lt;=10,"CB240-T","CB400-V")</f>
        <v>CB400-V</v>
      </c>
      <c r="E39" s="288">
        <v>6005</v>
      </c>
      <c r="F39" s="289">
        <f>+F38/3</f>
        <v>20</v>
      </c>
      <c r="G39" s="265">
        <f>E39*F39/1000</f>
        <v>120.1</v>
      </c>
      <c r="H39" s="290">
        <f>HLOOKUP(C39,KLDV,2,0)</f>
        <v>1.21</v>
      </c>
      <c r="I39" s="265">
        <f>G39*H39</f>
        <v>145.321</v>
      </c>
      <c r="J39" s="285"/>
      <c r="K39" s="164"/>
      <c r="L39" s="164"/>
      <c r="M39" s="164"/>
    </row>
    <row r="40" spans="1:13" x14ac:dyDescent="0.25">
      <c r="A40" s="1313" t="s">
        <v>562</v>
      </c>
      <c r="B40" s="1314"/>
      <c r="C40" s="1314"/>
      <c r="D40" s="1314"/>
      <c r="E40" s="1314"/>
      <c r="F40" s="1314"/>
      <c r="G40" s="1314"/>
      <c r="H40" s="1314"/>
      <c r="I40" s="1314"/>
      <c r="J40" s="291"/>
      <c r="K40" s="164"/>
      <c r="L40" s="164"/>
      <c r="M40" s="164"/>
    </row>
    <row r="41" spans="1:13" x14ac:dyDescent="0.25">
      <c r="A41" s="1293" t="s">
        <v>563</v>
      </c>
      <c r="B41" s="1294"/>
      <c r="C41" s="1294"/>
      <c r="D41" s="1294"/>
      <c r="E41" s="1294"/>
      <c r="F41" s="1294"/>
      <c r="G41" s="1294"/>
      <c r="H41" s="148">
        <v>14</v>
      </c>
      <c r="I41" s="243">
        <f>SUMIF(C36:C39,H41,I36:I39)</f>
        <v>271.28199999999998</v>
      </c>
      <c r="J41" s="283"/>
      <c r="K41" s="164"/>
      <c r="L41" s="164"/>
      <c r="M41" s="164"/>
    </row>
    <row r="42" spans="1:13" x14ac:dyDescent="0.25">
      <c r="A42" s="1295"/>
      <c r="B42" s="1296"/>
      <c r="C42" s="1296"/>
      <c r="D42" s="1296"/>
      <c r="E42" s="1296"/>
      <c r="F42" s="1296"/>
      <c r="G42" s="1296"/>
      <c r="H42" s="150">
        <v>16</v>
      </c>
      <c r="I42" s="244">
        <f>SUMIF(C36:C39,H42,I36:I39)</f>
        <v>1993.88732</v>
      </c>
      <c r="J42" s="271"/>
      <c r="K42" s="258">
        <f>I44</f>
        <v>4665.9765200000002</v>
      </c>
      <c r="L42" s="258">
        <f>SUM(I41:I43)</f>
        <v>2265.16932</v>
      </c>
      <c r="M42" s="164" t="str">
        <f>IF(K42=L42,"ok","notok")</f>
        <v>notok</v>
      </c>
    </row>
    <row r="43" spans="1:13" x14ac:dyDescent="0.25">
      <c r="A43" s="1297"/>
      <c r="B43" s="1298"/>
      <c r="C43" s="1298"/>
      <c r="D43" s="1298"/>
      <c r="E43" s="1298"/>
      <c r="F43" s="1298"/>
      <c r="G43" s="1298"/>
      <c r="H43" s="152">
        <v>22</v>
      </c>
      <c r="I43" s="265">
        <f>SUMIF($D$5:$D$8,H43,$J$5:$J$8)</f>
        <v>0</v>
      </c>
      <c r="J43" s="285"/>
      <c r="K43" s="164"/>
      <c r="L43" s="164"/>
      <c r="M43" s="164"/>
    </row>
    <row r="44" spans="1:13" x14ac:dyDescent="0.25">
      <c r="A44" s="154"/>
      <c r="B44" s="245" t="s">
        <v>564</v>
      </c>
      <c r="C44" s="246"/>
      <c r="D44" s="246"/>
      <c r="E44" s="246"/>
      <c r="F44" s="246"/>
      <c r="G44" s="246"/>
      <c r="H44" s="247"/>
      <c r="I44" s="263">
        <f>SUM(I36:I39)</f>
        <v>4665.9765200000002</v>
      </c>
      <c r="J44" s="276"/>
      <c r="K44" s="164" t="s">
        <v>471</v>
      </c>
      <c r="L44" s="164">
        <f>9.05062</f>
        <v>9.0506200000000003</v>
      </c>
      <c r="M44" s="164"/>
    </row>
    <row r="45" spans="1:13" x14ac:dyDescent="0.25">
      <c r="A45" s="155"/>
      <c r="B45" s="248" t="s">
        <v>607</v>
      </c>
      <c r="C45" s="249"/>
      <c r="D45" s="249"/>
      <c r="E45" s="249"/>
      <c r="F45" s="249"/>
      <c r="G45" s="249"/>
      <c r="H45" s="250"/>
      <c r="I45" s="244">
        <f>ROUND(L44*L46,2)</f>
        <v>54.3</v>
      </c>
      <c r="J45" s="271"/>
      <c r="K45" s="164" t="s">
        <v>414</v>
      </c>
      <c r="L45" s="164">
        <v>13.827</v>
      </c>
      <c r="M45" s="164"/>
    </row>
    <row r="46" spans="1:13" ht="15.75" thickBot="1" x14ac:dyDescent="0.3">
      <c r="A46" s="156"/>
      <c r="B46" s="253" t="s">
        <v>567</v>
      </c>
      <c r="C46" s="254"/>
      <c r="D46" s="254"/>
      <c r="E46" s="254"/>
      <c r="F46" s="254"/>
      <c r="G46" s="254"/>
      <c r="H46" s="255"/>
      <c r="I46" s="268">
        <f>ROUND(L45*L46,2)</f>
        <v>82.96</v>
      </c>
      <c r="J46" s="274"/>
      <c r="K46" s="164" t="s">
        <v>608</v>
      </c>
      <c r="L46" s="164">
        <v>6</v>
      </c>
      <c r="M46" s="164" t="s">
        <v>124</v>
      </c>
    </row>
    <row r="47" spans="1:13" ht="6.75" customHeight="1" x14ac:dyDescent="0.25">
      <c r="A47" s="158"/>
      <c r="B47" s="158"/>
      <c r="C47" s="158"/>
      <c r="D47" s="158"/>
      <c r="E47" s="158"/>
      <c r="F47" s="158"/>
      <c r="G47" s="158"/>
      <c r="H47" s="158"/>
      <c r="I47" s="158"/>
      <c r="J47" s="158"/>
    </row>
    <row r="48" spans="1:13" ht="0.75" customHeight="1" x14ac:dyDescent="0.25">
      <c r="A48" s="158"/>
      <c r="B48" s="158"/>
      <c r="C48" s="158"/>
      <c r="D48" s="158"/>
      <c r="E48" s="158"/>
      <c r="F48" s="158"/>
      <c r="G48" s="158"/>
      <c r="H48" s="158"/>
      <c r="I48" s="158"/>
      <c r="J48" s="158"/>
    </row>
    <row r="49" spans="1:13" ht="0.75" customHeight="1" x14ac:dyDescent="0.25">
      <c r="A49" s="158"/>
      <c r="B49" s="158"/>
      <c r="C49" s="158"/>
      <c r="D49" s="158"/>
      <c r="E49" s="158"/>
      <c r="F49" s="158"/>
      <c r="G49" s="158"/>
      <c r="H49" s="158"/>
      <c r="I49" s="158"/>
      <c r="J49" s="158"/>
    </row>
    <row r="50" spans="1:13" ht="0.75" customHeight="1" x14ac:dyDescent="0.25">
      <c r="A50" s="158"/>
      <c r="B50" s="158"/>
      <c r="C50" s="158"/>
      <c r="D50" s="158"/>
      <c r="E50" s="158"/>
      <c r="F50" s="158"/>
      <c r="G50" s="158"/>
      <c r="H50" s="158"/>
      <c r="I50" s="158"/>
      <c r="J50" s="158"/>
    </row>
    <row r="51" spans="1:13" x14ac:dyDescent="0.25">
      <c r="A51" s="1308" t="s">
        <v>627</v>
      </c>
      <c r="B51" s="1308"/>
      <c r="C51" s="1308"/>
      <c r="D51" s="1308"/>
      <c r="E51" s="1308"/>
      <c r="F51" s="1308"/>
      <c r="G51" s="1308"/>
      <c r="H51" s="1308"/>
      <c r="I51" s="1308"/>
      <c r="J51" s="158"/>
    </row>
    <row r="52" spans="1:13" ht="15.75" thickBot="1" x14ac:dyDescent="0.3"/>
    <row r="53" spans="1:13" ht="38.25" x14ac:dyDescent="0.25">
      <c r="A53" s="1283" t="s">
        <v>547</v>
      </c>
      <c r="B53" s="1281" t="s">
        <v>548</v>
      </c>
      <c r="C53" s="1038" t="s">
        <v>549</v>
      </c>
      <c r="D53" s="1281" t="s">
        <v>550</v>
      </c>
      <c r="E53" s="1038" t="s">
        <v>551</v>
      </c>
      <c r="F53" s="1038" t="s">
        <v>552</v>
      </c>
      <c r="G53" s="1038" t="s">
        <v>553</v>
      </c>
      <c r="H53" s="1038" t="s">
        <v>554</v>
      </c>
      <c r="I53" s="1038" t="s">
        <v>555</v>
      </c>
      <c r="J53" s="277"/>
      <c r="K53" s="164"/>
      <c r="L53" s="164"/>
      <c r="M53" s="164"/>
    </row>
    <row r="54" spans="1:13" x14ac:dyDescent="0.25">
      <c r="A54" s="1284"/>
      <c r="B54" s="1282"/>
      <c r="C54" s="1039" t="s">
        <v>556</v>
      </c>
      <c r="D54" s="1282"/>
      <c r="E54" s="1039" t="s">
        <v>556</v>
      </c>
      <c r="F54" s="1039" t="s">
        <v>557</v>
      </c>
      <c r="G54" s="1039" t="s">
        <v>558</v>
      </c>
      <c r="H54" s="1039" t="s">
        <v>559</v>
      </c>
      <c r="I54" s="1039" t="s">
        <v>560</v>
      </c>
      <c r="J54" s="1096"/>
      <c r="K54" s="164"/>
      <c r="L54" s="164"/>
      <c r="M54" s="164"/>
    </row>
    <row r="55" spans="1:13" x14ac:dyDescent="0.25">
      <c r="A55" s="1285" t="s">
        <v>69</v>
      </c>
      <c r="B55" s="160" t="s">
        <v>438</v>
      </c>
      <c r="C55" s="161">
        <v>22</v>
      </c>
      <c r="D55" s="160" t="str">
        <f>+IF(C55&lt;=10,"CB240-T","CB400-V")</f>
        <v>CB400-V</v>
      </c>
      <c r="E55" s="275">
        <v>7655</v>
      </c>
      <c r="F55" s="160">
        <v>88</v>
      </c>
      <c r="G55" s="263">
        <f>E55*F55/1000</f>
        <v>673.64</v>
      </c>
      <c r="H55" s="162">
        <f>HLOOKUP(C55,KLDV,2,0)</f>
        <v>2.98</v>
      </c>
      <c r="I55" s="263">
        <f>G55*H55</f>
        <v>2007.4471999999998</v>
      </c>
      <c r="J55" s="276"/>
      <c r="K55" s="164"/>
      <c r="L55" s="164"/>
      <c r="M55" s="164"/>
    </row>
    <row r="56" spans="1:13" x14ac:dyDescent="0.25">
      <c r="A56" s="1286"/>
      <c r="B56" s="165" t="s">
        <v>439</v>
      </c>
      <c r="C56" s="150">
        <v>16</v>
      </c>
      <c r="D56" s="165" t="str">
        <f>+IF(C56&lt;=10,"CB240-T","CB400-V")</f>
        <v>CB400-V</v>
      </c>
      <c r="E56" s="165">
        <v>8887</v>
      </c>
      <c r="F56" s="165">
        <v>122</v>
      </c>
      <c r="G56" s="244">
        <f>E56*F56/1000</f>
        <v>1084.2139999999999</v>
      </c>
      <c r="H56" s="166">
        <f>HLOOKUP(C56,KLDV,2,0)</f>
        <v>1.58</v>
      </c>
      <c r="I56" s="244">
        <f>G56*H56</f>
        <v>1713.0581199999999</v>
      </c>
      <c r="J56" s="271"/>
      <c r="K56" s="164"/>
      <c r="L56" s="164"/>
      <c r="M56" s="164"/>
    </row>
    <row r="57" spans="1:13" x14ac:dyDescent="0.25">
      <c r="A57" s="1286"/>
      <c r="B57" s="165" t="s">
        <v>440</v>
      </c>
      <c r="C57" s="150">
        <v>14</v>
      </c>
      <c r="D57" s="165" t="str">
        <f>+IF(C57&lt;=10,"CB240-T","CB400-V")</f>
        <v>CB400-V</v>
      </c>
      <c r="E57" s="165">
        <v>1735</v>
      </c>
      <c r="F57" s="257">
        <v>42</v>
      </c>
      <c r="G57" s="244">
        <f>E57*F57/1000</f>
        <v>72.87</v>
      </c>
      <c r="H57" s="166">
        <f>HLOOKUP(C57,KLDV,2,0)</f>
        <v>1.21</v>
      </c>
      <c r="I57" s="244">
        <f>G57*H57</f>
        <v>88.172700000000006</v>
      </c>
      <c r="J57" s="271"/>
      <c r="K57" s="164"/>
      <c r="L57" s="164"/>
      <c r="M57" s="164"/>
    </row>
    <row r="58" spans="1:13" x14ac:dyDescent="0.25">
      <c r="A58" s="1286"/>
      <c r="B58" s="165" t="s">
        <v>441</v>
      </c>
      <c r="C58" s="150">
        <v>14</v>
      </c>
      <c r="D58" s="165" t="str">
        <f>+IF(C58&lt;=10,"CB240-T","CB400-V")</f>
        <v>CB400-V</v>
      </c>
      <c r="E58" s="165">
        <v>6005</v>
      </c>
      <c r="F58" s="257">
        <f>+F57/3</f>
        <v>14</v>
      </c>
      <c r="G58" s="244">
        <f>E58*F58/1000</f>
        <v>84.07</v>
      </c>
      <c r="H58" s="166">
        <f>HLOOKUP(C58,KLDV,2,0)</f>
        <v>1.21</v>
      </c>
      <c r="I58" s="244">
        <f>G58*H58</f>
        <v>101.72469999999998</v>
      </c>
      <c r="J58" s="271"/>
      <c r="K58" s="164"/>
      <c r="L58" s="164"/>
      <c r="M58" s="164"/>
    </row>
    <row r="59" spans="1:13" x14ac:dyDescent="0.25">
      <c r="A59" s="1291" t="s">
        <v>562</v>
      </c>
      <c r="B59" s="1299"/>
      <c r="C59" s="1299"/>
      <c r="D59" s="1299"/>
      <c r="E59" s="1299"/>
      <c r="F59" s="1299"/>
      <c r="G59" s="1299"/>
      <c r="H59" s="1299"/>
      <c r="I59" s="1299"/>
      <c r="J59" s="282"/>
      <c r="K59" s="164"/>
      <c r="L59" s="164"/>
      <c r="M59" s="164"/>
    </row>
    <row r="60" spans="1:13" x14ac:dyDescent="0.25">
      <c r="A60" s="1300" t="s">
        <v>563</v>
      </c>
      <c r="B60" s="1301"/>
      <c r="C60" s="1301"/>
      <c r="D60" s="1301"/>
      <c r="E60" s="1301"/>
      <c r="F60" s="1301"/>
      <c r="G60" s="1302"/>
      <c r="H60" s="148">
        <v>14</v>
      </c>
      <c r="I60" s="243">
        <f>SUMIF(C55:C58,H60,I55:I58)</f>
        <v>189.8974</v>
      </c>
      <c r="J60" s="283"/>
      <c r="K60" s="164"/>
      <c r="L60" s="164"/>
      <c r="M60" s="164"/>
    </row>
    <row r="61" spans="1:13" x14ac:dyDescent="0.25">
      <c r="A61" s="1303"/>
      <c r="B61" s="1304"/>
      <c r="C61" s="1304"/>
      <c r="D61" s="1304"/>
      <c r="E61" s="1304"/>
      <c r="F61" s="1304"/>
      <c r="G61" s="1305"/>
      <c r="H61" s="150">
        <v>16</v>
      </c>
      <c r="I61" s="244">
        <f>SUMIF(C55:C58,H61,I55:I58)</f>
        <v>1713.0581199999999</v>
      </c>
      <c r="J61" s="271"/>
      <c r="K61" s="258">
        <f>I63</f>
        <v>3910.40272</v>
      </c>
      <c r="L61" s="258">
        <f>SUM(I60:I62)</f>
        <v>1902.95552</v>
      </c>
      <c r="M61" s="164" t="str">
        <f>IF(K61=L61,"ok","notok")</f>
        <v>notok</v>
      </c>
    </row>
    <row r="62" spans="1:13" x14ac:dyDescent="0.25">
      <c r="A62" s="1303"/>
      <c r="B62" s="1304"/>
      <c r="C62" s="1304"/>
      <c r="D62" s="1304"/>
      <c r="E62" s="1304"/>
      <c r="F62" s="1304"/>
      <c r="G62" s="1305"/>
      <c r="H62" s="150">
        <v>28</v>
      </c>
      <c r="I62" s="244">
        <f>SUMIF($D$5:$D$8,H62,$J$5:$J$8)</f>
        <v>0</v>
      </c>
      <c r="J62" s="271"/>
      <c r="K62" s="164"/>
      <c r="L62" s="164"/>
      <c r="M62" s="164"/>
    </row>
    <row r="63" spans="1:13" x14ac:dyDescent="0.25">
      <c r="A63" s="155"/>
      <c r="B63" s="248" t="s">
        <v>564</v>
      </c>
      <c r="C63" s="249"/>
      <c r="D63" s="249"/>
      <c r="E63" s="249"/>
      <c r="F63" s="249"/>
      <c r="G63" s="286"/>
      <c r="H63" s="272"/>
      <c r="I63" s="244">
        <f>SUM(I55:I58)</f>
        <v>3910.40272</v>
      </c>
      <c r="J63" s="271"/>
      <c r="K63" s="164" t="s">
        <v>471</v>
      </c>
      <c r="L63" s="164">
        <f>9.05062</f>
        <v>9.0506200000000003</v>
      </c>
      <c r="M63" s="164"/>
    </row>
    <row r="64" spans="1:13" x14ac:dyDescent="0.25">
      <c r="A64" s="155"/>
      <c r="B64" s="248" t="s">
        <v>607</v>
      </c>
      <c r="C64" s="249"/>
      <c r="D64" s="249"/>
      <c r="E64" s="249"/>
      <c r="F64" s="249"/>
      <c r="G64" s="286"/>
      <c r="H64" s="272"/>
      <c r="I64" s="244">
        <f>ROUND(L63*L65,2)</f>
        <v>40.729999999999997</v>
      </c>
      <c r="J64" s="271"/>
      <c r="K64" s="164" t="s">
        <v>414</v>
      </c>
      <c r="L64" s="164">
        <v>13.827</v>
      </c>
      <c r="M64" s="164"/>
    </row>
    <row r="65" spans="1:13" ht="15.75" thickBot="1" x14ac:dyDescent="0.3">
      <c r="A65" s="156"/>
      <c r="B65" s="253" t="s">
        <v>567</v>
      </c>
      <c r="C65" s="254"/>
      <c r="D65" s="254"/>
      <c r="E65" s="254"/>
      <c r="F65" s="254"/>
      <c r="G65" s="287"/>
      <c r="H65" s="273"/>
      <c r="I65" s="268">
        <f>ROUND(L64*L65,2)</f>
        <v>62.22</v>
      </c>
      <c r="J65" s="274"/>
      <c r="K65" s="164" t="s">
        <v>608</v>
      </c>
      <c r="L65" s="164">
        <v>4.5</v>
      </c>
      <c r="M65" s="164" t="s">
        <v>124</v>
      </c>
    </row>
    <row r="66" spans="1:13" ht="6.75" customHeight="1" x14ac:dyDescent="0.25">
      <c r="A66" s="158"/>
      <c r="B66" s="158"/>
      <c r="C66" s="158"/>
      <c r="D66" s="158"/>
      <c r="E66" s="158"/>
      <c r="F66" s="158"/>
      <c r="G66" s="158"/>
      <c r="H66" s="158"/>
      <c r="I66" s="158"/>
      <c r="J66" s="158"/>
    </row>
    <row r="67" spans="1:13" x14ac:dyDescent="0.25">
      <c r="A67" s="1308" t="s">
        <v>609</v>
      </c>
      <c r="B67" s="1308"/>
      <c r="C67" s="1308"/>
      <c r="D67" s="1308"/>
      <c r="E67" s="1308"/>
      <c r="F67" s="1308"/>
      <c r="G67" s="1308"/>
      <c r="H67" s="1308"/>
      <c r="I67" s="1308"/>
      <c r="J67" s="158"/>
    </row>
    <row r="68" spans="1:13" ht="7.5" customHeight="1" thickBot="1" x14ac:dyDescent="0.3"/>
    <row r="69" spans="1:13" ht="38.25" x14ac:dyDescent="0.25">
      <c r="A69" s="1279" t="s">
        <v>547</v>
      </c>
      <c r="B69" s="1281" t="s">
        <v>548</v>
      </c>
      <c r="C69" s="1038" t="s">
        <v>549</v>
      </c>
      <c r="D69" s="1281" t="s">
        <v>550</v>
      </c>
      <c r="E69" s="1038" t="s">
        <v>551</v>
      </c>
      <c r="F69" s="1038" t="s">
        <v>552</v>
      </c>
      <c r="G69" s="1038" t="s">
        <v>553</v>
      </c>
      <c r="H69" s="1038" t="s">
        <v>554</v>
      </c>
      <c r="I69" s="1094" t="s">
        <v>555</v>
      </c>
      <c r="J69" s="277" t="s">
        <v>613</v>
      </c>
      <c r="K69" s="164"/>
      <c r="L69" s="164"/>
      <c r="M69" s="164"/>
    </row>
    <row r="70" spans="1:13" x14ac:dyDescent="0.25">
      <c r="A70" s="1280"/>
      <c r="B70" s="1282"/>
      <c r="C70" s="1039" t="s">
        <v>556</v>
      </c>
      <c r="D70" s="1282"/>
      <c r="E70" s="1039" t="s">
        <v>556</v>
      </c>
      <c r="F70" s="1039" t="s">
        <v>557</v>
      </c>
      <c r="G70" s="1039" t="s">
        <v>558</v>
      </c>
      <c r="H70" s="1039" t="s">
        <v>559</v>
      </c>
      <c r="I70" s="1095" t="s">
        <v>560</v>
      </c>
      <c r="J70" s="1096"/>
      <c r="K70" s="164"/>
      <c r="L70" s="164"/>
      <c r="M70" s="164"/>
    </row>
    <row r="71" spans="1:13" x14ac:dyDescent="0.25">
      <c r="A71" s="1277" t="s">
        <v>69</v>
      </c>
      <c r="B71" s="160" t="s">
        <v>438</v>
      </c>
      <c r="C71" s="161">
        <v>25</v>
      </c>
      <c r="D71" s="160" t="str">
        <f>+IF(C71&lt;=10,"CB240-T","CB400-V")</f>
        <v>CB400-V</v>
      </c>
      <c r="E71" s="275">
        <v>10700</v>
      </c>
      <c r="F71" s="160">
        <v>88</v>
      </c>
      <c r="G71" s="263">
        <f>E71*F71/1000</f>
        <v>941.6</v>
      </c>
      <c r="H71" s="162">
        <f>HLOOKUP(C71,KLDV,2,0)</f>
        <v>3.85</v>
      </c>
      <c r="I71" s="1093">
        <f>G71*H71</f>
        <v>3625.1600000000003</v>
      </c>
      <c r="J71" s="1091"/>
      <c r="K71" s="164"/>
      <c r="L71" s="164"/>
      <c r="M71" s="164"/>
    </row>
    <row r="72" spans="1:13" x14ac:dyDescent="0.25">
      <c r="A72" s="1277"/>
      <c r="B72" s="165" t="s">
        <v>439</v>
      </c>
      <c r="C72" s="150">
        <v>16</v>
      </c>
      <c r="D72" s="165" t="str">
        <f>+IF(C72&lt;=10,"CB240-T","CB400-V")</f>
        <v>CB400-V</v>
      </c>
      <c r="E72" s="165">
        <v>8887</v>
      </c>
      <c r="F72" s="165">
        <v>162</v>
      </c>
      <c r="G72" s="244">
        <f>E72*F72/1000</f>
        <v>1439.694</v>
      </c>
      <c r="H72" s="166">
        <f>HLOOKUP(C72,KLDV,2,0)</f>
        <v>1.58</v>
      </c>
      <c r="I72" s="1086">
        <f>G72*H72</f>
        <v>2274.7165199999999</v>
      </c>
      <c r="J72" s="1091"/>
      <c r="K72" s="164"/>
      <c r="L72" s="164"/>
      <c r="M72" s="164"/>
    </row>
    <row r="73" spans="1:13" x14ac:dyDescent="0.25">
      <c r="A73" s="1277"/>
      <c r="B73" s="165" t="s">
        <v>440</v>
      </c>
      <c r="C73" s="150">
        <v>14</v>
      </c>
      <c r="D73" s="165" t="str">
        <f>+IF(C73&lt;=10,"CB240-T","CB400-V")</f>
        <v>CB400-V</v>
      </c>
      <c r="E73" s="165">
        <v>1735</v>
      </c>
      <c r="F73" s="257">
        <v>72</v>
      </c>
      <c r="G73" s="244">
        <f>E73*F73/1000</f>
        <v>124.92</v>
      </c>
      <c r="H73" s="166">
        <f>HLOOKUP(C73,KLDV,2,0)</f>
        <v>1.21</v>
      </c>
      <c r="I73" s="1086">
        <f>G73*H73</f>
        <v>151.1532</v>
      </c>
      <c r="J73" s="1091"/>
      <c r="K73" s="164"/>
      <c r="L73" s="164"/>
      <c r="M73" s="164"/>
    </row>
    <row r="74" spans="1:13" x14ac:dyDescent="0.25">
      <c r="A74" s="1277"/>
      <c r="B74" s="165" t="s">
        <v>441</v>
      </c>
      <c r="C74" s="150">
        <v>14</v>
      </c>
      <c r="D74" s="165" t="str">
        <f>+IF(C74&lt;=10,"CB240-T","CB400-V")</f>
        <v>CB400-V</v>
      </c>
      <c r="E74" s="165">
        <v>6005</v>
      </c>
      <c r="F74" s="257">
        <f>+F73/3</f>
        <v>24</v>
      </c>
      <c r="G74" s="244">
        <f>E74*F74/1000</f>
        <v>144.12</v>
      </c>
      <c r="H74" s="166">
        <f>HLOOKUP(C74,KLDV,2,0)</f>
        <v>1.21</v>
      </c>
      <c r="I74" s="1086">
        <f>G74*H74</f>
        <v>174.3852</v>
      </c>
      <c r="J74" s="1091"/>
      <c r="K74" s="164"/>
      <c r="L74" s="164"/>
      <c r="M74" s="164"/>
    </row>
    <row r="75" spans="1:13" x14ac:dyDescent="0.25">
      <c r="A75" s="1265" t="s">
        <v>562</v>
      </c>
      <c r="B75" s="1266"/>
      <c r="C75" s="1266"/>
      <c r="D75" s="1266"/>
      <c r="E75" s="1266"/>
      <c r="F75" s="1266"/>
      <c r="G75" s="1266"/>
      <c r="H75" s="1266"/>
      <c r="I75" s="1266"/>
      <c r="J75" s="1091"/>
      <c r="K75" s="164"/>
      <c r="L75" s="164"/>
      <c r="M75" s="164"/>
    </row>
    <row r="76" spans="1:13" x14ac:dyDescent="0.25">
      <c r="A76" s="1268" t="s">
        <v>563</v>
      </c>
      <c r="B76" s="1269"/>
      <c r="C76" s="1269"/>
      <c r="D76" s="1269"/>
      <c r="E76" s="1269"/>
      <c r="F76" s="1269"/>
      <c r="G76" s="1270"/>
      <c r="H76" s="148">
        <v>14</v>
      </c>
      <c r="I76" s="1085">
        <f>SUMIF(C71:C74,H76,I71:I74)</f>
        <v>325.53840000000002</v>
      </c>
      <c r="J76" s="1091"/>
      <c r="K76" s="164"/>
      <c r="L76" s="164"/>
      <c r="M76" s="164"/>
    </row>
    <row r="77" spans="1:13" x14ac:dyDescent="0.25">
      <c r="A77" s="1271"/>
      <c r="B77" s="1272"/>
      <c r="C77" s="1272"/>
      <c r="D77" s="1272"/>
      <c r="E77" s="1272"/>
      <c r="F77" s="1272"/>
      <c r="G77" s="1273"/>
      <c r="H77" s="150">
        <v>16</v>
      </c>
      <c r="I77" s="1086">
        <f>SUMIF(C71:C74,H77,I71:I74)</f>
        <v>2274.7165199999999</v>
      </c>
      <c r="J77" s="1091"/>
      <c r="K77" s="258">
        <f>I79</f>
        <v>6225.4149199999993</v>
      </c>
      <c r="L77" s="258">
        <f>SUM(I76:I78)</f>
        <v>2600.2549199999999</v>
      </c>
      <c r="M77" s="164" t="str">
        <f>IF(K77=L77,"ok","notok")</f>
        <v>notok</v>
      </c>
    </row>
    <row r="78" spans="1:13" x14ac:dyDescent="0.25">
      <c r="A78" s="1274"/>
      <c r="B78" s="1275"/>
      <c r="C78" s="1275"/>
      <c r="D78" s="1275"/>
      <c r="E78" s="1275"/>
      <c r="F78" s="1275"/>
      <c r="G78" s="1276"/>
      <c r="H78" s="152">
        <v>28</v>
      </c>
      <c r="I78" s="1087">
        <f>SUMIF($D$5:$D$8,H78,$J$5:$J$8)</f>
        <v>0</v>
      </c>
      <c r="J78" s="1091"/>
      <c r="K78" s="164"/>
      <c r="L78" s="164"/>
      <c r="M78" s="164"/>
    </row>
    <row r="79" spans="1:13" x14ac:dyDescent="0.25">
      <c r="A79" s="154"/>
      <c r="B79" s="245" t="s">
        <v>564</v>
      </c>
      <c r="C79" s="246"/>
      <c r="D79" s="246"/>
      <c r="E79" s="246"/>
      <c r="F79" s="246"/>
      <c r="G79" s="246"/>
      <c r="H79" s="247"/>
      <c r="I79" s="1088">
        <f>SUM(I71:I74)</f>
        <v>6225.4149199999993</v>
      </c>
      <c r="J79" s="1091"/>
      <c r="K79" s="164" t="s">
        <v>471</v>
      </c>
      <c r="L79" s="164">
        <f>9.05062</f>
        <v>9.0506200000000003</v>
      </c>
      <c r="M79" s="164"/>
    </row>
    <row r="80" spans="1:13" x14ac:dyDescent="0.25">
      <c r="A80" s="155"/>
      <c r="B80" s="248" t="s">
        <v>607</v>
      </c>
      <c r="C80" s="249"/>
      <c r="D80" s="249"/>
      <c r="E80" s="249"/>
      <c r="F80" s="249"/>
      <c r="G80" s="249"/>
      <c r="H80" s="250"/>
      <c r="I80" s="1089">
        <f>ROUND(L79*L81,2)</f>
        <v>67.88</v>
      </c>
      <c r="J80" s="1091"/>
      <c r="K80" s="164" t="s">
        <v>414</v>
      </c>
      <c r="L80" s="164">
        <v>13.827</v>
      </c>
      <c r="M80" s="164"/>
    </row>
    <row r="81" spans="1:17" ht="15.75" thickBot="1" x14ac:dyDescent="0.3">
      <c r="A81" s="156"/>
      <c r="B81" s="253" t="s">
        <v>567</v>
      </c>
      <c r="C81" s="254"/>
      <c r="D81" s="254"/>
      <c r="E81" s="254"/>
      <c r="F81" s="254"/>
      <c r="G81" s="254"/>
      <c r="H81" s="255"/>
      <c r="I81" s="1090">
        <f>ROUND(L80*L81,2)</f>
        <v>103.7</v>
      </c>
      <c r="J81" s="1092"/>
      <c r="K81" s="164" t="s">
        <v>608</v>
      </c>
      <c r="L81" s="164">
        <v>7.5</v>
      </c>
      <c r="M81" s="164" t="s">
        <v>124</v>
      </c>
    </row>
    <row r="83" spans="1:17" x14ac:dyDescent="0.25">
      <c r="A83" s="1162" t="s">
        <v>624</v>
      </c>
      <c r="B83" s="1162"/>
      <c r="C83" s="1162"/>
      <c r="D83" s="1162"/>
      <c r="E83" s="1162"/>
      <c r="F83" s="1162"/>
      <c r="G83" s="1162"/>
      <c r="H83" s="1162"/>
      <c r="I83" s="1162"/>
      <c r="J83" s="1162"/>
    </row>
    <row r="84" spans="1:17" ht="15.75" thickBot="1" x14ac:dyDescent="0.3"/>
    <row r="85" spans="1:17" ht="38.25" x14ac:dyDescent="0.25">
      <c r="A85" s="1279" t="s">
        <v>547</v>
      </c>
      <c r="B85" s="1281" t="s">
        <v>548</v>
      </c>
      <c r="C85" s="177" t="s">
        <v>549</v>
      </c>
      <c r="D85" s="1281" t="s">
        <v>550</v>
      </c>
      <c r="E85" s="177" t="s">
        <v>551</v>
      </c>
      <c r="F85" s="177" t="s">
        <v>552</v>
      </c>
      <c r="G85" s="177" t="s">
        <v>553</v>
      </c>
      <c r="H85" s="177" t="s">
        <v>554</v>
      </c>
      <c r="I85" s="177" t="s">
        <v>555</v>
      </c>
      <c r="J85" s="1306" t="s">
        <v>613</v>
      </c>
      <c r="K85" s="164"/>
      <c r="L85" s="164"/>
      <c r="M85" s="164"/>
      <c r="N85" s="164"/>
      <c r="O85" s="164"/>
      <c r="P85" s="164"/>
      <c r="Q85" s="164"/>
    </row>
    <row r="86" spans="1:17" x14ac:dyDescent="0.25">
      <c r="A86" s="1280"/>
      <c r="B86" s="1282"/>
      <c r="C86" s="178" t="s">
        <v>556</v>
      </c>
      <c r="D86" s="1282"/>
      <c r="E86" s="178" t="s">
        <v>556</v>
      </c>
      <c r="F86" s="178" t="s">
        <v>557</v>
      </c>
      <c r="G86" s="178" t="s">
        <v>558</v>
      </c>
      <c r="H86" s="178" t="s">
        <v>559</v>
      </c>
      <c r="I86" s="178" t="s">
        <v>560</v>
      </c>
      <c r="J86" s="1307"/>
      <c r="K86" s="164"/>
      <c r="L86" s="164"/>
      <c r="M86" s="164"/>
      <c r="N86" s="164"/>
      <c r="O86" s="164"/>
      <c r="P86" s="164"/>
      <c r="Q86" s="164"/>
    </row>
    <row r="87" spans="1:17" x14ac:dyDescent="0.25">
      <c r="A87" s="1278" t="s">
        <v>614</v>
      </c>
      <c r="B87" s="170" t="s">
        <v>448</v>
      </c>
      <c r="C87" s="148">
        <v>32</v>
      </c>
      <c r="D87" s="170" t="str">
        <f>+IF(C87&lt;=10,"CB240-T","CB400-V")</f>
        <v>CB400-V</v>
      </c>
      <c r="E87" s="170">
        <v>11452</v>
      </c>
      <c r="F87" s="170">
        <v>13</v>
      </c>
      <c r="G87" s="243">
        <f>E87*F87/1000</f>
        <v>148.876</v>
      </c>
      <c r="H87" s="171">
        <f t="shared" ref="H87:H105" si="5">HLOOKUP(C87,KLDV,2,0)</f>
        <v>6.31</v>
      </c>
      <c r="I87" s="243">
        <f>G87*H87</f>
        <v>939.40755999999999</v>
      </c>
      <c r="J87" s="260"/>
      <c r="K87" s="164"/>
      <c r="L87" s="164"/>
      <c r="M87" s="164"/>
      <c r="N87" s="164"/>
      <c r="O87" s="164"/>
      <c r="P87" s="164"/>
      <c r="Q87" s="164"/>
    </row>
    <row r="88" spans="1:17" x14ac:dyDescent="0.25">
      <c r="A88" s="1277"/>
      <c r="B88" s="165" t="s">
        <v>450</v>
      </c>
      <c r="C88" s="150">
        <v>32</v>
      </c>
      <c r="D88" s="165" t="str">
        <f t="shared" ref="D88:D105" si="6">+IF(C88&lt;=10,"CB240-T","CB400-V")</f>
        <v>CB400-V</v>
      </c>
      <c r="E88" s="165">
        <v>10850</v>
      </c>
      <c r="F88" s="165">
        <f>+F87</f>
        <v>13</v>
      </c>
      <c r="G88" s="244">
        <f>E88*F88/1000</f>
        <v>141.05000000000001</v>
      </c>
      <c r="H88" s="166">
        <f t="shared" si="5"/>
        <v>6.31</v>
      </c>
      <c r="I88" s="244">
        <f>G88*H88</f>
        <v>890.02549999999997</v>
      </c>
      <c r="J88" s="261"/>
      <c r="K88" s="164"/>
      <c r="L88" s="164"/>
      <c r="M88" s="164"/>
      <c r="N88" s="164"/>
      <c r="O88" s="164"/>
      <c r="P88" s="164"/>
      <c r="Q88" s="164"/>
    </row>
    <row r="89" spans="1:17" x14ac:dyDescent="0.25">
      <c r="A89" s="1277"/>
      <c r="B89" s="165" t="s">
        <v>452</v>
      </c>
      <c r="C89" s="150">
        <v>25</v>
      </c>
      <c r="D89" s="165" t="str">
        <f t="shared" si="6"/>
        <v>CB400-V</v>
      </c>
      <c r="E89" s="165">
        <v>13483</v>
      </c>
      <c r="F89" s="165">
        <v>11</v>
      </c>
      <c r="G89" s="244">
        <f t="shared" ref="G89:G105" si="7">E89*F89/1000</f>
        <v>148.31299999999999</v>
      </c>
      <c r="H89" s="166">
        <f t="shared" si="5"/>
        <v>3.85</v>
      </c>
      <c r="I89" s="244">
        <f t="shared" ref="I89:I105" si="8">G89*H89</f>
        <v>571.00504999999998</v>
      </c>
      <c r="J89" s="261"/>
      <c r="K89" s="164"/>
      <c r="L89" s="164"/>
      <c r="M89" s="164"/>
      <c r="N89" s="164"/>
      <c r="O89" s="164"/>
      <c r="P89" s="164"/>
      <c r="Q89" s="164"/>
    </row>
    <row r="90" spans="1:17" x14ac:dyDescent="0.25">
      <c r="A90" s="1277"/>
      <c r="B90" s="165" t="s">
        <v>454</v>
      </c>
      <c r="C90" s="150">
        <v>16</v>
      </c>
      <c r="D90" s="165" t="str">
        <f t="shared" si="6"/>
        <v>CB400-V</v>
      </c>
      <c r="E90" s="165">
        <v>9005</v>
      </c>
      <c r="F90" s="165">
        <f>5*2</f>
        <v>10</v>
      </c>
      <c r="G90" s="244">
        <f t="shared" si="7"/>
        <v>90.05</v>
      </c>
      <c r="H90" s="166">
        <f t="shared" si="5"/>
        <v>1.58</v>
      </c>
      <c r="I90" s="244">
        <f t="shared" si="8"/>
        <v>142.279</v>
      </c>
      <c r="J90" s="261" t="s">
        <v>615</v>
      </c>
      <c r="K90" s="164"/>
      <c r="L90" s="164"/>
      <c r="M90" s="164"/>
      <c r="N90" s="164"/>
      <c r="O90" s="164"/>
      <c r="P90" s="164"/>
      <c r="Q90" s="164"/>
    </row>
    <row r="91" spans="1:17" x14ac:dyDescent="0.25">
      <c r="A91" s="1277"/>
      <c r="B91" s="165" t="s">
        <v>456</v>
      </c>
      <c r="C91" s="150">
        <v>16</v>
      </c>
      <c r="D91" s="165" t="str">
        <f t="shared" si="6"/>
        <v>CB400-V</v>
      </c>
      <c r="E91" s="165">
        <v>10850</v>
      </c>
      <c r="F91" s="165">
        <f>3*2</f>
        <v>6</v>
      </c>
      <c r="G91" s="244">
        <f t="shared" si="7"/>
        <v>65.099999999999994</v>
      </c>
      <c r="H91" s="166">
        <f t="shared" si="5"/>
        <v>1.58</v>
      </c>
      <c r="I91" s="244">
        <f t="shared" si="8"/>
        <v>102.85799999999999</v>
      </c>
      <c r="J91" s="261"/>
      <c r="K91" s="164"/>
      <c r="L91" s="164"/>
      <c r="M91" s="164"/>
      <c r="N91" s="164"/>
      <c r="O91" s="164"/>
      <c r="P91" s="164"/>
      <c r="Q91" s="164"/>
    </row>
    <row r="92" spans="1:17" x14ac:dyDescent="0.25">
      <c r="A92" s="1277"/>
      <c r="B92" s="165" t="s">
        <v>457</v>
      </c>
      <c r="C92" s="150">
        <v>16</v>
      </c>
      <c r="D92" s="165" t="str">
        <f t="shared" si="6"/>
        <v>CB400-V</v>
      </c>
      <c r="E92" s="165">
        <v>5461</v>
      </c>
      <c r="F92" s="165">
        <f>38*2</f>
        <v>76</v>
      </c>
      <c r="G92" s="244">
        <f t="shared" si="7"/>
        <v>415.036</v>
      </c>
      <c r="H92" s="166">
        <f t="shared" si="5"/>
        <v>1.58</v>
      </c>
      <c r="I92" s="244">
        <f t="shared" si="8"/>
        <v>655.75688000000002</v>
      </c>
      <c r="J92" s="261" t="s">
        <v>615</v>
      </c>
      <c r="K92" s="164"/>
      <c r="L92" s="164"/>
      <c r="M92" s="164"/>
      <c r="N92" s="164"/>
      <c r="O92" s="164"/>
      <c r="P92" s="164"/>
      <c r="Q92" s="164"/>
    </row>
    <row r="93" spans="1:17" x14ac:dyDescent="0.25">
      <c r="A93" s="1277"/>
      <c r="B93" s="165" t="s">
        <v>458</v>
      </c>
      <c r="C93" s="150">
        <v>16</v>
      </c>
      <c r="D93" s="165" t="str">
        <f t="shared" si="6"/>
        <v>CB400-V</v>
      </c>
      <c r="E93" s="165">
        <v>4514</v>
      </c>
      <c r="F93" s="165">
        <f>14*2</f>
        <v>28</v>
      </c>
      <c r="G93" s="244">
        <f t="shared" si="7"/>
        <v>126.392</v>
      </c>
      <c r="H93" s="166">
        <f t="shared" si="5"/>
        <v>1.58</v>
      </c>
      <c r="I93" s="244">
        <f t="shared" si="8"/>
        <v>199.69936000000001</v>
      </c>
      <c r="J93" s="261" t="s">
        <v>615</v>
      </c>
      <c r="K93" s="164"/>
      <c r="L93" s="164"/>
      <c r="M93" s="164"/>
      <c r="N93" s="164"/>
      <c r="O93" s="164"/>
      <c r="P93" s="164"/>
      <c r="Q93" s="164"/>
    </row>
    <row r="94" spans="1:17" x14ac:dyDescent="0.25">
      <c r="A94" s="1277"/>
      <c r="B94" s="165" t="s">
        <v>459</v>
      </c>
      <c r="C94" s="150">
        <v>16</v>
      </c>
      <c r="D94" s="165" t="str">
        <f t="shared" si="6"/>
        <v>CB400-V</v>
      </c>
      <c r="E94" s="165">
        <v>5069</v>
      </c>
      <c r="F94" s="165">
        <f>+F93</f>
        <v>28</v>
      </c>
      <c r="G94" s="244">
        <f t="shared" si="7"/>
        <v>141.93199999999999</v>
      </c>
      <c r="H94" s="166">
        <f t="shared" si="5"/>
        <v>1.58</v>
      </c>
      <c r="I94" s="244">
        <f t="shared" si="8"/>
        <v>224.25255999999999</v>
      </c>
      <c r="J94" s="261" t="s">
        <v>615</v>
      </c>
      <c r="K94" s="164"/>
      <c r="L94" s="164"/>
      <c r="M94" s="164"/>
      <c r="N94" s="164"/>
      <c r="O94" s="164"/>
      <c r="P94" s="164"/>
      <c r="Q94" s="164"/>
    </row>
    <row r="95" spans="1:17" x14ac:dyDescent="0.25">
      <c r="A95" s="1277"/>
      <c r="B95" s="165" t="s">
        <v>616</v>
      </c>
      <c r="C95" s="150">
        <v>25</v>
      </c>
      <c r="D95" s="165" t="str">
        <f t="shared" si="6"/>
        <v>CB400-V</v>
      </c>
      <c r="E95" s="165">
        <v>2039</v>
      </c>
      <c r="F95" s="165">
        <f>5*5</f>
        <v>25</v>
      </c>
      <c r="G95" s="244">
        <f t="shared" si="7"/>
        <v>50.975000000000001</v>
      </c>
      <c r="H95" s="166">
        <f t="shared" si="5"/>
        <v>3.85</v>
      </c>
      <c r="I95" s="244">
        <f t="shared" si="8"/>
        <v>196.25375</v>
      </c>
      <c r="J95" s="261" t="s">
        <v>615</v>
      </c>
      <c r="K95" s="164"/>
      <c r="L95" s="164"/>
      <c r="M95" s="164"/>
      <c r="N95" s="164"/>
      <c r="O95" s="164"/>
      <c r="P95" s="164"/>
      <c r="Q95" s="164"/>
    </row>
    <row r="96" spans="1:17" x14ac:dyDescent="0.25">
      <c r="A96" s="1277"/>
      <c r="B96" s="165" t="s">
        <v>617</v>
      </c>
      <c r="C96" s="150">
        <v>25</v>
      </c>
      <c r="D96" s="165" t="str">
        <f t="shared" si="6"/>
        <v>CB400-V</v>
      </c>
      <c r="E96" s="165">
        <v>1831</v>
      </c>
      <c r="F96" s="165">
        <f>5*5</f>
        <v>25</v>
      </c>
      <c r="G96" s="244">
        <f t="shared" si="7"/>
        <v>45.774999999999999</v>
      </c>
      <c r="H96" s="166">
        <f t="shared" si="5"/>
        <v>3.85</v>
      </c>
      <c r="I96" s="244">
        <f t="shared" si="8"/>
        <v>176.23374999999999</v>
      </c>
      <c r="J96" s="261" t="s">
        <v>615</v>
      </c>
      <c r="K96" s="164"/>
      <c r="L96" s="164"/>
      <c r="M96" s="164"/>
      <c r="N96" s="164"/>
      <c r="O96" s="164"/>
      <c r="P96" s="164"/>
      <c r="Q96" s="164"/>
    </row>
    <row r="97" spans="1:17" x14ac:dyDescent="0.25">
      <c r="A97" s="1278" t="s">
        <v>578</v>
      </c>
      <c r="B97" s="170" t="s">
        <v>357</v>
      </c>
      <c r="C97" s="148">
        <v>10</v>
      </c>
      <c r="D97" s="170" t="str">
        <f t="shared" si="6"/>
        <v>CB240-T</v>
      </c>
      <c r="E97" s="170">
        <v>950</v>
      </c>
      <c r="F97" s="170">
        <f>10*2*5</f>
        <v>100</v>
      </c>
      <c r="G97" s="171">
        <f t="shared" si="7"/>
        <v>95</v>
      </c>
      <c r="H97" s="171">
        <f>HLOOKUP(C97,KLDV,2,0)</f>
        <v>0.61699999999999999</v>
      </c>
      <c r="I97" s="243">
        <f t="shared" si="8"/>
        <v>58.615000000000002</v>
      </c>
      <c r="J97" s="260"/>
      <c r="K97" s="164"/>
      <c r="L97" s="164"/>
      <c r="M97" s="164"/>
      <c r="N97" s="164"/>
      <c r="O97" s="164"/>
      <c r="P97" s="164"/>
      <c r="Q97" s="164"/>
    </row>
    <row r="98" spans="1:17" x14ac:dyDescent="0.25">
      <c r="A98" s="1277"/>
      <c r="B98" s="165" t="s">
        <v>358</v>
      </c>
      <c r="C98" s="150">
        <v>10</v>
      </c>
      <c r="D98" s="165" t="str">
        <f t="shared" si="6"/>
        <v>CB240-T</v>
      </c>
      <c r="E98" s="165">
        <v>950</v>
      </c>
      <c r="F98" s="165">
        <f>10*2*5</f>
        <v>100</v>
      </c>
      <c r="G98" s="166">
        <f>E98*F98/1000</f>
        <v>95</v>
      </c>
      <c r="H98" s="166">
        <f>HLOOKUP(C98,KLDV,2,0)</f>
        <v>0.61699999999999999</v>
      </c>
      <c r="I98" s="244">
        <f>G98*H98</f>
        <v>58.615000000000002</v>
      </c>
      <c r="J98" s="261"/>
      <c r="K98" s="164"/>
      <c r="L98" s="164"/>
      <c r="M98" s="164"/>
      <c r="N98" s="164"/>
      <c r="O98" s="164"/>
      <c r="P98" s="164"/>
      <c r="Q98" s="164"/>
    </row>
    <row r="99" spans="1:17" x14ac:dyDescent="0.25">
      <c r="A99" s="1277"/>
      <c r="B99" s="165" t="s">
        <v>361</v>
      </c>
      <c r="C99" s="150">
        <v>10</v>
      </c>
      <c r="D99" s="165" t="str">
        <f t="shared" si="6"/>
        <v>CB240-T</v>
      </c>
      <c r="E99" s="165">
        <v>600</v>
      </c>
      <c r="F99" s="165">
        <f>12*5</f>
        <v>60</v>
      </c>
      <c r="G99" s="166">
        <f>E99*F99/1000</f>
        <v>36</v>
      </c>
      <c r="H99" s="166">
        <f>HLOOKUP(C99,KLDV,2,0)</f>
        <v>0.61699999999999999</v>
      </c>
      <c r="I99" s="244">
        <f>G99*H99</f>
        <v>22.212</v>
      </c>
      <c r="J99" s="261"/>
      <c r="K99" s="164"/>
      <c r="L99" s="164"/>
      <c r="M99" s="164"/>
      <c r="N99" s="164"/>
      <c r="O99" s="164"/>
      <c r="P99" s="164"/>
      <c r="Q99" s="164"/>
    </row>
    <row r="100" spans="1:17" x14ac:dyDescent="0.25">
      <c r="A100" s="1277"/>
      <c r="B100" s="165" t="s">
        <v>363</v>
      </c>
      <c r="C100" s="150">
        <v>10</v>
      </c>
      <c r="D100" s="165" t="str">
        <f t="shared" si="6"/>
        <v>CB240-T</v>
      </c>
      <c r="E100" s="165">
        <v>600</v>
      </c>
      <c r="F100" s="165">
        <f>+F99</f>
        <v>60</v>
      </c>
      <c r="G100" s="166">
        <f>E100*F100/1000</f>
        <v>36</v>
      </c>
      <c r="H100" s="166">
        <f>HLOOKUP(C100,KLDV,2,0)</f>
        <v>0.61699999999999999</v>
      </c>
      <c r="I100" s="244">
        <f>G100*H100</f>
        <v>22.212</v>
      </c>
      <c r="J100" s="262"/>
      <c r="K100" s="164"/>
      <c r="L100" s="164"/>
      <c r="M100" s="164"/>
      <c r="N100" s="164"/>
      <c r="O100" s="164"/>
      <c r="P100" s="164"/>
      <c r="Q100" s="164"/>
    </row>
    <row r="101" spans="1:17" x14ac:dyDescent="0.25">
      <c r="A101" s="1278" t="s">
        <v>579</v>
      </c>
      <c r="B101" s="169" t="s">
        <v>460</v>
      </c>
      <c r="C101" s="148">
        <v>10</v>
      </c>
      <c r="D101" s="170" t="str">
        <f>+IF(C101&lt;=10,"CB240-T","CB400-V")</f>
        <v>CB240-T</v>
      </c>
      <c r="E101" s="170">
        <v>1700</v>
      </c>
      <c r="F101" s="170">
        <f>7*2*2</f>
        <v>28</v>
      </c>
      <c r="G101" s="171">
        <f t="shared" si="7"/>
        <v>47.6</v>
      </c>
      <c r="H101" s="171">
        <f t="shared" si="5"/>
        <v>0.61699999999999999</v>
      </c>
      <c r="I101" s="243">
        <f t="shared" si="8"/>
        <v>29.369199999999999</v>
      </c>
      <c r="J101" s="260"/>
      <c r="K101" s="164"/>
      <c r="L101" s="164"/>
      <c r="M101" s="164"/>
      <c r="N101" s="164"/>
      <c r="O101" s="164"/>
      <c r="P101" s="164"/>
      <c r="Q101" s="164"/>
    </row>
    <row r="102" spans="1:17" x14ac:dyDescent="0.25">
      <c r="A102" s="1277"/>
      <c r="B102" s="168" t="s">
        <v>461</v>
      </c>
      <c r="C102" s="161">
        <v>10</v>
      </c>
      <c r="D102" s="165" t="str">
        <f t="shared" si="6"/>
        <v>CB240-T</v>
      </c>
      <c r="E102" s="160">
        <v>1110</v>
      </c>
      <c r="F102" s="160">
        <f>4*2*2</f>
        <v>16</v>
      </c>
      <c r="G102" s="162">
        <f t="shared" si="7"/>
        <v>17.760000000000002</v>
      </c>
      <c r="H102" s="162">
        <f t="shared" si="5"/>
        <v>0.61699999999999999</v>
      </c>
      <c r="I102" s="263">
        <f t="shared" si="8"/>
        <v>10.957920000000001</v>
      </c>
      <c r="J102" s="264"/>
      <c r="K102" s="164"/>
      <c r="L102" s="164"/>
      <c r="M102" s="164"/>
      <c r="N102" s="164"/>
      <c r="O102" s="164"/>
      <c r="P102" s="164"/>
      <c r="Q102" s="164"/>
    </row>
    <row r="103" spans="1:17" x14ac:dyDescent="0.25">
      <c r="A103" s="1277"/>
      <c r="B103" s="168" t="s">
        <v>462</v>
      </c>
      <c r="C103" s="161">
        <v>10</v>
      </c>
      <c r="D103" s="165" t="str">
        <f t="shared" si="6"/>
        <v>CB240-T</v>
      </c>
      <c r="E103" s="160">
        <v>4498</v>
      </c>
      <c r="F103" s="160">
        <f>1*2*2</f>
        <v>4</v>
      </c>
      <c r="G103" s="162">
        <f t="shared" si="7"/>
        <v>17.992000000000001</v>
      </c>
      <c r="H103" s="162">
        <f t="shared" si="5"/>
        <v>0.61699999999999999</v>
      </c>
      <c r="I103" s="263">
        <f t="shared" si="8"/>
        <v>11.101064000000001</v>
      </c>
      <c r="J103" s="264"/>
      <c r="K103" s="164"/>
      <c r="L103" s="164"/>
      <c r="M103" s="164"/>
      <c r="N103" s="164"/>
      <c r="O103" s="164"/>
      <c r="P103" s="164"/>
      <c r="Q103" s="164"/>
    </row>
    <row r="104" spans="1:17" x14ac:dyDescent="0.25">
      <c r="A104" s="1277"/>
      <c r="B104" s="168" t="s">
        <v>618</v>
      </c>
      <c r="C104" s="161">
        <v>8</v>
      </c>
      <c r="D104" s="165" t="str">
        <f t="shared" si="6"/>
        <v>CB240-T</v>
      </c>
      <c r="E104" s="160">
        <v>220</v>
      </c>
      <c r="F104" s="160">
        <f>11*2</f>
        <v>22</v>
      </c>
      <c r="G104" s="162">
        <f t="shared" si="7"/>
        <v>4.84</v>
      </c>
      <c r="H104" s="162">
        <f t="shared" si="5"/>
        <v>0.39500000000000002</v>
      </c>
      <c r="I104" s="263">
        <f t="shared" si="8"/>
        <v>1.9117999999999999</v>
      </c>
      <c r="J104" s="264"/>
      <c r="K104" s="164"/>
      <c r="L104" s="164"/>
      <c r="M104" s="164"/>
      <c r="N104" s="164"/>
      <c r="O104" s="164"/>
      <c r="P104" s="164"/>
      <c r="Q104" s="164"/>
    </row>
    <row r="105" spans="1:17" x14ac:dyDescent="0.25">
      <c r="A105" s="1277"/>
      <c r="B105" s="168" t="s">
        <v>619</v>
      </c>
      <c r="C105" s="161">
        <v>10</v>
      </c>
      <c r="D105" s="165" t="str">
        <f t="shared" si="6"/>
        <v>CB240-T</v>
      </c>
      <c r="E105" s="160">
        <v>1410</v>
      </c>
      <c r="F105" s="160">
        <f>8*2*2</f>
        <v>32</v>
      </c>
      <c r="G105" s="162">
        <f t="shared" si="7"/>
        <v>45.12</v>
      </c>
      <c r="H105" s="162">
        <f t="shared" si="5"/>
        <v>0.61699999999999999</v>
      </c>
      <c r="I105" s="263">
        <f t="shared" si="8"/>
        <v>27.839039999999997</v>
      </c>
      <c r="J105" s="264"/>
      <c r="K105" s="164"/>
      <c r="L105" s="164"/>
      <c r="M105" s="164"/>
      <c r="N105" s="164"/>
      <c r="O105" s="164"/>
      <c r="P105" s="164"/>
      <c r="Q105" s="164"/>
    </row>
    <row r="106" spans="1:17" x14ac:dyDescent="0.25">
      <c r="A106" s="1265" t="s">
        <v>562</v>
      </c>
      <c r="B106" s="1266"/>
      <c r="C106" s="1266"/>
      <c r="D106" s="1266"/>
      <c r="E106" s="1266"/>
      <c r="F106" s="1266"/>
      <c r="G106" s="1266"/>
      <c r="H106" s="1266"/>
      <c r="I106" s="1266"/>
      <c r="J106" s="1267"/>
      <c r="K106" s="164"/>
      <c r="L106" s="164"/>
      <c r="M106" s="164"/>
      <c r="N106" s="164"/>
      <c r="O106" s="164"/>
      <c r="P106" s="164"/>
      <c r="Q106" s="164"/>
    </row>
    <row r="107" spans="1:17" x14ac:dyDescent="0.25">
      <c r="A107" s="1271" t="s">
        <v>563</v>
      </c>
      <c r="B107" s="1272"/>
      <c r="C107" s="1272"/>
      <c r="D107" s="1272"/>
      <c r="E107" s="1272"/>
      <c r="F107" s="1272"/>
      <c r="G107" s="1273"/>
      <c r="H107" s="150">
        <v>8</v>
      </c>
      <c r="I107" s="263">
        <f>SUMIF($C$87:$C$105,H107,$I$87:$I$105)</f>
        <v>1.9117999999999999</v>
      </c>
      <c r="J107" s="261"/>
      <c r="K107" s="164"/>
      <c r="L107" s="164"/>
      <c r="M107" s="164"/>
      <c r="N107" s="164"/>
      <c r="O107" s="164"/>
      <c r="P107" s="164"/>
      <c r="Q107" s="164"/>
    </row>
    <row r="108" spans="1:17" x14ac:dyDescent="0.25">
      <c r="A108" s="1271"/>
      <c r="B108" s="1272"/>
      <c r="C108" s="1272"/>
      <c r="D108" s="1272"/>
      <c r="E108" s="1272"/>
      <c r="F108" s="1272"/>
      <c r="G108" s="1273"/>
      <c r="H108" s="150">
        <v>10</v>
      </c>
      <c r="I108" s="263">
        <f t="shared" ref="I108:I112" si="9">SUMIF($C$87:$C$105,H108,$I$87:$I$105)</f>
        <v>240.921224</v>
      </c>
      <c r="J108" s="262"/>
      <c r="K108" s="164"/>
      <c r="L108" s="164"/>
      <c r="M108" s="164"/>
      <c r="N108" s="164"/>
      <c r="O108" s="164"/>
      <c r="P108" s="164"/>
      <c r="Q108" s="164"/>
    </row>
    <row r="109" spans="1:17" x14ac:dyDescent="0.25">
      <c r="A109" s="1271"/>
      <c r="B109" s="1272"/>
      <c r="C109" s="1272"/>
      <c r="D109" s="1272"/>
      <c r="E109" s="1272"/>
      <c r="F109" s="1272"/>
      <c r="G109" s="1273"/>
      <c r="H109" s="150">
        <v>16</v>
      </c>
      <c r="I109" s="263">
        <f t="shared" si="9"/>
        <v>1324.8458000000001</v>
      </c>
      <c r="J109" s="262"/>
      <c r="K109" s="164"/>
      <c r="L109" s="164"/>
      <c r="M109" s="164"/>
      <c r="N109" s="164"/>
      <c r="O109" s="164"/>
      <c r="P109" s="164"/>
      <c r="Q109" s="164"/>
    </row>
    <row r="110" spans="1:17" x14ac:dyDescent="0.25">
      <c r="A110" s="1271"/>
      <c r="B110" s="1272"/>
      <c r="C110" s="1272"/>
      <c r="D110" s="1272"/>
      <c r="E110" s="1272"/>
      <c r="F110" s="1272"/>
      <c r="G110" s="1273"/>
      <c r="H110" s="150">
        <v>20</v>
      </c>
      <c r="I110" s="263">
        <f t="shared" si="9"/>
        <v>0</v>
      </c>
      <c r="J110" s="262"/>
      <c r="K110" s="164"/>
      <c r="L110" s="164"/>
      <c r="M110" s="164"/>
      <c r="N110" s="164"/>
      <c r="O110" s="164"/>
      <c r="P110" s="164"/>
      <c r="Q110" s="164"/>
    </row>
    <row r="111" spans="1:17" x14ac:dyDescent="0.25">
      <c r="A111" s="1271"/>
      <c r="B111" s="1272"/>
      <c r="C111" s="1272"/>
      <c r="D111" s="1272"/>
      <c r="E111" s="1272"/>
      <c r="F111" s="1272"/>
      <c r="G111" s="1273"/>
      <c r="H111" s="150">
        <v>25</v>
      </c>
      <c r="I111" s="263">
        <f t="shared" si="9"/>
        <v>943.49254999999994</v>
      </c>
      <c r="J111" s="262"/>
      <c r="K111" s="164"/>
      <c r="L111" s="174" t="s">
        <v>580</v>
      </c>
      <c r="M111" s="174"/>
      <c r="N111" s="174"/>
      <c r="O111" s="164"/>
      <c r="P111" s="164"/>
      <c r="Q111" s="164"/>
    </row>
    <row r="112" spans="1:17" x14ac:dyDescent="0.25">
      <c r="A112" s="1274"/>
      <c r="B112" s="1275"/>
      <c r="C112" s="1275"/>
      <c r="D112" s="1275"/>
      <c r="E112" s="1275"/>
      <c r="F112" s="1275"/>
      <c r="G112" s="1276"/>
      <c r="H112" s="152">
        <v>32</v>
      </c>
      <c r="I112" s="263">
        <f t="shared" si="9"/>
        <v>1829.4330599999998</v>
      </c>
      <c r="J112" s="266"/>
      <c r="K112" s="164"/>
      <c r="L112" s="175">
        <f>SUM(I107:I112)</f>
        <v>4340.6044339999999</v>
      </c>
      <c r="M112" s="175">
        <f>+I113-L112</f>
        <v>0</v>
      </c>
      <c r="N112" s="174" t="str">
        <f>IF(M112=0,"ok","Notok")</f>
        <v>ok</v>
      </c>
      <c r="O112" s="164"/>
      <c r="P112" s="164"/>
      <c r="Q112" s="164"/>
    </row>
    <row r="113" spans="1:17" x14ac:dyDescent="0.25">
      <c r="A113" s="154"/>
      <c r="B113" s="245" t="s">
        <v>564</v>
      </c>
      <c r="C113" s="246"/>
      <c r="D113" s="246"/>
      <c r="E113" s="246"/>
      <c r="F113" s="246"/>
      <c r="G113" s="246"/>
      <c r="H113" s="247"/>
      <c r="I113" s="243">
        <f>SUM(I87:I105)</f>
        <v>4340.6044340000008</v>
      </c>
      <c r="J113" s="260"/>
      <c r="K113" s="164"/>
      <c r="L113" s="164"/>
      <c r="M113" s="164"/>
      <c r="N113" s="164"/>
      <c r="O113" s="164"/>
      <c r="P113" s="164"/>
      <c r="Q113" s="164"/>
    </row>
    <row r="114" spans="1:17" x14ac:dyDescent="0.25">
      <c r="A114" s="155"/>
      <c r="B114" s="248" t="s">
        <v>620</v>
      </c>
      <c r="C114" s="249"/>
      <c r="D114" s="249"/>
      <c r="E114" s="249"/>
      <c r="F114" s="249"/>
      <c r="G114" s="249"/>
      <c r="H114" s="250"/>
      <c r="I114" s="244">
        <f>ROUND(O114,2)</f>
        <v>30.43</v>
      </c>
      <c r="J114" s="261"/>
      <c r="K114" s="164"/>
      <c r="L114" s="164" t="s">
        <v>621</v>
      </c>
      <c r="M114" s="164">
        <f>8.91534*2</f>
        <v>17.830680000000001</v>
      </c>
      <c r="N114" s="164">
        <f>7*1.8</f>
        <v>12.6</v>
      </c>
      <c r="O114" s="164">
        <f>SUM(M114:N114)</f>
        <v>30.430680000000002</v>
      </c>
      <c r="P114" s="164"/>
      <c r="Q114" s="164"/>
    </row>
    <row r="115" spans="1:17" x14ac:dyDescent="0.25">
      <c r="A115" s="176"/>
      <c r="B115" s="248" t="s">
        <v>581</v>
      </c>
      <c r="C115" s="251"/>
      <c r="D115" s="251"/>
      <c r="E115" s="251"/>
      <c r="F115" s="251"/>
      <c r="G115" s="251"/>
      <c r="H115" s="252"/>
      <c r="I115" s="244">
        <f>ROUND(2.1*0.15,2)*2</f>
        <v>0.64</v>
      </c>
      <c r="J115" s="262"/>
      <c r="K115" s="164"/>
      <c r="L115" s="164"/>
      <c r="M115" s="164"/>
      <c r="N115" s="164"/>
      <c r="O115" s="164"/>
      <c r="P115" s="164"/>
      <c r="Q115" s="164"/>
    </row>
    <row r="116" spans="1:17" x14ac:dyDescent="0.25">
      <c r="A116" s="155"/>
      <c r="B116" s="248" t="s">
        <v>622</v>
      </c>
      <c r="C116" s="251"/>
      <c r="D116" s="251"/>
      <c r="E116" s="251"/>
      <c r="F116" s="251"/>
      <c r="G116" s="251"/>
      <c r="H116" s="267"/>
      <c r="I116" s="244">
        <f>ROUND(0.3025*0.082*10,2)</f>
        <v>0.25</v>
      </c>
      <c r="J116" s="261"/>
      <c r="K116" s="164"/>
      <c r="L116" s="164"/>
      <c r="M116" s="164"/>
      <c r="N116" s="164"/>
      <c r="O116" s="164"/>
      <c r="P116" s="164"/>
      <c r="Q116" s="164"/>
    </row>
    <row r="117" spans="1:17" ht="15.75" thickBot="1" x14ac:dyDescent="0.3">
      <c r="A117" s="156"/>
      <c r="B117" s="253" t="s">
        <v>567</v>
      </c>
      <c r="C117" s="254"/>
      <c r="D117" s="254"/>
      <c r="E117" s="254"/>
      <c r="F117" s="254"/>
      <c r="G117" s="254"/>
      <c r="H117" s="255"/>
      <c r="I117" s="268">
        <f>ROUND(Q117+Q118+Q119,2)</f>
        <v>57.41</v>
      </c>
      <c r="J117" s="269"/>
      <c r="K117" s="164"/>
      <c r="L117" s="164" t="s">
        <v>623</v>
      </c>
      <c r="M117" s="164">
        <f>15.9153*2</f>
        <v>31.8306</v>
      </c>
      <c r="N117" s="164">
        <f>1.62*2</f>
        <v>3.24</v>
      </c>
      <c r="O117" s="164">
        <f>11.27*1.8</f>
        <v>20.286000000000001</v>
      </c>
      <c r="P117" s="164">
        <v>-9.0500000000000007</v>
      </c>
      <c r="Q117" s="164">
        <f>SUM(M117:P117)</f>
        <v>46.306600000000003</v>
      </c>
    </row>
    <row r="118" spans="1:17" x14ac:dyDescent="0.25">
      <c r="A118" s="158"/>
      <c r="B118" s="158"/>
      <c r="C118" s="158"/>
      <c r="D118" s="158"/>
      <c r="E118" s="158"/>
      <c r="F118" s="158"/>
      <c r="G118" s="158"/>
      <c r="H118" s="158"/>
      <c r="I118" s="158"/>
      <c r="J118" s="270"/>
      <c r="K118" s="158"/>
      <c r="L118" s="158" t="s">
        <v>583</v>
      </c>
      <c r="M118" s="158">
        <f>2.1*4</f>
        <v>8.4</v>
      </c>
      <c r="N118" s="158">
        <f>1.5*2*2*0.15</f>
        <v>0.89999999999999991</v>
      </c>
      <c r="O118" s="158"/>
      <c r="P118" s="158"/>
      <c r="Q118" s="158">
        <f>SUM(M118:P118)</f>
        <v>9.3000000000000007</v>
      </c>
    </row>
    <row r="119" spans="1:17" x14ac:dyDescent="0.25">
      <c r="A119" s="158"/>
      <c r="B119" s="158"/>
      <c r="C119" s="158"/>
      <c r="D119" s="158"/>
      <c r="E119" s="158"/>
      <c r="F119" s="158"/>
      <c r="G119" s="158"/>
      <c r="H119" s="158"/>
      <c r="I119" s="158"/>
      <c r="J119" s="270"/>
      <c r="K119" s="158"/>
      <c r="L119" s="158" t="s">
        <v>584</v>
      </c>
      <c r="M119" s="158">
        <f>ROUND(2.2*0.082*10,2)</f>
        <v>1.8</v>
      </c>
      <c r="N119" s="158"/>
      <c r="O119" s="158"/>
      <c r="P119" s="158"/>
      <c r="Q119" s="158">
        <f>SUM(M119:P119)</f>
        <v>1.8</v>
      </c>
    </row>
  </sheetData>
  <mergeCells count="39">
    <mergeCell ref="J4:J5"/>
    <mergeCell ref="A87:A96"/>
    <mergeCell ref="A97:A100"/>
    <mergeCell ref="A101:A105"/>
    <mergeCell ref="A106:J106"/>
    <mergeCell ref="A32:I32"/>
    <mergeCell ref="A34:A35"/>
    <mergeCell ref="B34:B35"/>
    <mergeCell ref="D34:D35"/>
    <mergeCell ref="A36:A39"/>
    <mergeCell ref="A40:I40"/>
    <mergeCell ref="A41:G43"/>
    <mergeCell ref="A51:I51"/>
    <mergeCell ref="A107:G112"/>
    <mergeCell ref="A83:J83"/>
    <mergeCell ref="A59:I59"/>
    <mergeCell ref="A60:G62"/>
    <mergeCell ref="A85:A86"/>
    <mergeCell ref="B85:B86"/>
    <mergeCell ref="D85:D86"/>
    <mergeCell ref="J85:J86"/>
    <mergeCell ref="A76:G78"/>
    <mergeCell ref="A67:I67"/>
    <mergeCell ref="A75:I75"/>
    <mergeCell ref="A2:I2"/>
    <mergeCell ref="A69:A70"/>
    <mergeCell ref="B69:B70"/>
    <mergeCell ref="D69:D70"/>
    <mergeCell ref="A71:A74"/>
    <mergeCell ref="A53:A54"/>
    <mergeCell ref="B53:B54"/>
    <mergeCell ref="D53:D54"/>
    <mergeCell ref="A55:A58"/>
    <mergeCell ref="A4:A5"/>
    <mergeCell ref="B4:B5"/>
    <mergeCell ref="D4:D5"/>
    <mergeCell ref="A6:A14"/>
    <mergeCell ref="A15:I15"/>
    <mergeCell ref="A16:G18"/>
  </mergeCells>
  <conditionalFormatting sqref="I19">
    <cfRule type="cellIs" dxfId="4" priority="5" stopIfTrue="1" operator="equal">
      <formula>SUM($J$15:$J$17)</formula>
    </cfRule>
  </conditionalFormatting>
  <conditionalFormatting sqref="I79">
    <cfRule type="cellIs" dxfId="3" priority="4" stopIfTrue="1" operator="equal">
      <formula>SUM($J$10:$J$12)</formula>
    </cfRule>
  </conditionalFormatting>
  <conditionalFormatting sqref="I44">
    <cfRule type="cellIs" dxfId="2" priority="3" stopIfTrue="1" operator="equal">
      <formula>SUM($J$10:$J$12)</formula>
    </cfRule>
  </conditionalFormatting>
  <conditionalFormatting sqref="I63">
    <cfRule type="cellIs" dxfId="1" priority="2" stopIfTrue="1" operator="equal">
      <formula>SUM($J$10:$J$12)</formula>
    </cfRule>
  </conditionalFormatting>
  <conditionalFormatting sqref="I113">
    <cfRule type="cellIs" dxfId="0" priority="1" stopIfTrue="1" operator="equal">
      <formula>SUM($J$25:$J$30)</formula>
    </cfRule>
  </conditionalFormatting>
  <hyperlinks>
    <hyperlink ref="K4" location="'Bảng dien giai KL hoan cong'!A1" display="Quay lai"/>
  </hyperlinks>
  <pageMargins left="0.7" right="0.7" top="0.75" bottom="0.75" header="0.3" footer="0.3"/>
  <pageSetup paperSize="256" scale="95" orientation="portrait" r:id="rId1"/>
  <colBreaks count="1" manualBreakCount="1">
    <brk id="1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3"/>
  <sheetViews>
    <sheetView view="pageBreakPreview" topLeftCell="G27" zoomScaleNormal="100" zoomScaleSheetLayoutView="100" workbookViewId="0">
      <selection activeCell="V42" sqref="V42"/>
    </sheetView>
  </sheetViews>
  <sheetFormatPr defaultRowHeight="12.75" x14ac:dyDescent="0.2"/>
  <cols>
    <col min="1" max="1" width="0" style="158" hidden="1" customWidth="1"/>
    <col min="2" max="2" width="14.28515625" style="158" customWidth="1"/>
    <col min="3" max="3" width="8.140625" style="158" customWidth="1"/>
    <col min="4" max="4" width="9.5703125" style="158" customWidth="1"/>
    <col min="5" max="5" width="10.5703125" style="158" customWidth="1"/>
    <col min="6" max="6" width="10.140625" style="158" customWidth="1"/>
    <col min="7" max="7" width="10" style="158" customWidth="1"/>
    <col min="8" max="8" width="12" style="158" customWidth="1"/>
    <col min="9" max="9" width="12.85546875" style="158" customWidth="1"/>
    <col min="10" max="10" width="10.85546875" style="158" customWidth="1"/>
    <col min="11" max="11" width="8.28515625" style="270" customWidth="1"/>
    <col min="12" max="12" width="9.42578125" style="158" bestFit="1" customWidth="1"/>
    <col min="13" max="14" width="9.140625" style="158"/>
    <col min="15" max="15" width="19.42578125" style="158" customWidth="1"/>
    <col min="16" max="16" width="10.28515625" style="158" customWidth="1"/>
    <col min="17" max="17" width="17" style="158" customWidth="1"/>
    <col min="18" max="18" width="16.7109375" style="158" customWidth="1"/>
    <col min="19" max="19" width="13" style="158" customWidth="1"/>
    <col min="20" max="255" width="9.140625" style="158"/>
    <col min="256" max="256" width="14.28515625" style="158" customWidth="1"/>
    <col min="257" max="257" width="8.140625" style="158" customWidth="1"/>
    <col min="258" max="258" width="9.5703125" style="158" customWidth="1"/>
    <col min="259" max="259" width="10.5703125" style="158" customWidth="1"/>
    <col min="260" max="260" width="10.140625" style="158" customWidth="1"/>
    <col min="261" max="261" width="10" style="158" customWidth="1"/>
    <col min="262" max="262" width="12" style="158" customWidth="1"/>
    <col min="263" max="263" width="12.85546875" style="158" customWidth="1"/>
    <col min="264" max="264" width="10.85546875" style="158" customWidth="1"/>
    <col min="265" max="265" width="8.28515625" style="158" customWidth="1"/>
    <col min="266" max="266" width="9.42578125" style="158" bestFit="1" customWidth="1"/>
    <col min="267" max="511" width="9.140625" style="158"/>
    <col min="512" max="512" width="14.28515625" style="158" customWidth="1"/>
    <col min="513" max="513" width="8.140625" style="158" customWidth="1"/>
    <col min="514" max="514" width="9.5703125" style="158" customWidth="1"/>
    <col min="515" max="515" width="10.5703125" style="158" customWidth="1"/>
    <col min="516" max="516" width="10.140625" style="158" customWidth="1"/>
    <col min="517" max="517" width="10" style="158" customWidth="1"/>
    <col min="518" max="518" width="12" style="158" customWidth="1"/>
    <col min="519" max="519" width="12.85546875" style="158" customWidth="1"/>
    <col min="520" max="520" width="10.85546875" style="158" customWidth="1"/>
    <col min="521" max="521" width="8.28515625" style="158" customWidth="1"/>
    <col min="522" max="522" width="9.42578125" style="158" bestFit="1" customWidth="1"/>
    <col min="523" max="767" width="9.140625" style="158"/>
    <col min="768" max="768" width="14.28515625" style="158" customWidth="1"/>
    <col min="769" max="769" width="8.140625" style="158" customWidth="1"/>
    <col min="770" max="770" width="9.5703125" style="158" customWidth="1"/>
    <col min="771" max="771" width="10.5703125" style="158" customWidth="1"/>
    <col min="772" max="772" width="10.140625" style="158" customWidth="1"/>
    <col min="773" max="773" width="10" style="158" customWidth="1"/>
    <col min="774" max="774" width="12" style="158" customWidth="1"/>
    <col min="775" max="775" width="12.85546875" style="158" customWidth="1"/>
    <col min="776" max="776" width="10.85546875" style="158" customWidth="1"/>
    <col min="777" max="777" width="8.28515625" style="158" customWidth="1"/>
    <col min="778" max="778" width="9.42578125" style="158" bestFit="1" customWidth="1"/>
    <col min="779" max="1023" width="9.140625" style="158"/>
    <col min="1024" max="1024" width="14.28515625" style="158" customWidth="1"/>
    <col min="1025" max="1025" width="8.140625" style="158" customWidth="1"/>
    <col min="1026" max="1026" width="9.5703125" style="158" customWidth="1"/>
    <col min="1027" max="1027" width="10.5703125" style="158" customWidth="1"/>
    <col min="1028" max="1028" width="10.140625" style="158" customWidth="1"/>
    <col min="1029" max="1029" width="10" style="158" customWidth="1"/>
    <col min="1030" max="1030" width="12" style="158" customWidth="1"/>
    <col min="1031" max="1031" width="12.85546875" style="158" customWidth="1"/>
    <col min="1032" max="1032" width="10.85546875" style="158" customWidth="1"/>
    <col min="1033" max="1033" width="8.28515625" style="158" customWidth="1"/>
    <col min="1034" max="1034" width="9.42578125" style="158" bestFit="1" customWidth="1"/>
    <col min="1035" max="1279" width="9.140625" style="158"/>
    <col min="1280" max="1280" width="14.28515625" style="158" customWidth="1"/>
    <col min="1281" max="1281" width="8.140625" style="158" customWidth="1"/>
    <col min="1282" max="1282" width="9.5703125" style="158" customWidth="1"/>
    <col min="1283" max="1283" width="10.5703125" style="158" customWidth="1"/>
    <col min="1284" max="1284" width="10.140625" style="158" customWidth="1"/>
    <col min="1285" max="1285" width="10" style="158" customWidth="1"/>
    <col min="1286" max="1286" width="12" style="158" customWidth="1"/>
    <col min="1287" max="1287" width="12.85546875" style="158" customWidth="1"/>
    <col min="1288" max="1288" width="10.85546875" style="158" customWidth="1"/>
    <col min="1289" max="1289" width="8.28515625" style="158" customWidth="1"/>
    <col min="1290" max="1290" width="9.42578125" style="158" bestFit="1" customWidth="1"/>
    <col min="1291" max="1535" width="9.140625" style="158"/>
    <col min="1536" max="1536" width="14.28515625" style="158" customWidth="1"/>
    <col min="1537" max="1537" width="8.140625" style="158" customWidth="1"/>
    <col min="1538" max="1538" width="9.5703125" style="158" customWidth="1"/>
    <col min="1539" max="1539" width="10.5703125" style="158" customWidth="1"/>
    <col min="1540" max="1540" width="10.140625" style="158" customWidth="1"/>
    <col min="1541" max="1541" width="10" style="158" customWidth="1"/>
    <col min="1542" max="1542" width="12" style="158" customWidth="1"/>
    <col min="1543" max="1543" width="12.85546875" style="158" customWidth="1"/>
    <col min="1544" max="1544" width="10.85546875" style="158" customWidth="1"/>
    <col min="1545" max="1545" width="8.28515625" style="158" customWidth="1"/>
    <col min="1546" max="1546" width="9.42578125" style="158" bestFit="1" customWidth="1"/>
    <col min="1547" max="1791" width="9.140625" style="158"/>
    <col min="1792" max="1792" width="14.28515625" style="158" customWidth="1"/>
    <col min="1793" max="1793" width="8.140625" style="158" customWidth="1"/>
    <col min="1794" max="1794" width="9.5703125" style="158" customWidth="1"/>
    <col min="1795" max="1795" width="10.5703125" style="158" customWidth="1"/>
    <col min="1796" max="1796" width="10.140625" style="158" customWidth="1"/>
    <col min="1797" max="1797" width="10" style="158" customWidth="1"/>
    <col min="1798" max="1798" width="12" style="158" customWidth="1"/>
    <col min="1799" max="1799" width="12.85546875" style="158" customWidth="1"/>
    <col min="1800" max="1800" width="10.85546875" style="158" customWidth="1"/>
    <col min="1801" max="1801" width="8.28515625" style="158" customWidth="1"/>
    <col min="1802" max="1802" width="9.42578125" style="158" bestFit="1" customWidth="1"/>
    <col min="1803" max="2047" width="9.140625" style="158"/>
    <col min="2048" max="2048" width="14.28515625" style="158" customWidth="1"/>
    <col min="2049" max="2049" width="8.140625" style="158" customWidth="1"/>
    <col min="2050" max="2050" width="9.5703125" style="158" customWidth="1"/>
    <col min="2051" max="2051" width="10.5703125" style="158" customWidth="1"/>
    <col min="2052" max="2052" width="10.140625" style="158" customWidth="1"/>
    <col min="2053" max="2053" width="10" style="158" customWidth="1"/>
    <col min="2054" max="2054" width="12" style="158" customWidth="1"/>
    <col min="2055" max="2055" width="12.85546875" style="158" customWidth="1"/>
    <col min="2056" max="2056" width="10.85546875" style="158" customWidth="1"/>
    <col min="2057" max="2057" width="8.28515625" style="158" customWidth="1"/>
    <col min="2058" max="2058" width="9.42578125" style="158" bestFit="1" customWidth="1"/>
    <col min="2059" max="2303" width="9.140625" style="158"/>
    <col min="2304" max="2304" width="14.28515625" style="158" customWidth="1"/>
    <col min="2305" max="2305" width="8.140625" style="158" customWidth="1"/>
    <col min="2306" max="2306" width="9.5703125" style="158" customWidth="1"/>
    <col min="2307" max="2307" width="10.5703125" style="158" customWidth="1"/>
    <col min="2308" max="2308" width="10.140625" style="158" customWidth="1"/>
    <col min="2309" max="2309" width="10" style="158" customWidth="1"/>
    <col min="2310" max="2310" width="12" style="158" customWidth="1"/>
    <col min="2311" max="2311" width="12.85546875" style="158" customWidth="1"/>
    <col min="2312" max="2312" width="10.85546875" style="158" customWidth="1"/>
    <col min="2313" max="2313" width="8.28515625" style="158" customWidth="1"/>
    <col min="2314" max="2314" width="9.42578125" style="158" bestFit="1" customWidth="1"/>
    <col min="2315" max="2559" width="9.140625" style="158"/>
    <col min="2560" max="2560" width="14.28515625" style="158" customWidth="1"/>
    <col min="2561" max="2561" width="8.140625" style="158" customWidth="1"/>
    <col min="2562" max="2562" width="9.5703125" style="158" customWidth="1"/>
    <col min="2563" max="2563" width="10.5703125" style="158" customWidth="1"/>
    <col min="2564" max="2564" width="10.140625" style="158" customWidth="1"/>
    <col min="2565" max="2565" width="10" style="158" customWidth="1"/>
    <col min="2566" max="2566" width="12" style="158" customWidth="1"/>
    <col min="2567" max="2567" width="12.85546875" style="158" customWidth="1"/>
    <col min="2568" max="2568" width="10.85546875" style="158" customWidth="1"/>
    <col min="2569" max="2569" width="8.28515625" style="158" customWidth="1"/>
    <col min="2570" max="2570" width="9.42578125" style="158" bestFit="1" customWidth="1"/>
    <col min="2571" max="2815" width="9.140625" style="158"/>
    <col min="2816" max="2816" width="14.28515625" style="158" customWidth="1"/>
    <col min="2817" max="2817" width="8.140625" style="158" customWidth="1"/>
    <col min="2818" max="2818" width="9.5703125" style="158" customWidth="1"/>
    <col min="2819" max="2819" width="10.5703125" style="158" customWidth="1"/>
    <col min="2820" max="2820" width="10.140625" style="158" customWidth="1"/>
    <col min="2821" max="2821" width="10" style="158" customWidth="1"/>
    <col min="2822" max="2822" width="12" style="158" customWidth="1"/>
    <col min="2823" max="2823" width="12.85546875" style="158" customWidth="1"/>
    <col min="2824" max="2824" width="10.85546875" style="158" customWidth="1"/>
    <col min="2825" max="2825" width="8.28515625" style="158" customWidth="1"/>
    <col min="2826" max="2826" width="9.42578125" style="158" bestFit="1" customWidth="1"/>
    <col min="2827" max="3071" width="9.140625" style="158"/>
    <col min="3072" max="3072" width="14.28515625" style="158" customWidth="1"/>
    <col min="3073" max="3073" width="8.140625" style="158" customWidth="1"/>
    <col min="3074" max="3074" width="9.5703125" style="158" customWidth="1"/>
    <col min="3075" max="3075" width="10.5703125" style="158" customWidth="1"/>
    <col min="3076" max="3076" width="10.140625" style="158" customWidth="1"/>
    <col min="3077" max="3077" width="10" style="158" customWidth="1"/>
    <col min="3078" max="3078" width="12" style="158" customWidth="1"/>
    <col min="3079" max="3079" width="12.85546875" style="158" customWidth="1"/>
    <col min="3080" max="3080" width="10.85546875" style="158" customWidth="1"/>
    <col min="3081" max="3081" width="8.28515625" style="158" customWidth="1"/>
    <col min="3082" max="3082" width="9.42578125" style="158" bestFit="1" customWidth="1"/>
    <col min="3083" max="3327" width="9.140625" style="158"/>
    <col min="3328" max="3328" width="14.28515625" style="158" customWidth="1"/>
    <col min="3329" max="3329" width="8.140625" style="158" customWidth="1"/>
    <col min="3330" max="3330" width="9.5703125" style="158" customWidth="1"/>
    <col min="3331" max="3331" width="10.5703125" style="158" customWidth="1"/>
    <col min="3332" max="3332" width="10.140625" style="158" customWidth="1"/>
    <col min="3333" max="3333" width="10" style="158" customWidth="1"/>
    <col min="3334" max="3334" width="12" style="158" customWidth="1"/>
    <col min="3335" max="3335" width="12.85546875" style="158" customWidth="1"/>
    <col min="3336" max="3336" width="10.85546875" style="158" customWidth="1"/>
    <col min="3337" max="3337" width="8.28515625" style="158" customWidth="1"/>
    <col min="3338" max="3338" width="9.42578125" style="158" bestFit="1" customWidth="1"/>
    <col min="3339" max="3583" width="9.140625" style="158"/>
    <col min="3584" max="3584" width="14.28515625" style="158" customWidth="1"/>
    <col min="3585" max="3585" width="8.140625" style="158" customWidth="1"/>
    <col min="3586" max="3586" width="9.5703125" style="158" customWidth="1"/>
    <col min="3587" max="3587" width="10.5703125" style="158" customWidth="1"/>
    <col min="3588" max="3588" width="10.140625" style="158" customWidth="1"/>
    <col min="3589" max="3589" width="10" style="158" customWidth="1"/>
    <col min="3590" max="3590" width="12" style="158" customWidth="1"/>
    <col min="3591" max="3591" width="12.85546875" style="158" customWidth="1"/>
    <col min="3592" max="3592" width="10.85546875" style="158" customWidth="1"/>
    <col min="3593" max="3593" width="8.28515625" style="158" customWidth="1"/>
    <col min="3594" max="3594" width="9.42578125" style="158" bestFit="1" customWidth="1"/>
    <col min="3595" max="3839" width="9.140625" style="158"/>
    <col min="3840" max="3840" width="14.28515625" style="158" customWidth="1"/>
    <col min="3841" max="3841" width="8.140625" style="158" customWidth="1"/>
    <col min="3842" max="3842" width="9.5703125" style="158" customWidth="1"/>
    <col min="3843" max="3843" width="10.5703125" style="158" customWidth="1"/>
    <col min="3844" max="3844" width="10.140625" style="158" customWidth="1"/>
    <col min="3845" max="3845" width="10" style="158" customWidth="1"/>
    <col min="3846" max="3846" width="12" style="158" customWidth="1"/>
    <col min="3847" max="3847" width="12.85546875" style="158" customWidth="1"/>
    <col min="3848" max="3848" width="10.85546875" style="158" customWidth="1"/>
    <col min="3849" max="3849" width="8.28515625" style="158" customWidth="1"/>
    <col min="3850" max="3850" width="9.42578125" style="158" bestFit="1" customWidth="1"/>
    <col min="3851" max="4095" width="9.140625" style="158"/>
    <col min="4096" max="4096" width="14.28515625" style="158" customWidth="1"/>
    <col min="4097" max="4097" width="8.140625" style="158" customWidth="1"/>
    <col min="4098" max="4098" width="9.5703125" style="158" customWidth="1"/>
    <col min="4099" max="4099" width="10.5703125" style="158" customWidth="1"/>
    <col min="4100" max="4100" width="10.140625" style="158" customWidth="1"/>
    <col min="4101" max="4101" width="10" style="158" customWidth="1"/>
    <col min="4102" max="4102" width="12" style="158" customWidth="1"/>
    <col min="4103" max="4103" width="12.85546875" style="158" customWidth="1"/>
    <col min="4104" max="4104" width="10.85546875" style="158" customWidth="1"/>
    <col min="4105" max="4105" width="8.28515625" style="158" customWidth="1"/>
    <col min="4106" max="4106" width="9.42578125" style="158" bestFit="1" customWidth="1"/>
    <col min="4107" max="4351" width="9.140625" style="158"/>
    <col min="4352" max="4352" width="14.28515625" style="158" customWidth="1"/>
    <col min="4353" max="4353" width="8.140625" style="158" customWidth="1"/>
    <col min="4354" max="4354" width="9.5703125" style="158" customWidth="1"/>
    <col min="4355" max="4355" width="10.5703125" style="158" customWidth="1"/>
    <col min="4356" max="4356" width="10.140625" style="158" customWidth="1"/>
    <col min="4357" max="4357" width="10" style="158" customWidth="1"/>
    <col min="4358" max="4358" width="12" style="158" customWidth="1"/>
    <col min="4359" max="4359" width="12.85546875" style="158" customWidth="1"/>
    <col min="4360" max="4360" width="10.85546875" style="158" customWidth="1"/>
    <col min="4361" max="4361" width="8.28515625" style="158" customWidth="1"/>
    <col min="4362" max="4362" width="9.42578125" style="158" bestFit="1" customWidth="1"/>
    <col min="4363" max="4607" width="9.140625" style="158"/>
    <col min="4608" max="4608" width="14.28515625" style="158" customWidth="1"/>
    <col min="4609" max="4609" width="8.140625" style="158" customWidth="1"/>
    <col min="4610" max="4610" width="9.5703125" style="158" customWidth="1"/>
    <col min="4611" max="4611" width="10.5703125" style="158" customWidth="1"/>
    <col min="4612" max="4612" width="10.140625" style="158" customWidth="1"/>
    <col min="4613" max="4613" width="10" style="158" customWidth="1"/>
    <col min="4614" max="4614" width="12" style="158" customWidth="1"/>
    <col min="4615" max="4615" width="12.85546875" style="158" customWidth="1"/>
    <col min="4616" max="4616" width="10.85546875" style="158" customWidth="1"/>
    <col min="4617" max="4617" width="8.28515625" style="158" customWidth="1"/>
    <col min="4618" max="4618" width="9.42578125" style="158" bestFit="1" customWidth="1"/>
    <col min="4619" max="4863" width="9.140625" style="158"/>
    <col min="4864" max="4864" width="14.28515625" style="158" customWidth="1"/>
    <col min="4865" max="4865" width="8.140625" style="158" customWidth="1"/>
    <col min="4866" max="4866" width="9.5703125" style="158" customWidth="1"/>
    <col min="4867" max="4867" width="10.5703125" style="158" customWidth="1"/>
    <col min="4868" max="4868" width="10.140625" style="158" customWidth="1"/>
    <col min="4869" max="4869" width="10" style="158" customWidth="1"/>
    <col min="4870" max="4870" width="12" style="158" customWidth="1"/>
    <col min="4871" max="4871" width="12.85546875" style="158" customWidth="1"/>
    <col min="4872" max="4872" width="10.85546875" style="158" customWidth="1"/>
    <col min="4873" max="4873" width="8.28515625" style="158" customWidth="1"/>
    <col min="4874" max="4874" width="9.42578125" style="158" bestFit="1" customWidth="1"/>
    <col min="4875" max="5119" width="9.140625" style="158"/>
    <col min="5120" max="5120" width="14.28515625" style="158" customWidth="1"/>
    <col min="5121" max="5121" width="8.140625" style="158" customWidth="1"/>
    <col min="5122" max="5122" width="9.5703125" style="158" customWidth="1"/>
    <col min="5123" max="5123" width="10.5703125" style="158" customWidth="1"/>
    <col min="5124" max="5124" width="10.140625" style="158" customWidth="1"/>
    <col min="5125" max="5125" width="10" style="158" customWidth="1"/>
    <col min="5126" max="5126" width="12" style="158" customWidth="1"/>
    <col min="5127" max="5127" width="12.85546875" style="158" customWidth="1"/>
    <col min="5128" max="5128" width="10.85546875" style="158" customWidth="1"/>
    <col min="5129" max="5129" width="8.28515625" style="158" customWidth="1"/>
    <col min="5130" max="5130" width="9.42578125" style="158" bestFit="1" customWidth="1"/>
    <col min="5131" max="5375" width="9.140625" style="158"/>
    <col min="5376" max="5376" width="14.28515625" style="158" customWidth="1"/>
    <col min="5377" max="5377" width="8.140625" style="158" customWidth="1"/>
    <col min="5378" max="5378" width="9.5703125" style="158" customWidth="1"/>
    <col min="5379" max="5379" width="10.5703125" style="158" customWidth="1"/>
    <col min="5380" max="5380" width="10.140625" style="158" customWidth="1"/>
    <col min="5381" max="5381" width="10" style="158" customWidth="1"/>
    <col min="5382" max="5382" width="12" style="158" customWidth="1"/>
    <col min="5383" max="5383" width="12.85546875" style="158" customWidth="1"/>
    <col min="5384" max="5384" width="10.85546875" style="158" customWidth="1"/>
    <col min="5385" max="5385" width="8.28515625" style="158" customWidth="1"/>
    <col min="5386" max="5386" width="9.42578125" style="158" bestFit="1" customWidth="1"/>
    <col min="5387" max="5631" width="9.140625" style="158"/>
    <col min="5632" max="5632" width="14.28515625" style="158" customWidth="1"/>
    <col min="5633" max="5633" width="8.140625" style="158" customWidth="1"/>
    <col min="5634" max="5634" width="9.5703125" style="158" customWidth="1"/>
    <col min="5635" max="5635" width="10.5703125" style="158" customWidth="1"/>
    <col min="5636" max="5636" width="10.140625" style="158" customWidth="1"/>
    <col min="5637" max="5637" width="10" style="158" customWidth="1"/>
    <col min="5638" max="5638" width="12" style="158" customWidth="1"/>
    <col min="5639" max="5639" width="12.85546875" style="158" customWidth="1"/>
    <col min="5640" max="5640" width="10.85546875" style="158" customWidth="1"/>
    <col min="5641" max="5641" width="8.28515625" style="158" customWidth="1"/>
    <col min="5642" max="5642" width="9.42578125" style="158" bestFit="1" customWidth="1"/>
    <col min="5643" max="5887" width="9.140625" style="158"/>
    <col min="5888" max="5888" width="14.28515625" style="158" customWidth="1"/>
    <col min="5889" max="5889" width="8.140625" style="158" customWidth="1"/>
    <col min="5890" max="5890" width="9.5703125" style="158" customWidth="1"/>
    <col min="5891" max="5891" width="10.5703125" style="158" customWidth="1"/>
    <col min="5892" max="5892" width="10.140625" style="158" customWidth="1"/>
    <col min="5893" max="5893" width="10" style="158" customWidth="1"/>
    <col min="5894" max="5894" width="12" style="158" customWidth="1"/>
    <col min="5895" max="5895" width="12.85546875" style="158" customWidth="1"/>
    <col min="5896" max="5896" width="10.85546875" style="158" customWidth="1"/>
    <col min="5897" max="5897" width="8.28515625" style="158" customWidth="1"/>
    <col min="5898" max="5898" width="9.42578125" style="158" bestFit="1" customWidth="1"/>
    <col min="5899" max="6143" width="9.140625" style="158"/>
    <col min="6144" max="6144" width="14.28515625" style="158" customWidth="1"/>
    <col min="6145" max="6145" width="8.140625" style="158" customWidth="1"/>
    <col min="6146" max="6146" width="9.5703125" style="158" customWidth="1"/>
    <col min="6147" max="6147" width="10.5703125" style="158" customWidth="1"/>
    <col min="6148" max="6148" width="10.140625" style="158" customWidth="1"/>
    <col min="6149" max="6149" width="10" style="158" customWidth="1"/>
    <col min="6150" max="6150" width="12" style="158" customWidth="1"/>
    <col min="6151" max="6151" width="12.85546875" style="158" customWidth="1"/>
    <col min="6152" max="6152" width="10.85546875" style="158" customWidth="1"/>
    <col min="6153" max="6153" width="8.28515625" style="158" customWidth="1"/>
    <col min="6154" max="6154" width="9.42578125" style="158" bestFit="1" customWidth="1"/>
    <col min="6155" max="6399" width="9.140625" style="158"/>
    <col min="6400" max="6400" width="14.28515625" style="158" customWidth="1"/>
    <col min="6401" max="6401" width="8.140625" style="158" customWidth="1"/>
    <col min="6402" max="6402" width="9.5703125" style="158" customWidth="1"/>
    <col min="6403" max="6403" width="10.5703125" style="158" customWidth="1"/>
    <col min="6404" max="6404" width="10.140625" style="158" customWidth="1"/>
    <col min="6405" max="6405" width="10" style="158" customWidth="1"/>
    <col min="6406" max="6406" width="12" style="158" customWidth="1"/>
    <col min="6407" max="6407" width="12.85546875" style="158" customWidth="1"/>
    <col min="6408" max="6408" width="10.85546875" style="158" customWidth="1"/>
    <col min="6409" max="6409" width="8.28515625" style="158" customWidth="1"/>
    <col min="6410" max="6410" width="9.42578125" style="158" bestFit="1" customWidth="1"/>
    <col min="6411" max="6655" width="9.140625" style="158"/>
    <col min="6656" max="6656" width="14.28515625" style="158" customWidth="1"/>
    <col min="6657" max="6657" width="8.140625" style="158" customWidth="1"/>
    <col min="6658" max="6658" width="9.5703125" style="158" customWidth="1"/>
    <col min="6659" max="6659" width="10.5703125" style="158" customWidth="1"/>
    <col min="6660" max="6660" width="10.140625" style="158" customWidth="1"/>
    <col min="6661" max="6661" width="10" style="158" customWidth="1"/>
    <col min="6662" max="6662" width="12" style="158" customWidth="1"/>
    <col min="6663" max="6663" width="12.85546875" style="158" customWidth="1"/>
    <col min="6664" max="6664" width="10.85546875" style="158" customWidth="1"/>
    <col min="6665" max="6665" width="8.28515625" style="158" customWidth="1"/>
    <col min="6666" max="6666" width="9.42578125" style="158" bestFit="1" customWidth="1"/>
    <col min="6667" max="6911" width="9.140625" style="158"/>
    <col min="6912" max="6912" width="14.28515625" style="158" customWidth="1"/>
    <col min="6913" max="6913" width="8.140625" style="158" customWidth="1"/>
    <col min="6914" max="6914" width="9.5703125" style="158" customWidth="1"/>
    <col min="6915" max="6915" width="10.5703125" style="158" customWidth="1"/>
    <col min="6916" max="6916" width="10.140625" style="158" customWidth="1"/>
    <col min="6917" max="6917" width="10" style="158" customWidth="1"/>
    <col min="6918" max="6918" width="12" style="158" customWidth="1"/>
    <col min="6919" max="6919" width="12.85546875" style="158" customWidth="1"/>
    <col min="6920" max="6920" width="10.85546875" style="158" customWidth="1"/>
    <col min="6921" max="6921" width="8.28515625" style="158" customWidth="1"/>
    <col min="6922" max="6922" width="9.42578125" style="158" bestFit="1" customWidth="1"/>
    <col min="6923" max="7167" width="9.140625" style="158"/>
    <col min="7168" max="7168" width="14.28515625" style="158" customWidth="1"/>
    <col min="7169" max="7169" width="8.140625" style="158" customWidth="1"/>
    <col min="7170" max="7170" width="9.5703125" style="158" customWidth="1"/>
    <col min="7171" max="7171" width="10.5703125" style="158" customWidth="1"/>
    <col min="7172" max="7172" width="10.140625" style="158" customWidth="1"/>
    <col min="7173" max="7173" width="10" style="158" customWidth="1"/>
    <col min="7174" max="7174" width="12" style="158" customWidth="1"/>
    <col min="7175" max="7175" width="12.85546875" style="158" customWidth="1"/>
    <col min="7176" max="7176" width="10.85546875" style="158" customWidth="1"/>
    <col min="7177" max="7177" width="8.28515625" style="158" customWidth="1"/>
    <col min="7178" max="7178" width="9.42578125" style="158" bestFit="1" customWidth="1"/>
    <col min="7179" max="7423" width="9.140625" style="158"/>
    <col min="7424" max="7424" width="14.28515625" style="158" customWidth="1"/>
    <col min="7425" max="7425" width="8.140625" style="158" customWidth="1"/>
    <col min="7426" max="7426" width="9.5703125" style="158" customWidth="1"/>
    <col min="7427" max="7427" width="10.5703125" style="158" customWidth="1"/>
    <col min="7428" max="7428" width="10.140625" style="158" customWidth="1"/>
    <col min="7429" max="7429" width="10" style="158" customWidth="1"/>
    <col min="7430" max="7430" width="12" style="158" customWidth="1"/>
    <col min="7431" max="7431" width="12.85546875" style="158" customWidth="1"/>
    <col min="7432" max="7432" width="10.85546875" style="158" customWidth="1"/>
    <col min="7433" max="7433" width="8.28515625" style="158" customWidth="1"/>
    <col min="7434" max="7434" width="9.42578125" style="158" bestFit="1" customWidth="1"/>
    <col min="7435" max="7679" width="9.140625" style="158"/>
    <col min="7680" max="7680" width="14.28515625" style="158" customWidth="1"/>
    <col min="7681" max="7681" width="8.140625" style="158" customWidth="1"/>
    <col min="7682" max="7682" width="9.5703125" style="158" customWidth="1"/>
    <col min="7683" max="7683" width="10.5703125" style="158" customWidth="1"/>
    <col min="7684" max="7684" width="10.140625" style="158" customWidth="1"/>
    <col min="7685" max="7685" width="10" style="158" customWidth="1"/>
    <col min="7686" max="7686" width="12" style="158" customWidth="1"/>
    <col min="7687" max="7687" width="12.85546875" style="158" customWidth="1"/>
    <col min="7688" max="7688" width="10.85546875" style="158" customWidth="1"/>
    <col min="7689" max="7689" width="8.28515625" style="158" customWidth="1"/>
    <col min="7690" max="7690" width="9.42578125" style="158" bestFit="1" customWidth="1"/>
    <col min="7691" max="7935" width="9.140625" style="158"/>
    <col min="7936" max="7936" width="14.28515625" style="158" customWidth="1"/>
    <col min="7937" max="7937" width="8.140625" style="158" customWidth="1"/>
    <col min="7938" max="7938" width="9.5703125" style="158" customWidth="1"/>
    <col min="7939" max="7939" width="10.5703125" style="158" customWidth="1"/>
    <col min="7940" max="7940" width="10.140625" style="158" customWidth="1"/>
    <col min="7941" max="7941" width="10" style="158" customWidth="1"/>
    <col min="7942" max="7942" width="12" style="158" customWidth="1"/>
    <col min="7943" max="7943" width="12.85546875" style="158" customWidth="1"/>
    <col min="7944" max="7944" width="10.85546875" style="158" customWidth="1"/>
    <col min="7945" max="7945" width="8.28515625" style="158" customWidth="1"/>
    <col min="7946" max="7946" width="9.42578125" style="158" bestFit="1" customWidth="1"/>
    <col min="7947" max="8191" width="9.140625" style="158"/>
    <col min="8192" max="8192" width="14.28515625" style="158" customWidth="1"/>
    <col min="8193" max="8193" width="8.140625" style="158" customWidth="1"/>
    <col min="8194" max="8194" width="9.5703125" style="158" customWidth="1"/>
    <col min="8195" max="8195" width="10.5703125" style="158" customWidth="1"/>
    <col min="8196" max="8196" width="10.140625" style="158" customWidth="1"/>
    <col min="8197" max="8197" width="10" style="158" customWidth="1"/>
    <col min="8198" max="8198" width="12" style="158" customWidth="1"/>
    <col min="8199" max="8199" width="12.85546875" style="158" customWidth="1"/>
    <col min="8200" max="8200" width="10.85546875" style="158" customWidth="1"/>
    <col min="8201" max="8201" width="8.28515625" style="158" customWidth="1"/>
    <col min="8202" max="8202" width="9.42578125" style="158" bestFit="1" customWidth="1"/>
    <col min="8203" max="8447" width="9.140625" style="158"/>
    <col min="8448" max="8448" width="14.28515625" style="158" customWidth="1"/>
    <col min="8449" max="8449" width="8.140625" style="158" customWidth="1"/>
    <col min="8450" max="8450" width="9.5703125" style="158" customWidth="1"/>
    <col min="8451" max="8451" width="10.5703125" style="158" customWidth="1"/>
    <col min="8452" max="8452" width="10.140625" style="158" customWidth="1"/>
    <col min="8453" max="8453" width="10" style="158" customWidth="1"/>
    <col min="8454" max="8454" width="12" style="158" customWidth="1"/>
    <col min="8455" max="8455" width="12.85546875" style="158" customWidth="1"/>
    <col min="8456" max="8456" width="10.85546875" style="158" customWidth="1"/>
    <col min="8457" max="8457" width="8.28515625" style="158" customWidth="1"/>
    <col min="8458" max="8458" width="9.42578125" style="158" bestFit="1" customWidth="1"/>
    <col min="8459" max="8703" width="9.140625" style="158"/>
    <col min="8704" max="8704" width="14.28515625" style="158" customWidth="1"/>
    <col min="8705" max="8705" width="8.140625" style="158" customWidth="1"/>
    <col min="8706" max="8706" width="9.5703125" style="158" customWidth="1"/>
    <col min="8707" max="8707" width="10.5703125" style="158" customWidth="1"/>
    <col min="8708" max="8708" width="10.140625" style="158" customWidth="1"/>
    <col min="8709" max="8709" width="10" style="158" customWidth="1"/>
    <col min="8710" max="8710" width="12" style="158" customWidth="1"/>
    <col min="8711" max="8711" width="12.85546875" style="158" customWidth="1"/>
    <col min="8712" max="8712" width="10.85546875" style="158" customWidth="1"/>
    <col min="8713" max="8713" width="8.28515625" style="158" customWidth="1"/>
    <col min="8714" max="8714" width="9.42578125" style="158" bestFit="1" customWidth="1"/>
    <col min="8715" max="8959" width="9.140625" style="158"/>
    <col min="8960" max="8960" width="14.28515625" style="158" customWidth="1"/>
    <col min="8961" max="8961" width="8.140625" style="158" customWidth="1"/>
    <col min="8962" max="8962" width="9.5703125" style="158" customWidth="1"/>
    <col min="8963" max="8963" width="10.5703125" style="158" customWidth="1"/>
    <col min="8964" max="8964" width="10.140625" style="158" customWidth="1"/>
    <col min="8965" max="8965" width="10" style="158" customWidth="1"/>
    <col min="8966" max="8966" width="12" style="158" customWidth="1"/>
    <col min="8967" max="8967" width="12.85546875" style="158" customWidth="1"/>
    <col min="8968" max="8968" width="10.85546875" style="158" customWidth="1"/>
    <col min="8969" max="8969" width="8.28515625" style="158" customWidth="1"/>
    <col min="8970" max="8970" width="9.42578125" style="158" bestFit="1" customWidth="1"/>
    <col min="8971" max="9215" width="9.140625" style="158"/>
    <col min="9216" max="9216" width="14.28515625" style="158" customWidth="1"/>
    <col min="9217" max="9217" width="8.140625" style="158" customWidth="1"/>
    <col min="9218" max="9218" width="9.5703125" style="158" customWidth="1"/>
    <col min="9219" max="9219" width="10.5703125" style="158" customWidth="1"/>
    <col min="9220" max="9220" width="10.140625" style="158" customWidth="1"/>
    <col min="9221" max="9221" width="10" style="158" customWidth="1"/>
    <col min="9222" max="9222" width="12" style="158" customWidth="1"/>
    <col min="9223" max="9223" width="12.85546875" style="158" customWidth="1"/>
    <col min="9224" max="9224" width="10.85546875" style="158" customWidth="1"/>
    <col min="9225" max="9225" width="8.28515625" style="158" customWidth="1"/>
    <col min="9226" max="9226" width="9.42578125" style="158" bestFit="1" customWidth="1"/>
    <col min="9227" max="9471" width="9.140625" style="158"/>
    <col min="9472" max="9472" width="14.28515625" style="158" customWidth="1"/>
    <col min="9473" max="9473" width="8.140625" style="158" customWidth="1"/>
    <col min="9474" max="9474" width="9.5703125" style="158" customWidth="1"/>
    <col min="9475" max="9475" width="10.5703125" style="158" customWidth="1"/>
    <col min="9476" max="9476" width="10.140625" style="158" customWidth="1"/>
    <col min="9477" max="9477" width="10" style="158" customWidth="1"/>
    <col min="9478" max="9478" width="12" style="158" customWidth="1"/>
    <col min="9479" max="9479" width="12.85546875" style="158" customWidth="1"/>
    <col min="9480" max="9480" width="10.85546875" style="158" customWidth="1"/>
    <col min="9481" max="9481" width="8.28515625" style="158" customWidth="1"/>
    <col min="9482" max="9482" width="9.42578125" style="158" bestFit="1" customWidth="1"/>
    <col min="9483" max="9727" width="9.140625" style="158"/>
    <col min="9728" max="9728" width="14.28515625" style="158" customWidth="1"/>
    <col min="9729" max="9729" width="8.140625" style="158" customWidth="1"/>
    <col min="9730" max="9730" width="9.5703125" style="158" customWidth="1"/>
    <col min="9731" max="9731" width="10.5703125" style="158" customWidth="1"/>
    <col min="9732" max="9732" width="10.140625" style="158" customWidth="1"/>
    <col min="9733" max="9733" width="10" style="158" customWidth="1"/>
    <col min="9734" max="9734" width="12" style="158" customWidth="1"/>
    <col min="9735" max="9735" width="12.85546875" style="158" customWidth="1"/>
    <col min="9736" max="9736" width="10.85546875" style="158" customWidth="1"/>
    <col min="9737" max="9737" width="8.28515625" style="158" customWidth="1"/>
    <col min="9738" max="9738" width="9.42578125" style="158" bestFit="1" customWidth="1"/>
    <col min="9739" max="9983" width="9.140625" style="158"/>
    <col min="9984" max="9984" width="14.28515625" style="158" customWidth="1"/>
    <col min="9985" max="9985" width="8.140625" style="158" customWidth="1"/>
    <col min="9986" max="9986" width="9.5703125" style="158" customWidth="1"/>
    <col min="9987" max="9987" width="10.5703125" style="158" customWidth="1"/>
    <col min="9988" max="9988" width="10.140625" style="158" customWidth="1"/>
    <col min="9989" max="9989" width="10" style="158" customWidth="1"/>
    <col min="9990" max="9990" width="12" style="158" customWidth="1"/>
    <col min="9991" max="9991" width="12.85546875" style="158" customWidth="1"/>
    <col min="9992" max="9992" width="10.85546875" style="158" customWidth="1"/>
    <col min="9993" max="9993" width="8.28515625" style="158" customWidth="1"/>
    <col min="9994" max="9994" width="9.42578125" style="158" bestFit="1" customWidth="1"/>
    <col min="9995" max="10239" width="9.140625" style="158"/>
    <col min="10240" max="10240" width="14.28515625" style="158" customWidth="1"/>
    <col min="10241" max="10241" width="8.140625" style="158" customWidth="1"/>
    <col min="10242" max="10242" width="9.5703125" style="158" customWidth="1"/>
    <col min="10243" max="10243" width="10.5703125" style="158" customWidth="1"/>
    <col min="10244" max="10244" width="10.140625" style="158" customWidth="1"/>
    <col min="10245" max="10245" width="10" style="158" customWidth="1"/>
    <col min="10246" max="10246" width="12" style="158" customWidth="1"/>
    <col min="10247" max="10247" width="12.85546875" style="158" customWidth="1"/>
    <col min="10248" max="10248" width="10.85546875" style="158" customWidth="1"/>
    <col min="10249" max="10249" width="8.28515625" style="158" customWidth="1"/>
    <col min="10250" max="10250" width="9.42578125" style="158" bestFit="1" customWidth="1"/>
    <col min="10251" max="10495" width="9.140625" style="158"/>
    <col min="10496" max="10496" width="14.28515625" style="158" customWidth="1"/>
    <col min="10497" max="10497" width="8.140625" style="158" customWidth="1"/>
    <col min="10498" max="10498" width="9.5703125" style="158" customWidth="1"/>
    <col min="10499" max="10499" width="10.5703125" style="158" customWidth="1"/>
    <col min="10500" max="10500" width="10.140625" style="158" customWidth="1"/>
    <col min="10501" max="10501" width="10" style="158" customWidth="1"/>
    <col min="10502" max="10502" width="12" style="158" customWidth="1"/>
    <col min="10503" max="10503" width="12.85546875" style="158" customWidth="1"/>
    <col min="10504" max="10504" width="10.85546875" style="158" customWidth="1"/>
    <col min="10505" max="10505" width="8.28515625" style="158" customWidth="1"/>
    <col min="10506" max="10506" width="9.42578125" style="158" bestFit="1" customWidth="1"/>
    <col min="10507" max="10751" width="9.140625" style="158"/>
    <col min="10752" max="10752" width="14.28515625" style="158" customWidth="1"/>
    <col min="10753" max="10753" width="8.140625" style="158" customWidth="1"/>
    <col min="10754" max="10754" width="9.5703125" style="158" customWidth="1"/>
    <col min="10755" max="10755" width="10.5703125" style="158" customWidth="1"/>
    <col min="10756" max="10756" width="10.140625" style="158" customWidth="1"/>
    <col min="10757" max="10757" width="10" style="158" customWidth="1"/>
    <col min="10758" max="10758" width="12" style="158" customWidth="1"/>
    <col min="10759" max="10759" width="12.85546875" style="158" customWidth="1"/>
    <col min="10760" max="10760" width="10.85546875" style="158" customWidth="1"/>
    <col min="10761" max="10761" width="8.28515625" style="158" customWidth="1"/>
    <col min="10762" max="10762" width="9.42578125" style="158" bestFit="1" customWidth="1"/>
    <col min="10763" max="11007" width="9.140625" style="158"/>
    <col min="11008" max="11008" width="14.28515625" style="158" customWidth="1"/>
    <col min="11009" max="11009" width="8.140625" style="158" customWidth="1"/>
    <col min="11010" max="11010" width="9.5703125" style="158" customWidth="1"/>
    <col min="11011" max="11011" width="10.5703125" style="158" customWidth="1"/>
    <col min="11012" max="11012" width="10.140625" style="158" customWidth="1"/>
    <col min="11013" max="11013" width="10" style="158" customWidth="1"/>
    <col min="11014" max="11014" width="12" style="158" customWidth="1"/>
    <col min="11015" max="11015" width="12.85546875" style="158" customWidth="1"/>
    <col min="11016" max="11016" width="10.85546875" style="158" customWidth="1"/>
    <col min="11017" max="11017" width="8.28515625" style="158" customWidth="1"/>
    <col min="11018" max="11018" width="9.42578125" style="158" bestFit="1" customWidth="1"/>
    <col min="11019" max="11263" width="9.140625" style="158"/>
    <col min="11264" max="11264" width="14.28515625" style="158" customWidth="1"/>
    <col min="11265" max="11265" width="8.140625" style="158" customWidth="1"/>
    <col min="11266" max="11266" width="9.5703125" style="158" customWidth="1"/>
    <col min="11267" max="11267" width="10.5703125" style="158" customWidth="1"/>
    <col min="11268" max="11268" width="10.140625" style="158" customWidth="1"/>
    <col min="11269" max="11269" width="10" style="158" customWidth="1"/>
    <col min="11270" max="11270" width="12" style="158" customWidth="1"/>
    <col min="11271" max="11271" width="12.85546875" style="158" customWidth="1"/>
    <col min="11272" max="11272" width="10.85546875" style="158" customWidth="1"/>
    <col min="11273" max="11273" width="8.28515625" style="158" customWidth="1"/>
    <col min="11274" max="11274" width="9.42578125" style="158" bestFit="1" customWidth="1"/>
    <col min="11275" max="11519" width="9.140625" style="158"/>
    <col min="11520" max="11520" width="14.28515625" style="158" customWidth="1"/>
    <col min="11521" max="11521" width="8.140625" style="158" customWidth="1"/>
    <col min="11522" max="11522" width="9.5703125" style="158" customWidth="1"/>
    <col min="11523" max="11523" width="10.5703125" style="158" customWidth="1"/>
    <col min="11524" max="11524" width="10.140625" style="158" customWidth="1"/>
    <col min="11525" max="11525" width="10" style="158" customWidth="1"/>
    <col min="11526" max="11526" width="12" style="158" customWidth="1"/>
    <col min="11527" max="11527" width="12.85546875" style="158" customWidth="1"/>
    <col min="11528" max="11528" width="10.85546875" style="158" customWidth="1"/>
    <col min="11529" max="11529" width="8.28515625" style="158" customWidth="1"/>
    <col min="11530" max="11530" width="9.42578125" style="158" bestFit="1" customWidth="1"/>
    <col min="11531" max="11775" width="9.140625" style="158"/>
    <col min="11776" max="11776" width="14.28515625" style="158" customWidth="1"/>
    <col min="11777" max="11777" width="8.140625" style="158" customWidth="1"/>
    <col min="11778" max="11778" width="9.5703125" style="158" customWidth="1"/>
    <col min="11779" max="11779" width="10.5703125" style="158" customWidth="1"/>
    <col min="11780" max="11780" width="10.140625" style="158" customWidth="1"/>
    <col min="11781" max="11781" width="10" style="158" customWidth="1"/>
    <col min="11782" max="11782" width="12" style="158" customWidth="1"/>
    <col min="11783" max="11783" width="12.85546875" style="158" customWidth="1"/>
    <col min="11784" max="11784" width="10.85546875" style="158" customWidth="1"/>
    <col min="11785" max="11785" width="8.28515625" style="158" customWidth="1"/>
    <col min="11786" max="11786" width="9.42578125" style="158" bestFit="1" customWidth="1"/>
    <col min="11787" max="12031" width="9.140625" style="158"/>
    <col min="12032" max="12032" width="14.28515625" style="158" customWidth="1"/>
    <col min="12033" max="12033" width="8.140625" style="158" customWidth="1"/>
    <col min="12034" max="12034" width="9.5703125" style="158" customWidth="1"/>
    <col min="12035" max="12035" width="10.5703125" style="158" customWidth="1"/>
    <col min="12036" max="12036" width="10.140625" style="158" customWidth="1"/>
    <col min="12037" max="12037" width="10" style="158" customWidth="1"/>
    <col min="12038" max="12038" width="12" style="158" customWidth="1"/>
    <col min="12039" max="12039" width="12.85546875" style="158" customWidth="1"/>
    <col min="12040" max="12040" width="10.85546875" style="158" customWidth="1"/>
    <col min="12041" max="12041" width="8.28515625" style="158" customWidth="1"/>
    <col min="12042" max="12042" width="9.42578125" style="158" bestFit="1" customWidth="1"/>
    <col min="12043" max="12287" width="9.140625" style="158"/>
    <col min="12288" max="12288" width="14.28515625" style="158" customWidth="1"/>
    <col min="12289" max="12289" width="8.140625" style="158" customWidth="1"/>
    <col min="12290" max="12290" width="9.5703125" style="158" customWidth="1"/>
    <col min="12291" max="12291" width="10.5703125" style="158" customWidth="1"/>
    <col min="12292" max="12292" width="10.140625" style="158" customWidth="1"/>
    <col min="12293" max="12293" width="10" style="158" customWidth="1"/>
    <col min="12294" max="12294" width="12" style="158" customWidth="1"/>
    <col min="12295" max="12295" width="12.85546875" style="158" customWidth="1"/>
    <col min="12296" max="12296" width="10.85546875" style="158" customWidth="1"/>
    <col min="12297" max="12297" width="8.28515625" style="158" customWidth="1"/>
    <col min="12298" max="12298" width="9.42578125" style="158" bestFit="1" customWidth="1"/>
    <col min="12299" max="12543" width="9.140625" style="158"/>
    <col min="12544" max="12544" width="14.28515625" style="158" customWidth="1"/>
    <col min="12545" max="12545" width="8.140625" style="158" customWidth="1"/>
    <col min="12546" max="12546" width="9.5703125" style="158" customWidth="1"/>
    <col min="12547" max="12547" width="10.5703125" style="158" customWidth="1"/>
    <col min="12548" max="12548" width="10.140625" style="158" customWidth="1"/>
    <col min="12549" max="12549" width="10" style="158" customWidth="1"/>
    <col min="12550" max="12550" width="12" style="158" customWidth="1"/>
    <col min="12551" max="12551" width="12.85546875" style="158" customWidth="1"/>
    <col min="12552" max="12552" width="10.85546875" style="158" customWidth="1"/>
    <col min="12553" max="12553" width="8.28515625" style="158" customWidth="1"/>
    <col min="12554" max="12554" width="9.42578125" style="158" bestFit="1" customWidth="1"/>
    <col min="12555" max="12799" width="9.140625" style="158"/>
    <col min="12800" max="12800" width="14.28515625" style="158" customWidth="1"/>
    <col min="12801" max="12801" width="8.140625" style="158" customWidth="1"/>
    <col min="12802" max="12802" width="9.5703125" style="158" customWidth="1"/>
    <col min="12803" max="12803" width="10.5703125" style="158" customWidth="1"/>
    <col min="12804" max="12804" width="10.140625" style="158" customWidth="1"/>
    <col min="12805" max="12805" width="10" style="158" customWidth="1"/>
    <col min="12806" max="12806" width="12" style="158" customWidth="1"/>
    <col min="12807" max="12807" width="12.85546875" style="158" customWidth="1"/>
    <col min="12808" max="12808" width="10.85546875" style="158" customWidth="1"/>
    <col min="12809" max="12809" width="8.28515625" style="158" customWidth="1"/>
    <col min="12810" max="12810" width="9.42578125" style="158" bestFit="1" customWidth="1"/>
    <col min="12811" max="13055" width="9.140625" style="158"/>
    <col min="13056" max="13056" width="14.28515625" style="158" customWidth="1"/>
    <col min="13057" max="13057" width="8.140625" style="158" customWidth="1"/>
    <col min="13058" max="13058" width="9.5703125" style="158" customWidth="1"/>
    <col min="13059" max="13059" width="10.5703125" style="158" customWidth="1"/>
    <col min="13060" max="13060" width="10.140625" style="158" customWidth="1"/>
    <col min="13061" max="13061" width="10" style="158" customWidth="1"/>
    <col min="13062" max="13062" width="12" style="158" customWidth="1"/>
    <col min="13063" max="13063" width="12.85546875" style="158" customWidth="1"/>
    <col min="13064" max="13064" width="10.85546875" style="158" customWidth="1"/>
    <col min="13065" max="13065" width="8.28515625" style="158" customWidth="1"/>
    <col min="13066" max="13066" width="9.42578125" style="158" bestFit="1" customWidth="1"/>
    <col min="13067" max="13311" width="9.140625" style="158"/>
    <col min="13312" max="13312" width="14.28515625" style="158" customWidth="1"/>
    <col min="13313" max="13313" width="8.140625" style="158" customWidth="1"/>
    <col min="13314" max="13314" width="9.5703125" style="158" customWidth="1"/>
    <col min="13315" max="13315" width="10.5703125" style="158" customWidth="1"/>
    <col min="13316" max="13316" width="10.140625" style="158" customWidth="1"/>
    <col min="13317" max="13317" width="10" style="158" customWidth="1"/>
    <col min="13318" max="13318" width="12" style="158" customWidth="1"/>
    <col min="13319" max="13319" width="12.85546875" style="158" customWidth="1"/>
    <col min="13320" max="13320" width="10.85546875" style="158" customWidth="1"/>
    <col min="13321" max="13321" width="8.28515625" style="158" customWidth="1"/>
    <col min="13322" max="13322" width="9.42578125" style="158" bestFit="1" customWidth="1"/>
    <col min="13323" max="13567" width="9.140625" style="158"/>
    <col min="13568" max="13568" width="14.28515625" style="158" customWidth="1"/>
    <col min="13569" max="13569" width="8.140625" style="158" customWidth="1"/>
    <col min="13570" max="13570" width="9.5703125" style="158" customWidth="1"/>
    <col min="13571" max="13571" width="10.5703125" style="158" customWidth="1"/>
    <col min="13572" max="13572" width="10.140625" style="158" customWidth="1"/>
    <col min="13573" max="13573" width="10" style="158" customWidth="1"/>
    <col min="13574" max="13574" width="12" style="158" customWidth="1"/>
    <col min="13575" max="13575" width="12.85546875" style="158" customWidth="1"/>
    <col min="13576" max="13576" width="10.85546875" style="158" customWidth="1"/>
    <col min="13577" max="13577" width="8.28515625" style="158" customWidth="1"/>
    <col min="13578" max="13578" width="9.42578125" style="158" bestFit="1" customWidth="1"/>
    <col min="13579" max="13823" width="9.140625" style="158"/>
    <col min="13824" max="13824" width="14.28515625" style="158" customWidth="1"/>
    <col min="13825" max="13825" width="8.140625" style="158" customWidth="1"/>
    <col min="13826" max="13826" width="9.5703125" style="158" customWidth="1"/>
    <col min="13827" max="13827" width="10.5703125" style="158" customWidth="1"/>
    <col min="13828" max="13828" width="10.140625" style="158" customWidth="1"/>
    <col min="13829" max="13829" width="10" style="158" customWidth="1"/>
    <col min="13830" max="13830" width="12" style="158" customWidth="1"/>
    <col min="13831" max="13831" width="12.85546875" style="158" customWidth="1"/>
    <col min="13832" max="13832" width="10.85546875" style="158" customWidth="1"/>
    <col min="13833" max="13833" width="8.28515625" style="158" customWidth="1"/>
    <col min="13834" max="13834" width="9.42578125" style="158" bestFit="1" customWidth="1"/>
    <col min="13835" max="14079" width="9.140625" style="158"/>
    <col min="14080" max="14080" width="14.28515625" style="158" customWidth="1"/>
    <col min="14081" max="14081" width="8.140625" style="158" customWidth="1"/>
    <col min="14082" max="14082" width="9.5703125" style="158" customWidth="1"/>
    <col min="14083" max="14083" width="10.5703125" style="158" customWidth="1"/>
    <col min="14084" max="14084" width="10.140625" style="158" customWidth="1"/>
    <col min="14085" max="14085" width="10" style="158" customWidth="1"/>
    <col min="14086" max="14086" width="12" style="158" customWidth="1"/>
    <col min="14087" max="14087" width="12.85546875" style="158" customWidth="1"/>
    <col min="14088" max="14088" width="10.85546875" style="158" customWidth="1"/>
    <col min="14089" max="14089" width="8.28515625" style="158" customWidth="1"/>
    <col min="14090" max="14090" width="9.42578125" style="158" bestFit="1" customWidth="1"/>
    <col min="14091" max="14335" width="9.140625" style="158"/>
    <col min="14336" max="14336" width="14.28515625" style="158" customWidth="1"/>
    <col min="14337" max="14337" width="8.140625" style="158" customWidth="1"/>
    <col min="14338" max="14338" width="9.5703125" style="158" customWidth="1"/>
    <col min="14339" max="14339" width="10.5703125" style="158" customWidth="1"/>
    <col min="14340" max="14340" width="10.140625" style="158" customWidth="1"/>
    <col min="14341" max="14341" width="10" style="158" customWidth="1"/>
    <col min="14342" max="14342" width="12" style="158" customWidth="1"/>
    <col min="14343" max="14343" width="12.85546875" style="158" customWidth="1"/>
    <col min="14344" max="14344" width="10.85546875" style="158" customWidth="1"/>
    <col min="14345" max="14345" width="8.28515625" style="158" customWidth="1"/>
    <col min="14346" max="14346" width="9.42578125" style="158" bestFit="1" customWidth="1"/>
    <col min="14347" max="14591" width="9.140625" style="158"/>
    <col min="14592" max="14592" width="14.28515625" style="158" customWidth="1"/>
    <col min="14593" max="14593" width="8.140625" style="158" customWidth="1"/>
    <col min="14594" max="14594" width="9.5703125" style="158" customWidth="1"/>
    <col min="14595" max="14595" width="10.5703125" style="158" customWidth="1"/>
    <col min="14596" max="14596" width="10.140625" style="158" customWidth="1"/>
    <col min="14597" max="14597" width="10" style="158" customWidth="1"/>
    <col min="14598" max="14598" width="12" style="158" customWidth="1"/>
    <col min="14599" max="14599" width="12.85546875" style="158" customWidth="1"/>
    <col min="14600" max="14600" width="10.85546875" style="158" customWidth="1"/>
    <col min="14601" max="14601" width="8.28515625" style="158" customWidth="1"/>
    <col min="14602" max="14602" width="9.42578125" style="158" bestFit="1" customWidth="1"/>
    <col min="14603" max="14847" width="9.140625" style="158"/>
    <col min="14848" max="14848" width="14.28515625" style="158" customWidth="1"/>
    <col min="14849" max="14849" width="8.140625" style="158" customWidth="1"/>
    <col min="14850" max="14850" width="9.5703125" style="158" customWidth="1"/>
    <col min="14851" max="14851" width="10.5703125" style="158" customWidth="1"/>
    <col min="14852" max="14852" width="10.140625" style="158" customWidth="1"/>
    <col min="14853" max="14853" width="10" style="158" customWidth="1"/>
    <col min="14854" max="14854" width="12" style="158" customWidth="1"/>
    <col min="14855" max="14855" width="12.85546875" style="158" customWidth="1"/>
    <col min="14856" max="14856" width="10.85546875" style="158" customWidth="1"/>
    <col min="14857" max="14857" width="8.28515625" style="158" customWidth="1"/>
    <col min="14858" max="14858" width="9.42578125" style="158" bestFit="1" customWidth="1"/>
    <col min="14859" max="15103" width="9.140625" style="158"/>
    <col min="15104" max="15104" width="14.28515625" style="158" customWidth="1"/>
    <col min="15105" max="15105" width="8.140625" style="158" customWidth="1"/>
    <col min="15106" max="15106" width="9.5703125" style="158" customWidth="1"/>
    <col min="15107" max="15107" width="10.5703125" style="158" customWidth="1"/>
    <col min="15108" max="15108" width="10.140625" style="158" customWidth="1"/>
    <col min="15109" max="15109" width="10" style="158" customWidth="1"/>
    <col min="15110" max="15110" width="12" style="158" customWidth="1"/>
    <col min="15111" max="15111" width="12.85546875" style="158" customWidth="1"/>
    <col min="15112" max="15112" width="10.85546875" style="158" customWidth="1"/>
    <col min="15113" max="15113" width="8.28515625" style="158" customWidth="1"/>
    <col min="15114" max="15114" width="9.42578125" style="158" bestFit="1" customWidth="1"/>
    <col min="15115" max="15359" width="9.140625" style="158"/>
    <col min="15360" max="15360" width="14.28515625" style="158" customWidth="1"/>
    <col min="15361" max="15361" width="8.140625" style="158" customWidth="1"/>
    <col min="15362" max="15362" width="9.5703125" style="158" customWidth="1"/>
    <col min="15363" max="15363" width="10.5703125" style="158" customWidth="1"/>
    <col min="15364" max="15364" width="10.140625" style="158" customWidth="1"/>
    <col min="15365" max="15365" width="10" style="158" customWidth="1"/>
    <col min="15366" max="15366" width="12" style="158" customWidth="1"/>
    <col min="15367" max="15367" width="12.85546875" style="158" customWidth="1"/>
    <col min="15368" max="15368" width="10.85546875" style="158" customWidth="1"/>
    <col min="15369" max="15369" width="8.28515625" style="158" customWidth="1"/>
    <col min="15370" max="15370" width="9.42578125" style="158" bestFit="1" customWidth="1"/>
    <col min="15371" max="15615" width="9.140625" style="158"/>
    <col min="15616" max="15616" width="14.28515625" style="158" customWidth="1"/>
    <col min="15617" max="15617" width="8.140625" style="158" customWidth="1"/>
    <col min="15618" max="15618" width="9.5703125" style="158" customWidth="1"/>
    <col min="15619" max="15619" width="10.5703125" style="158" customWidth="1"/>
    <col min="15620" max="15620" width="10.140625" style="158" customWidth="1"/>
    <col min="15621" max="15621" width="10" style="158" customWidth="1"/>
    <col min="15622" max="15622" width="12" style="158" customWidth="1"/>
    <col min="15623" max="15623" width="12.85546875" style="158" customWidth="1"/>
    <col min="15624" max="15624" width="10.85546875" style="158" customWidth="1"/>
    <col min="15625" max="15625" width="8.28515625" style="158" customWidth="1"/>
    <col min="15626" max="15626" width="9.42578125" style="158" bestFit="1" customWidth="1"/>
    <col min="15627" max="15871" width="9.140625" style="158"/>
    <col min="15872" max="15872" width="14.28515625" style="158" customWidth="1"/>
    <col min="15873" max="15873" width="8.140625" style="158" customWidth="1"/>
    <col min="15874" max="15874" width="9.5703125" style="158" customWidth="1"/>
    <col min="15875" max="15875" width="10.5703125" style="158" customWidth="1"/>
    <col min="15876" max="15876" width="10.140625" style="158" customWidth="1"/>
    <col min="15877" max="15877" width="10" style="158" customWidth="1"/>
    <col min="15878" max="15878" width="12" style="158" customWidth="1"/>
    <col min="15879" max="15879" width="12.85546875" style="158" customWidth="1"/>
    <col min="15880" max="15880" width="10.85546875" style="158" customWidth="1"/>
    <col min="15881" max="15881" width="8.28515625" style="158" customWidth="1"/>
    <col min="15882" max="15882" width="9.42578125" style="158" bestFit="1" customWidth="1"/>
    <col min="15883" max="16127" width="9.140625" style="158"/>
    <col min="16128" max="16128" width="14.28515625" style="158" customWidth="1"/>
    <col min="16129" max="16129" width="8.140625" style="158" customWidth="1"/>
    <col min="16130" max="16130" width="9.5703125" style="158" customWidth="1"/>
    <col min="16131" max="16131" width="10.5703125" style="158" customWidth="1"/>
    <col min="16132" max="16132" width="10.140625" style="158" customWidth="1"/>
    <col min="16133" max="16133" width="10" style="158" customWidth="1"/>
    <col min="16134" max="16134" width="12" style="158" customWidth="1"/>
    <col min="16135" max="16135" width="12.85546875" style="158" customWidth="1"/>
    <col min="16136" max="16136" width="10.85546875" style="158" customWidth="1"/>
    <col min="16137" max="16137" width="8.28515625" style="158" customWidth="1"/>
    <col min="16138" max="16138" width="9.42578125" style="158" bestFit="1" customWidth="1"/>
    <col min="16139" max="16384" width="9.140625" style="158"/>
  </cols>
  <sheetData>
    <row r="1" spans="2:15" s="159" customFormat="1" ht="20.25" x14ac:dyDescent="0.2">
      <c r="B1" s="1325"/>
      <c r="C1" s="1325"/>
      <c r="D1" s="1325"/>
      <c r="E1" s="1325"/>
      <c r="F1" s="1325"/>
      <c r="G1" s="1325"/>
      <c r="H1" s="1325"/>
      <c r="I1" s="1325"/>
      <c r="J1" s="1325"/>
      <c r="K1" s="632"/>
    </row>
    <row r="2" spans="2:15" ht="13.5" thickBot="1" x14ac:dyDescent="0.25"/>
    <row r="3" spans="2:15" s="164" customFormat="1" ht="20.25" customHeight="1" x14ac:dyDescent="0.2">
      <c r="B3" s="1326" t="s">
        <v>547</v>
      </c>
      <c r="C3" s="1328" t="s">
        <v>548</v>
      </c>
      <c r="D3" s="604" t="s">
        <v>1148</v>
      </c>
      <c r="E3" s="1328" t="s">
        <v>550</v>
      </c>
      <c r="F3" s="604" t="s">
        <v>551</v>
      </c>
      <c r="G3" s="604" t="s">
        <v>552</v>
      </c>
      <c r="H3" s="604" t="s">
        <v>553</v>
      </c>
      <c r="I3" s="604" t="s">
        <v>554</v>
      </c>
      <c r="J3" s="604" t="s">
        <v>555</v>
      </c>
      <c r="K3" s="1328" t="s">
        <v>1149</v>
      </c>
      <c r="L3" s="1323" t="s">
        <v>567</v>
      </c>
    </row>
    <row r="4" spans="2:15" s="164" customFormat="1" ht="20.25" customHeight="1" x14ac:dyDescent="0.2">
      <c r="B4" s="1327"/>
      <c r="C4" s="1329"/>
      <c r="D4" s="605" t="s">
        <v>556</v>
      </c>
      <c r="E4" s="1329"/>
      <c r="F4" s="605" t="s">
        <v>556</v>
      </c>
      <c r="G4" s="605" t="s">
        <v>557</v>
      </c>
      <c r="H4" s="605" t="s">
        <v>558</v>
      </c>
      <c r="I4" s="605" t="s">
        <v>559</v>
      </c>
      <c r="J4" s="605" t="s">
        <v>560</v>
      </c>
      <c r="K4" s="1329"/>
      <c r="L4" s="1324"/>
    </row>
    <row r="5" spans="2:15" s="164" customFormat="1" ht="12.75" customHeight="1" x14ac:dyDescent="0.2">
      <c r="B5" s="1278" t="s">
        <v>1150</v>
      </c>
      <c r="C5" s="170" t="s">
        <v>534</v>
      </c>
      <c r="D5" s="148">
        <v>16</v>
      </c>
      <c r="E5" s="170" t="str">
        <f t="shared" ref="E5:E14" si="0">+IF(D5&lt;=10,"CB240-T","CB400-V")</f>
        <v>CB400-V</v>
      </c>
      <c r="F5" s="170">
        <v>1800</v>
      </c>
      <c r="G5" s="170">
        <v>6</v>
      </c>
      <c r="H5" s="171">
        <f t="shared" ref="H5:H14" si="1">F5*G5/1000</f>
        <v>10.8</v>
      </c>
      <c r="I5" s="171">
        <f t="shared" ref="I5:I14" si="2">HLOOKUP(D5,KLDV,2,0)</f>
        <v>1.58</v>
      </c>
      <c r="J5" s="243">
        <f>ROUND(H5*I5,2)</f>
        <v>17.059999999999999</v>
      </c>
      <c r="K5" s="1330">
        <f>ROUND(0.4*1*0.4,2)</f>
        <v>0.16</v>
      </c>
      <c r="L5" s="1333">
        <f>ROUND((0.4+1)*2*0.4,2)</f>
        <v>1.1200000000000001</v>
      </c>
    </row>
    <row r="6" spans="2:15" s="164" customFormat="1" x14ac:dyDescent="0.2">
      <c r="B6" s="1277"/>
      <c r="C6" s="165" t="s">
        <v>1151</v>
      </c>
      <c r="D6" s="150">
        <v>16</v>
      </c>
      <c r="E6" s="165" t="str">
        <f t="shared" si="0"/>
        <v>CB400-V</v>
      </c>
      <c r="F6" s="165">
        <v>2400</v>
      </c>
      <c r="G6" s="165">
        <v>4</v>
      </c>
      <c r="H6" s="166">
        <f t="shared" si="1"/>
        <v>9.6</v>
      </c>
      <c r="I6" s="166">
        <f t="shared" si="2"/>
        <v>1.58</v>
      </c>
      <c r="J6" s="244">
        <f t="shared" ref="J6:J14" si="3">ROUND(H6*I6,2)</f>
        <v>15.17</v>
      </c>
      <c r="K6" s="1331"/>
      <c r="L6" s="1334"/>
    </row>
    <row r="7" spans="2:15" s="164" customFormat="1" x14ac:dyDescent="0.2">
      <c r="B7" s="1277"/>
      <c r="C7" s="165" t="s">
        <v>1152</v>
      </c>
      <c r="D7" s="150">
        <v>14</v>
      </c>
      <c r="E7" s="165" t="str">
        <f t="shared" si="0"/>
        <v>CB400-V</v>
      </c>
      <c r="F7" s="165">
        <v>2900</v>
      </c>
      <c r="G7" s="165">
        <v>3</v>
      </c>
      <c r="H7" s="166">
        <f t="shared" si="1"/>
        <v>8.6999999999999993</v>
      </c>
      <c r="I7" s="166">
        <f t="shared" si="2"/>
        <v>1.21</v>
      </c>
      <c r="J7" s="244">
        <f t="shared" si="3"/>
        <v>10.53</v>
      </c>
      <c r="K7" s="1331"/>
      <c r="L7" s="1334"/>
      <c r="O7" s="164">
        <f>0.22*PI()*0.08*0.08/4*4</f>
        <v>4.4233624562544293E-3</v>
      </c>
    </row>
    <row r="8" spans="2:15" s="164" customFormat="1" x14ac:dyDescent="0.2">
      <c r="B8" s="1277"/>
      <c r="C8" s="165" t="s">
        <v>1153</v>
      </c>
      <c r="D8" s="150">
        <v>8</v>
      </c>
      <c r="E8" s="165" t="str">
        <f t="shared" si="0"/>
        <v>CB240-T</v>
      </c>
      <c r="F8" s="165">
        <v>1260</v>
      </c>
      <c r="G8" s="165">
        <v>2</v>
      </c>
      <c r="H8" s="166">
        <f>F8*G8/1000</f>
        <v>2.52</v>
      </c>
      <c r="I8" s="166">
        <f>HLOOKUP(D8,KLDV,2,0)</f>
        <v>0.39500000000000002</v>
      </c>
      <c r="J8" s="244">
        <f t="shared" si="3"/>
        <v>1</v>
      </c>
      <c r="K8" s="1331"/>
      <c r="L8" s="1334"/>
    </row>
    <row r="9" spans="2:15" s="164" customFormat="1" x14ac:dyDescent="0.2">
      <c r="B9" s="1277"/>
      <c r="C9" s="288" t="s">
        <v>1154</v>
      </c>
      <c r="D9" s="152">
        <v>8</v>
      </c>
      <c r="E9" s="288" t="str">
        <f t="shared" si="0"/>
        <v>CB240-T</v>
      </c>
      <c r="F9" s="288">
        <v>1080</v>
      </c>
      <c r="G9" s="288">
        <f>+G8</f>
        <v>2</v>
      </c>
      <c r="H9" s="290">
        <f t="shared" si="1"/>
        <v>2.16</v>
      </c>
      <c r="I9" s="290">
        <f t="shared" si="2"/>
        <v>0.39500000000000002</v>
      </c>
      <c r="J9" s="265">
        <f t="shared" si="3"/>
        <v>0.85</v>
      </c>
      <c r="K9" s="1332"/>
      <c r="L9" s="1335"/>
      <c r="O9" s="164">
        <f>+K10-O7</f>
        <v>0.23557663754374555</v>
      </c>
    </row>
    <row r="10" spans="2:15" s="164" customFormat="1" ht="14.45" customHeight="1" x14ac:dyDescent="0.2">
      <c r="B10" s="1278" t="s">
        <v>1155</v>
      </c>
      <c r="C10" s="168" t="s">
        <v>1156</v>
      </c>
      <c r="D10" s="161">
        <v>18</v>
      </c>
      <c r="E10" s="168" t="str">
        <f t="shared" si="0"/>
        <v>CB400-V</v>
      </c>
      <c r="F10" s="160">
        <v>2346</v>
      </c>
      <c r="G10" s="160">
        <v>7</v>
      </c>
      <c r="H10" s="162">
        <f t="shared" si="1"/>
        <v>16.422000000000001</v>
      </c>
      <c r="I10" s="162">
        <f t="shared" si="2"/>
        <v>2</v>
      </c>
      <c r="J10" s="263">
        <f t="shared" si="3"/>
        <v>32.840000000000003</v>
      </c>
      <c r="K10" s="1330">
        <f>ROUND(1.1*1*0.22,2)</f>
        <v>0.24</v>
      </c>
      <c r="L10" s="1333">
        <f>ROUND((1.1+1)*2*0.22,2)</f>
        <v>0.92</v>
      </c>
    </row>
    <row r="11" spans="2:15" s="164" customFormat="1" ht="14.45" customHeight="1" x14ac:dyDescent="0.2">
      <c r="B11" s="1336"/>
      <c r="C11" s="633" t="s">
        <v>1157</v>
      </c>
      <c r="D11" s="150">
        <v>18</v>
      </c>
      <c r="E11" s="633" t="str">
        <f t="shared" si="0"/>
        <v>CB400-V</v>
      </c>
      <c r="F11" s="165">
        <v>2496</v>
      </c>
      <c r="G11" s="165">
        <v>8</v>
      </c>
      <c r="H11" s="166">
        <f t="shared" si="1"/>
        <v>19.968</v>
      </c>
      <c r="I11" s="166">
        <f t="shared" si="2"/>
        <v>2</v>
      </c>
      <c r="J11" s="244">
        <f t="shared" si="3"/>
        <v>39.94</v>
      </c>
      <c r="K11" s="1331"/>
      <c r="L11" s="1334"/>
    </row>
    <row r="12" spans="2:15" s="164" customFormat="1" ht="14.45" customHeight="1" x14ac:dyDescent="0.2">
      <c r="B12" s="1336"/>
      <c r="C12" s="633" t="s">
        <v>1158</v>
      </c>
      <c r="D12" s="150">
        <v>18</v>
      </c>
      <c r="E12" s="633" t="str">
        <f t="shared" si="0"/>
        <v>CB400-V</v>
      </c>
      <c r="F12" s="165">
        <v>4100</v>
      </c>
      <c r="G12" s="165">
        <v>3</v>
      </c>
      <c r="H12" s="166">
        <f t="shared" si="1"/>
        <v>12.3</v>
      </c>
      <c r="I12" s="166">
        <f t="shared" si="2"/>
        <v>2</v>
      </c>
      <c r="J12" s="244">
        <f t="shared" si="3"/>
        <v>24.6</v>
      </c>
      <c r="K12" s="1331"/>
      <c r="L12" s="1334"/>
    </row>
    <row r="13" spans="2:15" s="164" customFormat="1" ht="14.45" customHeight="1" x14ac:dyDescent="0.2">
      <c r="B13" s="1336"/>
      <c r="C13" s="165" t="s">
        <v>1159</v>
      </c>
      <c r="D13" s="150">
        <v>8</v>
      </c>
      <c r="E13" s="633" t="str">
        <f t="shared" si="0"/>
        <v>CB240-T</v>
      </c>
      <c r="F13" s="165">
        <v>3940</v>
      </c>
      <c r="G13" s="165">
        <v>4</v>
      </c>
      <c r="H13" s="166">
        <f>F13*G13/1000</f>
        <v>15.76</v>
      </c>
      <c r="I13" s="166">
        <f>HLOOKUP(D13,KLDV,2,0)</f>
        <v>0.39500000000000002</v>
      </c>
      <c r="J13" s="244">
        <f t="shared" si="3"/>
        <v>6.23</v>
      </c>
      <c r="K13" s="1331"/>
      <c r="L13" s="1334"/>
    </row>
    <row r="14" spans="2:15" s="164" customFormat="1" ht="14.45" customHeight="1" x14ac:dyDescent="0.2">
      <c r="B14" s="1337"/>
      <c r="C14" s="288" t="s">
        <v>1160</v>
      </c>
      <c r="D14" s="152">
        <v>8</v>
      </c>
      <c r="E14" s="634" t="str">
        <f t="shared" si="0"/>
        <v>CB240-T</v>
      </c>
      <c r="F14" s="288">
        <v>1970</v>
      </c>
      <c r="G14" s="288">
        <f>+G13</f>
        <v>4</v>
      </c>
      <c r="H14" s="290">
        <f t="shared" si="1"/>
        <v>7.88</v>
      </c>
      <c r="I14" s="290">
        <f t="shared" si="2"/>
        <v>0.39500000000000002</v>
      </c>
      <c r="J14" s="265">
        <f t="shared" si="3"/>
        <v>3.11</v>
      </c>
      <c r="K14" s="1332"/>
      <c r="L14" s="1335"/>
    </row>
    <row r="15" spans="2:15" s="164" customFormat="1" ht="14.45" customHeight="1" x14ac:dyDescent="0.2">
      <c r="B15" s="1278" t="s">
        <v>1161</v>
      </c>
      <c r="C15" s="635" t="s">
        <v>1162</v>
      </c>
      <c r="D15" s="636"/>
      <c r="E15" s="169"/>
      <c r="F15" s="170">
        <v>700</v>
      </c>
      <c r="G15" s="170">
        <v>2</v>
      </c>
      <c r="H15" s="171">
        <f>+F15/1000*G15</f>
        <v>1.4</v>
      </c>
      <c r="I15" s="171">
        <f>HLOOKUP(32,KLDV,2,0)</f>
        <v>6.31</v>
      </c>
      <c r="J15" s="243">
        <f>H15*I15</f>
        <v>8.8339999999999996</v>
      </c>
      <c r="K15" s="170"/>
      <c r="L15" s="283"/>
    </row>
    <row r="16" spans="2:15" s="164" customFormat="1" ht="14.45" customHeight="1" x14ac:dyDescent="0.2">
      <c r="B16" s="1277"/>
      <c r="C16" s="637" t="s">
        <v>1163</v>
      </c>
      <c r="D16" s="638"/>
      <c r="E16" s="633"/>
      <c r="F16" s="165"/>
      <c r="G16" s="165">
        <v>2</v>
      </c>
      <c r="H16" s="166"/>
      <c r="I16" s="166">
        <f>ROUND(154*310*3*7850/(10^9),2)</f>
        <v>1.1200000000000001</v>
      </c>
      <c r="J16" s="244">
        <f>G16*I16</f>
        <v>2.2400000000000002</v>
      </c>
      <c r="K16" s="165"/>
      <c r="L16" s="271"/>
    </row>
    <row r="17" spans="2:19" s="164" customFormat="1" ht="14.45" customHeight="1" x14ac:dyDescent="0.2">
      <c r="B17" s="1277"/>
      <c r="C17" s="637" t="s">
        <v>1164</v>
      </c>
      <c r="D17" s="638"/>
      <c r="E17" s="633"/>
      <c r="F17" s="165"/>
      <c r="G17" s="165">
        <v>2</v>
      </c>
      <c r="H17" s="166"/>
      <c r="I17" s="166">
        <f>ROUND(2124*3*7850/(10^9),2)</f>
        <v>0.05</v>
      </c>
      <c r="J17" s="244">
        <f>G17*I17</f>
        <v>0.1</v>
      </c>
      <c r="K17" s="165"/>
      <c r="L17" s="271"/>
    </row>
    <row r="18" spans="2:19" s="164" customFormat="1" ht="14.45" customHeight="1" x14ac:dyDescent="0.2">
      <c r="B18" s="1277"/>
      <c r="C18" s="639" t="s">
        <v>1165</v>
      </c>
      <c r="D18" s="640"/>
      <c r="E18" s="641"/>
      <c r="F18" s="278"/>
      <c r="G18" s="278">
        <v>2</v>
      </c>
      <c r="H18" s="281"/>
      <c r="I18" s="281"/>
      <c r="J18" s="280">
        <f>0.4*1.2*G18</f>
        <v>0.96</v>
      </c>
      <c r="K18" s="278"/>
      <c r="L18" s="282"/>
    </row>
    <row r="19" spans="2:19" s="164" customFormat="1" ht="14.45" customHeight="1" x14ac:dyDescent="0.2">
      <c r="B19" s="1343"/>
      <c r="C19" s="642" t="s">
        <v>1166</v>
      </c>
      <c r="D19" s="643"/>
      <c r="E19" s="634"/>
      <c r="F19" s="288"/>
      <c r="G19" s="288">
        <f>+G17</f>
        <v>2</v>
      </c>
      <c r="H19" s="290"/>
      <c r="I19" s="644">
        <f>MAX(ROUND(0.000857655*0.31,2),0.0003)</f>
        <v>2.9999999999999997E-4</v>
      </c>
      <c r="J19" s="644">
        <f>G19*I19</f>
        <v>5.9999999999999995E-4</v>
      </c>
      <c r="K19" s="288"/>
      <c r="L19" s="285"/>
    </row>
    <row r="20" spans="2:19" s="164" customFormat="1" ht="14.45" customHeight="1" x14ac:dyDescent="0.2">
      <c r="B20" s="1278" t="s">
        <v>1167</v>
      </c>
      <c r="C20" s="635" t="s">
        <v>1162</v>
      </c>
      <c r="D20" s="636"/>
      <c r="E20" s="169"/>
      <c r="F20" s="170">
        <v>700</v>
      </c>
      <c r="G20" s="170">
        <v>2</v>
      </c>
      <c r="H20" s="171">
        <f>+F20/1000*G20</f>
        <v>1.4</v>
      </c>
      <c r="I20" s="171">
        <f>HLOOKUP(32,KLDV,2,0)</f>
        <v>6.31</v>
      </c>
      <c r="J20" s="243">
        <f>H20*I20</f>
        <v>8.8339999999999996</v>
      </c>
      <c r="K20" s="170"/>
      <c r="L20" s="283"/>
    </row>
    <row r="21" spans="2:19" s="164" customFormat="1" ht="14.45" customHeight="1" x14ac:dyDescent="0.2">
      <c r="B21" s="1277"/>
      <c r="C21" s="248" t="s">
        <v>1168</v>
      </c>
      <c r="D21" s="150"/>
      <c r="E21" s="165"/>
      <c r="F21" s="165"/>
      <c r="G21" s="165">
        <v>2</v>
      </c>
      <c r="H21" s="166"/>
      <c r="I21" s="166">
        <f>ROUND(326*310*3*7850/(10^9),2)</f>
        <v>2.38</v>
      </c>
      <c r="J21" s="244">
        <f>G21*I21</f>
        <v>4.76</v>
      </c>
      <c r="K21" s="165"/>
      <c r="L21" s="271"/>
    </row>
    <row r="22" spans="2:19" s="164" customFormat="1" ht="14.45" customHeight="1" x14ac:dyDescent="0.2">
      <c r="B22" s="1277"/>
      <c r="C22" s="248" t="s">
        <v>1169</v>
      </c>
      <c r="D22" s="150"/>
      <c r="E22" s="165"/>
      <c r="F22" s="165"/>
      <c r="G22" s="165">
        <v>2</v>
      </c>
      <c r="H22" s="166"/>
      <c r="I22" s="166">
        <f>ROUND(6596*3*7850/(10^9),2)</f>
        <v>0.16</v>
      </c>
      <c r="J22" s="244">
        <f>G22*I22</f>
        <v>0.32</v>
      </c>
      <c r="K22" s="165"/>
      <c r="L22" s="271"/>
    </row>
    <row r="23" spans="2:19" s="164" customFormat="1" ht="14.45" customHeight="1" x14ac:dyDescent="0.2">
      <c r="B23" s="1277"/>
      <c r="C23" s="639" t="s">
        <v>1165</v>
      </c>
      <c r="D23" s="640"/>
      <c r="E23" s="641"/>
      <c r="F23" s="278"/>
      <c r="G23" s="278">
        <v>2</v>
      </c>
      <c r="H23" s="281"/>
      <c r="I23" s="281"/>
      <c r="J23" s="280">
        <f>0.4*1.2*G23</f>
        <v>0.96</v>
      </c>
      <c r="K23" s="278"/>
      <c r="L23" s="282"/>
    </row>
    <row r="24" spans="2:19" s="164" customFormat="1" ht="14.45" customHeight="1" x14ac:dyDescent="0.2">
      <c r="B24" s="1343"/>
      <c r="C24" s="642" t="s">
        <v>1166</v>
      </c>
      <c r="D24" s="643"/>
      <c r="E24" s="634"/>
      <c r="F24" s="288"/>
      <c r="G24" s="288">
        <f>+G22</f>
        <v>2</v>
      </c>
      <c r="H24" s="290"/>
      <c r="I24" s="644">
        <f>MAX(ROUND(0.005*0.31,2),0.0006)</f>
        <v>5.9999999999999995E-4</v>
      </c>
      <c r="J24" s="644">
        <f>G24*I24</f>
        <v>1.1999999999999999E-3</v>
      </c>
      <c r="K24" s="288"/>
      <c r="L24" s="285"/>
    </row>
    <row r="25" spans="2:19" s="164" customFormat="1" ht="14.45" customHeight="1" x14ac:dyDescent="0.2">
      <c r="B25" s="1278" t="s">
        <v>1170</v>
      </c>
      <c r="C25" s="635" t="s">
        <v>1171</v>
      </c>
      <c r="D25" s="148"/>
      <c r="E25" s="170"/>
      <c r="F25" s="170">
        <v>1200</v>
      </c>
      <c r="G25" s="170">
        <v>4</v>
      </c>
      <c r="H25" s="171">
        <f>+F25/1000*G25</f>
        <v>4.8</v>
      </c>
      <c r="I25" s="171">
        <f>PI()*0.04*0.04*7850</f>
        <v>39.458403729087806</v>
      </c>
      <c r="J25" s="243">
        <f>H25*I25</f>
        <v>189.40033789962146</v>
      </c>
      <c r="K25" s="170"/>
      <c r="L25" s="283"/>
    </row>
    <row r="26" spans="2:19" s="164" customFormat="1" ht="14.45" customHeight="1" x14ac:dyDescent="0.2">
      <c r="B26" s="1277"/>
      <c r="C26" s="637" t="s">
        <v>1172</v>
      </c>
      <c r="D26" s="150"/>
      <c r="E26" s="165"/>
      <c r="F26" s="165"/>
      <c r="G26" s="165">
        <v>4</v>
      </c>
      <c r="H26" s="166"/>
      <c r="I26" s="166">
        <f>ROUND(757*485*3*7850/(10^9),2)</f>
        <v>8.65</v>
      </c>
      <c r="J26" s="244">
        <f>G26*I26</f>
        <v>34.6</v>
      </c>
      <c r="K26" s="165"/>
      <c r="L26" s="271"/>
    </row>
    <row r="27" spans="2:19" s="164" customFormat="1" ht="14.45" customHeight="1" x14ac:dyDescent="0.2">
      <c r="B27" s="1277"/>
      <c r="C27" s="637" t="s">
        <v>1173</v>
      </c>
      <c r="D27" s="150"/>
      <c r="E27" s="165"/>
      <c r="F27" s="165"/>
      <c r="G27" s="165">
        <v>4</v>
      </c>
      <c r="H27" s="166"/>
      <c r="I27" s="166">
        <f>ROUND(30454*3*7850/(10^9),2)</f>
        <v>0.72</v>
      </c>
      <c r="J27" s="244">
        <f>G27*I27</f>
        <v>2.88</v>
      </c>
      <c r="K27" s="165"/>
      <c r="L27" s="271"/>
    </row>
    <row r="28" spans="2:19" s="164" customFormat="1" ht="14.45" customHeight="1" x14ac:dyDescent="0.25">
      <c r="B28" s="1277"/>
      <c r="C28" s="637" t="s">
        <v>1165</v>
      </c>
      <c r="D28" s="638"/>
      <c r="E28" s="633"/>
      <c r="F28" s="165"/>
      <c r="G28" s="165">
        <v>1</v>
      </c>
      <c r="H28" s="166"/>
      <c r="I28" s="166"/>
      <c r="J28" s="244">
        <f>1*1.1*G28</f>
        <v>1.1000000000000001</v>
      </c>
      <c r="K28" s="165"/>
      <c r="L28" s="271"/>
      <c r="O28" s="1318" t="s">
        <v>1477</v>
      </c>
      <c r="P28" s="1318"/>
      <c r="Q28" s="1318"/>
      <c r="R28" s="1318"/>
      <c r="S28" s="1318"/>
    </row>
    <row r="29" spans="2:19" s="164" customFormat="1" ht="14.45" customHeight="1" x14ac:dyDescent="0.2">
      <c r="B29" s="1343"/>
      <c r="C29" s="642" t="s">
        <v>1166</v>
      </c>
      <c r="D29" s="643"/>
      <c r="E29" s="634"/>
      <c r="F29" s="288"/>
      <c r="G29" s="288">
        <f>+G27</f>
        <v>4</v>
      </c>
      <c r="H29" s="290"/>
      <c r="I29" s="265">
        <f>MAX(ROUND(0.023157*0.435,2),0.0005)</f>
        <v>0.01</v>
      </c>
      <c r="J29" s="265">
        <f>G29*I29</f>
        <v>0.04</v>
      </c>
      <c r="K29" s="288"/>
      <c r="L29" s="285"/>
    </row>
    <row r="30" spans="2:19" s="164" customFormat="1" ht="14.45" customHeight="1" x14ac:dyDescent="0.2">
      <c r="B30" s="1278" t="s">
        <v>1174</v>
      </c>
      <c r="C30" s="1294" t="s">
        <v>1175</v>
      </c>
      <c r="D30" s="1294"/>
      <c r="E30" s="645"/>
      <c r="F30" s="646">
        <v>8</v>
      </c>
      <c r="G30" s="647">
        <f>SUMIF($D$5:$D$9,F30,$J$5:$J$9)</f>
        <v>1.85</v>
      </c>
      <c r="H30" s="648"/>
      <c r="I30" s="649" t="s">
        <v>50</v>
      </c>
      <c r="J30" s="647">
        <f>J16+J17</f>
        <v>2.3400000000000003</v>
      </c>
      <c r="K30" s="649" t="s">
        <v>117</v>
      </c>
      <c r="L30" s="650">
        <f>J19</f>
        <v>5.9999999999999995E-4</v>
      </c>
      <c r="O30" s="1319" t="s">
        <v>383</v>
      </c>
      <c r="P30" s="1319" t="s">
        <v>1261</v>
      </c>
      <c r="Q30" s="1321" t="s">
        <v>1299</v>
      </c>
      <c r="R30" s="1322"/>
      <c r="S30" s="1319" t="s">
        <v>1303</v>
      </c>
    </row>
    <row r="31" spans="2:19" s="164" customFormat="1" ht="25.5" x14ac:dyDescent="0.2">
      <c r="B31" s="1277"/>
      <c r="C31" s="1296"/>
      <c r="D31" s="1296"/>
      <c r="E31" s="651"/>
      <c r="F31" s="652">
        <v>14</v>
      </c>
      <c r="G31" s="653">
        <f>SUMIF($D$5:$D$9,F31,$J$5:$J$9)</f>
        <v>10.53</v>
      </c>
      <c r="H31" s="654"/>
      <c r="I31" s="655" t="s">
        <v>71</v>
      </c>
      <c r="J31" s="656">
        <f>K5</f>
        <v>0.16</v>
      </c>
      <c r="K31" s="657"/>
      <c r="L31" s="658"/>
      <c r="O31" s="1320"/>
      <c r="P31" s="1320"/>
      <c r="Q31" s="1118" t="s">
        <v>1300</v>
      </c>
      <c r="R31" s="1118" t="s">
        <v>1301</v>
      </c>
      <c r="S31" s="1320"/>
    </row>
    <row r="32" spans="2:19" s="164" customFormat="1" ht="14.45" customHeight="1" x14ac:dyDescent="0.2">
      <c r="B32" s="1277"/>
      <c r="C32" s="1296"/>
      <c r="D32" s="1296"/>
      <c r="E32" s="651"/>
      <c r="F32" s="652">
        <v>16</v>
      </c>
      <c r="G32" s="653">
        <f>SUMIF($D$5:$D$9,F32,$J$5:$J$9)</f>
        <v>32.229999999999997</v>
      </c>
      <c r="H32" s="654"/>
      <c r="I32" s="655" t="s">
        <v>65</v>
      </c>
      <c r="J32" s="659">
        <f>L5</f>
        <v>1.1200000000000001</v>
      </c>
      <c r="K32" s="657"/>
      <c r="L32" s="658"/>
      <c r="O32" s="174"/>
      <c r="P32" s="1113"/>
      <c r="Q32" s="174">
        <v>7</v>
      </c>
      <c r="R32" s="174">
        <v>7</v>
      </c>
      <c r="S32" s="1119"/>
    </row>
    <row r="33" spans="2:19" s="164" customFormat="1" ht="14.45" customHeight="1" x14ac:dyDescent="0.2">
      <c r="B33" s="1277"/>
      <c r="C33" s="1298"/>
      <c r="D33" s="1298"/>
      <c r="E33" s="660"/>
      <c r="F33" s="661" t="s">
        <v>1176</v>
      </c>
      <c r="G33" s="662">
        <f>J15</f>
        <v>8.8339999999999996</v>
      </c>
      <c r="H33" s="663"/>
      <c r="I33" s="664" t="s">
        <v>1177</v>
      </c>
      <c r="J33" s="665">
        <f>J18</f>
        <v>0.96</v>
      </c>
      <c r="K33" s="666"/>
      <c r="L33" s="667"/>
      <c r="O33" s="1109">
        <v>8</v>
      </c>
      <c r="P33" s="1113" t="s">
        <v>116</v>
      </c>
      <c r="Q33" s="174">
        <f>ROUND(G30*$Q$32/1000,2)</f>
        <v>0.01</v>
      </c>
      <c r="R33" s="174">
        <f>ROUND(G34*$R$32/1000,2)</f>
        <v>0.01</v>
      </c>
      <c r="S33" s="1120">
        <f>Q33+R33+Q41</f>
        <v>0.03</v>
      </c>
    </row>
    <row r="34" spans="2:19" s="164" customFormat="1" ht="14.45" customHeight="1" x14ac:dyDescent="0.2">
      <c r="B34" s="1277"/>
      <c r="C34" s="1339" t="s">
        <v>1178</v>
      </c>
      <c r="D34" s="1273"/>
      <c r="E34" s="645"/>
      <c r="F34" s="646">
        <v>8</v>
      </c>
      <c r="G34" s="647">
        <f>SUMIF($D$5:$D$9,F34,$J$5:$J$9)</f>
        <v>1.85</v>
      </c>
      <c r="H34" s="648"/>
      <c r="I34" s="649" t="s">
        <v>50</v>
      </c>
      <c r="J34" s="647">
        <f>J21+J22</f>
        <v>5.08</v>
      </c>
      <c r="K34" s="649" t="s">
        <v>117</v>
      </c>
      <c r="L34" s="650">
        <f>J24</f>
        <v>1.1999999999999999E-3</v>
      </c>
      <c r="O34" s="1109">
        <v>14</v>
      </c>
      <c r="P34" s="1113" t="s">
        <v>116</v>
      </c>
      <c r="Q34" s="174">
        <f>ROUND(G31*$Q$32/1000,2)</f>
        <v>7.0000000000000007E-2</v>
      </c>
      <c r="R34" s="174">
        <f t="shared" ref="R34:R36" si="4">ROUND(G35*$R$32/1000,2)</f>
        <v>7.0000000000000007E-2</v>
      </c>
      <c r="S34" s="1120">
        <f>ROUND(SUM(Q34:R34),2)</f>
        <v>0.14000000000000001</v>
      </c>
    </row>
    <row r="35" spans="2:19" s="164" customFormat="1" ht="14.45" customHeight="1" x14ac:dyDescent="0.2">
      <c r="B35" s="1277"/>
      <c r="C35" s="1339"/>
      <c r="D35" s="1273"/>
      <c r="E35" s="651"/>
      <c r="F35" s="652">
        <v>14</v>
      </c>
      <c r="G35" s="653">
        <f>SUMIF($D$5:$D$9,F35,$J$5:$J$9)</f>
        <v>10.53</v>
      </c>
      <c r="H35" s="654"/>
      <c r="I35" s="655" t="s">
        <v>71</v>
      </c>
      <c r="J35" s="656">
        <f>K5</f>
        <v>0.16</v>
      </c>
      <c r="K35" s="657"/>
      <c r="L35" s="658"/>
      <c r="O35" s="1109">
        <v>16</v>
      </c>
      <c r="P35" s="1113" t="s">
        <v>116</v>
      </c>
      <c r="Q35" s="174">
        <f t="shared" ref="Q35:Q36" si="5">ROUND(G32*$Q$32/1000,2)</f>
        <v>0.23</v>
      </c>
      <c r="R35" s="174">
        <f t="shared" si="4"/>
        <v>0.23</v>
      </c>
      <c r="S35" s="1120">
        <f>ROUND(SUM(Q35:R35),2)</f>
        <v>0.46</v>
      </c>
    </row>
    <row r="36" spans="2:19" s="164" customFormat="1" ht="14.45" customHeight="1" x14ac:dyDescent="0.2">
      <c r="B36" s="1277"/>
      <c r="C36" s="1339"/>
      <c r="D36" s="1273"/>
      <c r="E36" s="651"/>
      <c r="F36" s="652">
        <v>16</v>
      </c>
      <c r="G36" s="653">
        <f>SUMIF($D$5:$D$9,F36,$J$5:$J$9)</f>
        <v>32.229999999999997</v>
      </c>
      <c r="H36" s="654"/>
      <c r="I36" s="655" t="s">
        <v>65</v>
      </c>
      <c r="J36" s="659">
        <f>L5</f>
        <v>1.1200000000000001</v>
      </c>
      <c r="K36" s="657"/>
      <c r="L36" s="658"/>
      <c r="O36" s="1109" t="s">
        <v>1176</v>
      </c>
      <c r="P36" s="1113" t="s">
        <v>116</v>
      </c>
      <c r="Q36" s="174">
        <f t="shared" si="5"/>
        <v>0.06</v>
      </c>
      <c r="R36" s="174">
        <f t="shared" si="4"/>
        <v>0.06</v>
      </c>
      <c r="S36" s="1120">
        <f>ROUND(SUM(Q36:R36),2)</f>
        <v>0.12</v>
      </c>
    </row>
    <row r="37" spans="2:19" s="164" customFormat="1" ht="14.45" customHeight="1" x14ac:dyDescent="0.2">
      <c r="B37" s="1277"/>
      <c r="C37" s="1339"/>
      <c r="D37" s="1273"/>
      <c r="E37" s="660"/>
      <c r="F37" s="661" t="s">
        <v>1176</v>
      </c>
      <c r="G37" s="662">
        <f>J20</f>
        <v>8.8339999999999996</v>
      </c>
      <c r="H37" s="663"/>
      <c r="I37" s="664" t="s">
        <v>1177</v>
      </c>
      <c r="J37" s="665">
        <f>J23</f>
        <v>0.96</v>
      </c>
      <c r="K37" s="666"/>
      <c r="L37" s="667"/>
      <c r="O37" s="1110"/>
      <c r="P37" s="1113"/>
      <c r="Q37" s="174"/>
      <c r="R37" s="174"/>
      <c r="S37" s="1120"/>
    </row>
    <row r="38" spans="2:19" s="164" customFormat="1" ht="14.45" customHeight="1" x14ac:dyDescent="0.2">
      <c r="B38" s="1277"/>
      <c r="C38" s="1340" t="s">
        <v>1179</v>
      </c>
      <c r="D38" s="1270"/>
      <c r="E38" s="645"/>
      <c r="F38" s="646">
        <v>8</v>
      </c>
      <c r="G38" s="647">
        <f>SUMIF($D$10:$D$14,F38,$J$10:$J$14)</f>
        <v>9.34</v>
      </c>
      <c r="H38" s="648"/>
      <c r="I38" s="649" t="s">
        <v>117</v>
      </c>
      <c r="J38" s="668">
        <f>J29</f>
        <v>0.04</v>
      </c>
      <c r="K38" s="669"/>
      <c r="L38" s="670"/>
      <c r="O38" s="174"/>
      <c r="P38" s="1113"/>
      <c r="Q38" s="174"/>
      <c r="R38" s="174"/>
      <c r="S38" s="1119"/>
    </row>
    <row r="39" spans="2:19" s="164" customFormat="1" ht="14.45" customHeight="1" x14ac:dyDescent="0.2">
      <c r="B39" s="1277"/>
      <c r="C39" s="1339"/>
      <c r="D39" s="1273"/>
      <c r="E39" s="651"/>
      <c r="F39" s="652">
        <v>18</v>
      </c>
      <c r="G39" s="653">
        <f>SUMIF($D$10:$D$14,F39,$J$10:$J$14)</f>
        <v>97.38</v>
      </c>
      <c r="H39" s="654"/>
      <c r="I39" s="655" t="s">
        <v>71</v>
      </c>
      <c r="J39" s="656">
        <f>K10</f>
        <v>0.24</v>
      </c>
      <c r="K39" s="657"/>
      <c r="L39" s="658"/>
      <c r="O39" s="1315" t="s">
        <v>1302</v>
      </c>
      <c r="P39" s="1316"/>
      <c r="Q39" s="1316"/>
      <c r="R39" s="1316"/>
      <c r="S39" s="1317"/>
    </row>
    <row r="40" spans="2:19" s="164" customFormat="1" ht="14.45" customHeight="1" x14ac:dyDescent="0.2">
      <c r="B40" s="1277"/>
      <c r="C40" s="1339"/>
      <c r="D40" s="1273"/>
      <c r="E40" s="651"/>
      <c r="F40" s="652" t="s">
        <v>1180</v>
      </c>
      <c r="G40" s="653">
        <f>J25</f>
        <v>189.40033789962146</v>
      </c>
      <c r="H40" s="654"/>
      <c r="I40" s="655" t="s">
        <v>65</v>
      </c>
      <c r="J40" s="659">
        <f>L10</f>
        <v>0.92</v>
      </c>
      <c r="K40" s="657"/>
      <c r="L40" s="658"/>
      <c r="O40" s="174"/>
      <c r="P40" s="174"/>
      <c r="Q40" s="174">
        <v>1</v>
      </c>
      <c r="R40" s="174"/>
      <c r="S40" s="1120"/>
    </row>
    <row r="41" spans="2:19" s="164" customFormat="1" ht="14.45" customHeight="1" thickBot="1" x14ac:dyDescent="0.25">
      <c r="B41" s="1338"/>
      <c r="C41" s="1341"/>
      <c r="D41" s="1342"/>
      <c r="E41" s="671"/>
      <c r="F41" s="672" t="s">
        <v>50</v>
      </c>
      <c r="G41" s="673">
        <f>J26+J27</f>
        <v>37.480000000000004</v>
      </c>
      <c r="H41" s="674"/>
      <c r="I41" s="675" t="s">
        <v>1177</v>
      </c>
      <c r="J41" s="676">
        <f>J28</f>
        <v>1.1000000000000001</v>
      </c>
      <c r="K41" s="677"/>
      <c r="L41" s="678"/>
      <c r="O41" s="1109">
        <v>8</v>
      </c>
      <c r="P41" s="1113" t="s">
        <v>116</v>
      </c>
      <c r="Q41" s="174">
        <f>ROUND(G38*$Q$40/1000,2)</f>
        <v>0.01</v>
      </c>
      <c r="R41" s="174"/>
      <c r="S41" s="1120"/>
    </row>
    <row r="42" spans="2:19" ht="12.75" customHeight="1" x14ac:dyDescent="0.2">
      <c r="B42" s="1278" t="s">
        <v>1181</v>
      </c>
      <c r="C42" s="1294" t="s">
        <v>1182</v>
      </c>
      <c r="D42" s="1294"/>
      <c r="E42" s="645"/>
      <c r="F42" s="646">
        <v>8</v>
      </c>
      <c r="G42" s="647">
        <f>G30*$M$42</f>
        <v>33.300000000000004</v>
      </c>
      <c r="H42" s="648"/>
      <c r="I42" s="649" t="s">
        <v>50</v>
      </c>
      <c r="J42" s="647">
        <f>J30*$M$42</f>
        <v>42.120000000000005</v>
      </c>
      <c r="K42" s="649" t="s">
        <v>117</v>
      </c>
      <c r="L42" s="679">
        <f>L30*$M$42</f>
        <v>1.0799999999999999E-2</v>
      </c>
      <c r="M42" s="158">
        <v>18</v>
      </c>
      <c r="O42" s="1109">
        <v>18</v>
      </c>
      <c r="P42" s="1113" t="s">
        <v>116</v>
      </c>
      <c r="Q42" s="174">
        <f>ROUND(G39*$Q$40/1000,2)</f>
        <v>0.1</v>
      </c>
      <c r="R42" s="1111"/>
      <c r="S42" s="1121"/>
    </row>
    <row r="43" spans="2:19" x14ac:dyDescent="0.2">
      <c r="B43" s="1277"/>
      <c r="C43" s="1296"/>
      <c r="D43" s="1296"/>
      <c r="E43" s="651"/>
      <c r="F43" s="652">
        <v>14</v>
      </c>
      <c r="G43" s="653">
        <f>G31*$M$42</f>
        <v>189.54</v>
      </c>
      <c r="H43" s="654"/>
      <c r="I43" s="655" t="s">
        <v>71</v>
      </c>
      <c r="J43" s="656">
        <f>J31*$M$42</f>
        <v>2.88</v>
      </c>
      <c r="K43" s="657"/>
      <c r="L43" s="658"/>
      <c r="O43" s="1109" t="s">
        <v>1180</v>
      </c>
      <c r="P43" s="1113" t="s">
        <v>116</v>
      </c>
      <c r="Q43" s="174">
        <f>ROUND(G40*$Q$40/1000,2)</f>
        <v>0.19</v>
      </c>
      <c r="R43" s="1111"/>
      <c r="S43" s="1121">
        <f>Q43</f>
        <v>0.19</v>
      </c>
    </row>
    <row r="44" spans="2:19" x14ac:dyDescent="0.2">
      <c r="B44" s="1277"/>
      <c r="C44" s="1296"/>
      <c r="D44" s="1296"/>
      <c r="E44" s="651"/>
      <c r="F44" s="652">
        <v>16</v>
      </c>
      <c r="G44" s="653">
        <f>G32*$M$42</f>
        <v>580.14</v>
      </c>
      <c r="H44" s="654"/>
      <c r="I44" s="655" t="s">
        <v>65</v>
      </c>
      <c r="J44" s="659">
        <f>J32*$M$42</f>
        <v>20.160000000000004</v>
      </c>
      <c r="K44" s="657"/>
      <c r="L44" s="658"/>
      <c r="O44" s="1112" t="s">
        <v>50</v>
      </c>
      <c r="P44" s="1113" t="s">
        <v>116</v>
      </c>
      <c r="Q44" s="174">
        <f>ROUND(G41*$Q$40/1000,2)</f>
        <v>0.04</v>
      </c>
      <c r="R44" s="1111"/>
      <c r="S44" s="1121">
        <f>Q44*2</f>
        <v>0.08</v>
      </c>
    </row>
    <row r="45" spans="2:19" x14ac:dyDescent="0.2">
      <c r="B45" s="1277"/>
      <c r="C45" s="1298"/>
      <c r="D45" s="1298"/>
      <c r="E45" s="660"/>
      <c r="F45" s="661" t="s">
        <v>1176</v>
      </c>
      <c r="G45" s="662">
        <f>G33*$M$42</f>
        <v>159.012</v>
      </c>
      <c r="H45" s="663"/>
      <c r="I45" s="664" t="s">
        <v>1177</v>
      </c>
      <c r="J45" s="665">
        <f>J33*$M$42</f>
        <v>17.28</v>
      </c>
      <c r="K45" s="666"/>
      <c r="L45" s="667"/>
      <c r="O45" s="1111"/>
      <c r="P45" s="1111"/>
      <c r="Q45" s="174"/>
      <c r="R45" s="1111"/>
      <c r="S45" s="1121"/>
    </row>
    <row r="46" spans="2:19" ht="12.75" customHeight="1" x14ac:dyDescent="0.2">
      <c r="B46" s="1277"/>
      <c r="C46" s="1339" t="s">
        <v>1183</v>
      </c>
      <c r="D46" s="1273"/>
      <c r="E46" s="645"/>
      <c r="F46" s="646">
        <v>8</v>
      </c>
      <c r="G46" s="647">
        <f>G34*$M$46</f>
        <v>33.300000000000004</v>
      </c>
      <c r="H46" s="648"/>
      <c r="I46" s="649" t="s">
        <v>50</v>
      </c>
      <c r="J46" s="647">
        <f>J34*$M$46</f>
        <v>91.44</v>
      </c>
      <c r="K46" s="649" t="s">
        <v>117</v>
      </c>
      <c r="L46" s="679">
        <f>L34*M46</f>
        <v>2.1599999999999998E-2</v>
      </c>
      <c r="M46" s="158">
        <v>18</v>
      </c>
      <c r="O46" s="1116" t="s">
        <v>1476</v>
      </c>
      <c r="P46" s="1121">
        <f>J32*7+J36*7+J40</f>
        <v>16.600000000000001</v>
      </c>
      <c r="Q46" s="1115" t="s">
        <v>68</v>
      </c>
      <c r="R46" s="1114"/>
      <c r="S46" s="1122"/>
    </row>
    <row r="47" spans="2:19" x14ac:dyDescent="0.2">
      <c r="B47" s="1277"/>
      <c r="C47" s="1339"/>
      <c r="D47" s="1273"/>
      <c r="E47" s="651"/>
      <c r="F47" s="652">
        <v>14</v>
      </c>
      <c r="G47" s="653">
        <f>G35*$M$46</f>
        <v>189.54</v>
      </c>
      <c r="H47" s="654"/>
      <c r="I47" s="655" t="s">
        <v>71</v>
      </c>
      <c r="J47" s="656">
        <f>J35*$M$46</f>
        <v>2.88</v>
      </c>
      <c r="K47" s="657"/>
      <c r="L47" s="658"/>
      <c r="O47" s="1116" t="s">
        <v>1177</v>
      </c>
      <c r="P47" s="1121">
        <f>J33*$Q$32+J37*$R$32+J41*$Q$40</f>
        <v>14.54</v>
      </c>
      <c r="Q47" s="1115" t="s">
        <v>68</v>
      </c>
    </row>
    <row r="48" spans="2:19" x14ac:dyDescent="0.2">
      <c r="B48" s="1277"/>
      <c r="C48" s="1339"/>
      <c r="D48" s="1273"/>
      <c r="E48" s="651"/>
      <c r="F48" s="652">
        <v>16</v>
      </c>
      <c r="G48" s="653">
        <f>G36*$M$46</f>
        <v>580.14</v>
      </c>
      <c r="H48" s="654"/>
      <c r="I48" s="655" t="s">
        <v>65</v>
      </c>
      <c r="J48" s="659">
        <f>J36*$M$46</f>
        <v>20.160000000000004</v>
      </c>
      <c r="K48" s="657"/>
      <c r="L48" s="658"/>
      <c r="O48" s="1116" t="s">
        <v>117</v>
      </c>
      <c r="P48" s="1121">
        <f>L30*Q32+L34*R32+J38*Q40</f>
        <v>5.2600000000000001E-2</v>
      </c>
      <c r="Q48" s="1115" t="s">
        <v>10</v>
      </c>
    </row>
    <row r="49" spans="2:17" x14ac:dyDescent="0.2">
      <c r="B49" s="1277"/>
      <c r="C49" s="1339"/>
      <c r="D49" s="1273"/>
      <c r="E49" s="660"/>
      <c r="F49" s="661" t="s">
        <v>1176</v>
      </c>
      <c r="G49" s="662">
        <f>G37*$M$46</f>
        <v>159.012</v>
      </c>
      <c r="H49" s="663"/>
      <c r="I49" s="664" t="s">
        <v>1177</v>
      </c>
      <c r="J49" s="665">
        <f>J37*$M$46</f>
        <v>17.28</v>
      </c>
      <c r="K49" s="666"/>
      <c r="L49" s="667"/>
      <c r="O49" s="1116" t="s">
        <v>1400</v>
      </c>
      <c r="P49" s="1121">
        <f>J31*Q32+J35*R32+J39*Q40</f>
        <v>2.4800000000000004</v>
      </c>
      <c r="Q49" s="1115" t="s">
        <v>10</v>
      </c>
    </row>
    <row r="50" spans="2:17" ht="12.75" customHeight="1" x14ac:dyDescent="0.2">
      <c r="B50" s="1277"/>
      <c r="C50" s="1340" t="s">
        <v>1184</v>
      </c>
      <c r="D50" s="1270"/>
      <c r="E50" s="645"/>
      <c r="F50" s="646">
        <v>8</v>
      </c>
      <c r="G50" s="647">
        <f>G38*$M$50</f>
        <v>18.68</v>
      </c>
      <c r="H50" s="648"/>
      <c r="I50" s="649" t="s">
        <v>117</v>
      </c>
      <c r="J50" s="668">
        <f>J38*$M$50</f>
        <v>0.08</v>
      </c>
      <c r="K50" s="669"/>
      <c r="L50" s="670"/>
      <c r="M50" s="158">
        <v>2</v>
      </c>
      <c r="O50" s="1117"/>
      <c r="P50" s="1123"/>
      <c r="Q50" s="1111"/>
    </row>
    <row r="51" spans="2:17" x14ac:dyDescent="0.2">
      <c r="B51" s="1277"/>
      <c r="C51" s="1339"/>
      <c r="D51" s="1273"/>
      <c r="E51" s="651"/>
      <c r="F51" s="652">
        <v>18</v>
      </c>
      <c r="G51" s="653">
        <f>G39*$M$50</f>
        <v>194.76</v>
      </c>
      <c r="H51" s="654"/>
      <c r="I51" s="655" t="s">
        <v>71</v>
      </c>
      <c r="J51" s="656">
        <f>J39*$M$50</f>
        <v>0.48</v>
      </c>
      <c r="K51" s="657"/>
      <c r="L51" s="658"/>
    </row>
    <row r="52" spans="2:17" x14ac:dyDescent="0.2">
      <c r="B52" s="1277"/>
      <c r="C52" s="1339"/>
      <c r="D52" s="1273"/>
      <c r="E52" s="651"/>
      <c r="F52" s="652" t="s">
        <v>1180</v>
      </c>
      <c r="G52" s="653">
        <f>G40*$M$50</f>
        <v>378.80067579924292</v>
      </c>
      <c r="H52" s="654"/>
      <c r="I52" s="655" t="s">
        <v>65</v>
      </c>
      <c r="J52" s="659">
        <f>J40*$M$50</f>
        <v>1.84</v>
      </c>
      <c r="K52" s="657"/>
      <c r="L52" s="658"/>
    </row>
    <row r="53" spans="2:17" ht="13.5" thickBot="1" x14ac:dyDescent="0.25">
      <c r="B53" s="1338"/>
      <c r="C53" s="1341"/>
      <c r="D53" s="1342"/>
      <c r="E53" s="671"/>
      <c r="F53" s="672" t="s">
        <v>50</v>
      </c>
      <c r="G53" s="673">
        <f>G41*$M$50</f>
        <v>74.960000000000008</v>
      </c>
      <c r="H53" s="674"/>
      <c r="I53" s="675" t="s">
        <v>1177</v>
      </c>
      <c r="J53" s="676">
        <f>J41*$M$50</f>
        <v>2.2000000000000002</v>
      </c>
      <c r="K53" s="677"/>
      <c r="L53" s="678"/>
    </row>
  </sheetData>
  <mergeCells count="29">
    <mergeCell ref="B42:B53"/>
    <mergeCell ref="C42:D45"/>
    <mergeCell ref="C46:D49"/>
    <mergeCell ref="C50:D53"/>
    <mergeCell ref="B15:B19"/>
    <mergeCell ref="B20:B24"/>
    <mergeCell ref="B25:B29"/>
    <mergeCell ref="B30:B41"/>
    <mergeCell ref="C30:D33"/>
    <mergeCell ref="C34:D37"/>
    <mergeCell ref="C38:D41"/>
    <mergeCell ref="B5:B9"/>
    <mergeCell ref="K5:K9"/>
    <mergeCell ref="L5:L9"/>
    <mergeCell ref="B10:B14"/>
    <mergeCell ref="K10:K14"/>
    <mergeCell ref="L10:L14"/>
    <mergeCell ref="L3:L4"/>
    <mergeCell ref="B1:J1"/>
    <mergeCell ref="B3:B4"/>
    <mergeCell ref="C3:C4"/>
    <mergeCell ref="E3:E4"/>
    <mergeCell ref="K3:K4"/>
    <mergeCell ref="O39:S39"/>
    <mergeCell ref="O28:S28"/>
    <mergeCell ref="O30:O31"/>
    <mergeCell ref="P30:P31"/>
    <mergeCell ref="Q30:R30"/>
    <mergeCell ref="S30:S31"/>
  </mergeCells>
  <pageMargins left="0.7" right="0.7" top="0.75" bottom="0.75" header="0.3" footer="0.3"/>
  <pageSetup paperSize="25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zoomScale="85" zoomScaleNormal="85" workbookViewId="0">
      <selection activeCell="J16" sqref="J16:J17"/>
    </sheetView>
  </sheetViews>
  <sheetFormatPr defaultRowHeight="14.25" x14ac:dyDescent="0.25"/>
  <cols>
    <col min="1" max="2" width="10.7109375" style="680" customWidth="1"/>
    <col min="3" max="3" width="20.42578125" style="680" customWidth="1"/>
    <col min="4" max="4" width="10.5703125" style="680" customWidth="1"/>
    <col min="5" max="5" width="12.85546875" style="680" customWidth="1"/>
    <col min="6" max="6" width="19" style="680" customWidth="1"/>
    <col min="7" max="7" width="12.5703125" style="680" customWidth="1"/>
    <col min="8" max="8" width="9.5703125" style="680" customWidth="1"/>
    <col min="9" max="9" width="19.85546875" style="680" customWidth="1"/>
    <col min="10" max="10" width="14.42578125" style="680" customWidth="1"/>
    <col min="11" max="11" width="18.85546875" style="680" customWidth="1"/>
    <col min="12" max="12" width="11" style="680" customWidth="1"/>
    <col min="13" max="13" width="21.140625" style="680" customWidth="1"/>
    <col min="14" max="14" width="10.7109375" style="680" customWidth="1"/>
    <col min="15" max="15" width="19.28515625" style="680" customWidth="1"/>
    <col min="16" max="16" width="10.42578125" style="680" customWidth="1"/>
    <col min="17" max="17" width="12.5703125" style="680" customWidth="1"/>
    <col min="18" max="16384" width="9.140625" style="680"/>
  </cols>
  <sheetData>
    <row r="1" spans="1:17" ht="15" thickTop="1" x14ac:dyDescent="0.25">
      <c r="A1" s="1357" t="s">
        <v>547</v>
      </c>
      <c r="B1" s="1359" t="s">
        <v>1185</v>
      </c>
      <c r="C1" s="1361" t="s">
        <v>1186</v>
      </c>
      <c r="D1" s="1361" t="s">
        <v>1187</v>
      </c>
      <c r="E1" s="1363" t="s">
        <v>1188</v>
      </c>
      <c r="F1" s="1363"/>
      <c r="G1" s="1363"/>
      <c r="H1" s="1363"/>
      <c r="I1" s="1348" t="s">
        <v>1189</v>
      </c>
      <c r="J1" s="1348"/>
      <c r="K1" s="1348"/>
      <c r="L1" s="1349"/>
      <c r="M1" s="1348" t="s">
        <v>1190</v>
      </c>
      <c r="N1" s="1348"/>
      <c r="O1" s="1348"/>
      <c r="P1" s="1349"/>
    </row>
    <row r="2" spans="1:17" ht="46.5" customHeight="1" x14ac:dyDescent="0.25">
      <c r="A2" s="1358"/>
      <c r="B2" s="1360"/>
      <c r="C2" s="1362"/>
      <c r="D2" s="1362"/>
      <c r="E2" s="1057" t="s">
        <v>1191</v>
      </c>
      <c r="F2" s="1057" t="s">
        <v>1192</v>
      </c>
      <c r="G2" s="1057" t="s">
        <v>1193</v>
      </c>
      <c r="H2" s="1058" t="s">
        <v>1194</v>
      </c>
      <c r="I2" s="1057" t="s">
        <v>1191</v>
      </c>
      <c r="J2" s="1057" t="s">
        <v>1192</v>
      </c>
      <c r="K2" s="1057" t="s">
        <v>1193</v>
      </c>
      <c r="L2" s="1059" t="s">
        <v>1194</v>
      </c>
      <c r="M2" s="1057" t="s">
        <v>1191</v>
      </c>
      <c r="N2" s="1057" t="s">
        <v>1192</v>
      </c>
      <c r="O2" s="1057" t="s">
        <v>1193</v>
      </c>
      <c r="P2" s="1059" t="s">
        <v>1194</v>
      </c>
    </row>
    <row r="3" spans="1:17" ht="15" customHeight="1" x14ac:dyDescent="0.25">
      <c r="A3" s="1350" t="s">
        <v>1195</v>
      </c>
      <c r="B3" s="681" t="s">
        <v>373</v>
      </c>
      <c r="C3" s="682">
        <v>14</v>
      </c>
      <c r="D3" s="683">
        <f>HLOOKUP(C3,'[5]Bang tra'!$A$2:$L$4,3)</f>
        <v>1.21</v>
      </c>
      <c r="E3" s="682">
        <f>+'[5]Khoi go LC'!G13</f>
        <v>79</v>
      </c>
      <c r="F3" s="682">
        <f>+'[5]Khoi go LC'!$I$22</f>
        <v>1017</v>
      </c>
      <c r="G3" s="683">
        <f>E3*F3/1000</f>
        <v>80.343000000000004</v>
      </c>
      <c r="H3" s="684">
        <f>G3*$D$3</f>
        <v>97.215029999999999</v>
      </c>
      <c r="I3" s="682">
        <f>+'[5]Khoi go LC'!G14</f>
        <v>69</v>
      </c>
      <c r="J3" s="682">
        <f>+'[5]Khoi go LC'!$I$22</f>
        <v>1017</v>
      </c>
      <c r="K3" s="683">
        <f>I3*J3/1000</f>
        <v>70.173000000000002</v>
      </c>
      <c r="L3" s="685">
        <f>K3*$D3</f>
        <v>84.909329999999997</v>
      </c>
      <c r="M3" s="682">
        <f>+'[5]Khoi go LC'!G15</f>
        <v>80</v>
      </c>
      <c r="N3" s="682">
        <f>+'[5]Khoi go LC'!$I$22</f>
        <v>1017</v>
      </c>
      <c r="O3" s="683">
        <f>M3*N3/1000</f>
        <v>81.36</v>
      </c>
      <c r="P3" s="685">
        <f>O3*$D3</f>
        <v>98.445599999999999</v>
      </c>
      <c r="Q3" s="686"/>
    </row>
    <row r="4" spans="1:17" ht="15" customHeight="1" x14ac:dyDescent="0.25">
      <c r="A4" s="1351"/>
      <c r="B4" s="687" t="s">
        <v>1196</v>
      </c>
      <c r="C4" s="688">
        <v>14</v>
      </c>
      <c r="D4" s="689">
        <f>HLOOKUP(C4,'[5]Bang tra'!$A$2:$L$4,3)</f>
        <v>1.21</v>
      </c>
      <c r="E4" s="688">
        <f>+$E$3</f>
        <v>79</v>
      </c>
      <c r="F4" s="688">
        <f>+'[5]Khoi go LC'!$I$23</f>
        <v>1095</v>
      </c>
      <c r="G4" s="689">
        <f t="shared" ref="G4:G6" si="0">E4*F4/1000</f>
        <v>86.504999999999995</v>
      </c>
      <c r="H4" s="690">
        <f t="shared" ref="H4:H6" si="1">G4*$D$3</f>
        <v>104.67104999999999</v>
      </c>
      <c r="I4" s="688">
        <f>+$I$3</f>
        <v>69</v>
      </c>
      <c r="J4" s="688">
        <f>+'[5]Khoi go LC'!$I$23</f>
        <v>1095</v>
      </c>
      <c r="K4" s="689">
        <f t="shared" ref="K4:K6" si="2">I4*J4/1000</f>
        <v>75.555000000000007</v>
      </c>
      <c r="L4" s="691">
        <f t="shared" ref="L4:L6" si="3">K4*$D4</f>
        <v>91.421550000000011</v>
      </c>
      <c r="M4" s="688">
        <f>+M3</f>
        <v>80</v>
      </c>
      <c r="N4" s="688">
        <f>+'[5]Khoi go LC'!$I$23</f>
        <v>1095</v>
      </c>
      <c r="O4" s="689">
        <f t="shared" ref="O4:O6" si="4">M4*N4/1000</f>
        <v>87.6</v>
      </c>
      <c r="P4" s="691">
        <f t="shared" ref="P4:P6" si="5">O4*$D4</f>
        <v>105.996</v>
      </c>
      <c r="Q4" s="686"/>
    </row>
    <row r="5" spans="1:17" ht="15" customHeight="1" x14ac:dyDescent="0.25">
      <c r="A5" s="1351"/>
      <c r="B5" s="687" t="s">
        <v>1197</v>
      </c>
      <c r="C5" s="688">
        <v>14</v>
      </c>
      <c r="D5" s="689">
        <f>HLOOKUP(C5,'[5]Bang tra'!$A$2:$L$4,3)</f>
        <v>1.21</v>
      </c>
      <c r="E5" s="688">
        <f>+$E$3</f>
        <v>79</v>
      </c>
      <c r="F5" s="688">
        <f>+'[5]Khoi go LC'!$I$24</f>
        <v>1330</v>
      </c>
      <c r="G5" s="689">
        <f t="shared" si="0"/>
        <v>105.07</v>
      </c>
      <c r="H5" s="690">
        <f t="shared" si="1"/>
        <v>127.13469999999998</v>
      </c>
      <c r="I5" s="688">
        <f>+$I$3</f>
        <v>69</v>
      </c>
      <c r="J5" s="688">
        <f>+'[5]Khoi go LC'!$I$24</f>
        <v>1330</v>
      </c>
      <c r="K5" s="689">
        <f t="shared" si="2"/>
        <v>91.77</v>
      </c>
      <c r="L5" s="691">
        <f t="shared" si="3"/>
        <v>111.04169999999999</v>
      </c>
      <c r="M5" s="688">
        <f>+M3</f>
        <v>80</v>
      </c>
      <c r="N5" s="688">
        <f>+'[5]Khoi go LC'!$I$24</f>
        <v>1330</v>
      </c>
      <c r="O5" s="689">
        <f t="shared" si="4"/>
        <v>106.4</v>
      </c>
      <c r="P5" s="691">
        <f t="shared" si="5"/>
        <v>128.744</v>
      </c>
      <c r="Q5" s="686"/>
    </row>
    <row r="6" spans="1:17" ht="15" customHeight="1" x14ac:dyDescent="0.25">
      <c r="A6" s="1351"/>
      <c r="B6" s="692" t="s">
        <v>1198</v>
      </c>
      <c r="C6" s="693">
        <v>14</v>
      </c>
      <c r="D6" s="694">
        <f>HLOOKUP(C6,'[5]Bang tra'!$A$2:$L$4,3)</f>
        <v>1.21</v>
      </c>
      <c r="E6" s="693">
        <f>+'[5]Khoi go LC'!$M$13</f>
        <v>8</v>
      </c>
      <c r="F6" s="693">
        <f>+'[5]Khoi go LC'!N13</f>
        <v>11700</v>
      </c>
      <c r="G6" s="694">
        <f t="shared" si="0"/>
        <v>93.6</v>
      </c>
      <c r="H6" s="695">
        <f t="shared" si="1"/>
        <v>113.25599999999999</v>
      </c>
      <c r="I6" s="693">
        <f>+'[5]Khoi go LC'!$M$13</f>
        <v>8</v>
      </c>
      <c r="J6" s="693">
        <f>+'[5]Khoi go LC'!N14</f>
        <v>10032</v>
      </c>
      <c r="K6" s="694">
        <f t="shared" si="2"/>
        <v>80.256</v>
      </c>
      <c r="L6" s="696">
        <f t="shared" si="3"/>
        <v>97.109759999999994</v>
      </c>
      <c r="M6" s="693">
        <f>+'[5]Khoi go LC'!$M$13</f>
        <v>8</v>
      </c>
      <c r="N6" s="693">
        <f>+'[5]Khoi go LC'!N15</f>
        <v>11725</v>
      </c>
      <c r="O6" s="694">
        <f t="shared" si="4"/>
        <v>93.8</v>
      </c>
      <c r="P6" s="696">
        <f t="shared" si="5"/>
        <v>113.49799999999999</v>
      </c>
      <c r="Q6" s="686"/>
    </row>
    <row r="7" spans="1:17" ht="15" customHeight="1" x14ac:dyDescent="0.25">
      <c r="A7" s="1351"/>
      <c r="B7" s="1353" t="s">
        <v>693</v>
      </c>
      <c r="C7" s="697" t="s">
        <v>1199</v>
      </c>
      <c r="D7" s="1355">
        <f>+'[5]Khoi go LC'!B2/10^3</f>
        <v>11.8</v>
      </c>
      <c r="E7" s="1355"/>
      <c r="F7" s="698" t="s">
        <v>1200</v>
      </c>
      <c r="G7" s="1355">
        <f>SUM(H3:H6)</f>
        <v>442.27677999999992</v>
      </c>
      <c r="H7" s="1355"/>
      <c r="I7" s="699" t="s">
        <v>1199</v>
      </c>
      <c r="J7" s="700">
        <f>+'[5]Khoi go LC'!B3/10^3</f>
        <v>10.132</v>
      </c>
      <c r="K7" s="701" t="s">
        <v>1200</v>
      </c>
      <c r="L7" s="702">
        <f>+SUM(L3:L6)</f>
        <v>384.48233999999997</v>
      </c>
      <c r="M7" s="699" t="s">
        <v>1199</v>
      </c>
      <c r="N7" s="700">
        <f>+'[5]Khoi go LC'!B4/10^3</f>
        <v>11.824999999999999</v>
      </c>
      <c r="O7" s="701" t="s">
        <v>1200</v>
      </c>
      <c r="P7" s="702">
        <f>+SUM(P3:P6)</f>
        <v>446.68360000000001</v>
      </c>
      <c r="Q7" s="686"/>
    </row>
    <row r="8" spans="1:17" ht="15" customHeight="1" thickBot="1" x14ac:dyDescent="0.3">
      <c r="A8" s="1352"/>
      <c r="B8" s="1354"/>
      <c r="C8" s="703" t="s">
        <v>1201</v>
      </c>
      <c r="D8" s="1356">
        <f>+$E$19*D7</f>
        <v>3.1915578000000004</v>
      </c>
      <c r="E8" s="1356"/>
      <c r="F8" s="704" t="s">
        <v>1202</v>
      </c>
      <c r="G8" s="1356">
        <f>D7*$E$20</f>
        <v>28.792000000000002</v>
      </c>
      <c r="H8" s="1356"/>
      <c r="I8" s="705" t="s">
        <v>1201</v>
      </c>
      <c r="J8" s="706">
        <f>+$E$19*J7</f>
        <v>2.7404121720000001</v>
      </c>
      <c r="K8" s="707" t="s">
        <v>1202</v>
      </c>
      <c r="L8" s="708">
        <f>J7*$E$20</f>
        <v>24.722079999999998</v>
      </c>
      <c r="M8" s="705" t="s">
        <v>1201</v>
      </c>
      <c r="N8" s="706">
        <f>+$E$19*N7</f>
        <v>3.1983195750000002</v>
      </c>
      <c r="O8" s="707" t="s">
        <v>1202</v>
      </c>
      <c r="P8" s="708">
        <f>N7*$E$20</f>
        <v>28.852999999999998</v>
      </c>
      <c r="Q8" s="686"/>
    </row>
    <row r="9" spans="1:17" ht="15" thickTop="1" x14ac:dyDescent="0.25"/>
    <row r="10" spans="1:17" ht="15" thickBot="1" x14ac:dyDescent="0.3">
      <c r="A10" s="709"/>
      <c r="B10" s="706"/>
      <c r="C10" s="707"/>
      <c r="D10" s="706"/>
      <c r="E10" s="709"/>
      <c r="F10" s="707"/>
      <c r="G10" s="706"/>
      <c r="H10" s="709"/>
      <c r="I10" s="707"/>
      <c r="J10" s="706"/>
      <c r="K10" s="707"/>
      <c r="L10" s="706"/>
    </row>
    <row r="11" spans="1:17" ht="14.25" customHeight="1" thickTop="1" x14ac:dyDescent="0.25">
      <c r="A11" s="1346" t="s">
        <v>1210</v>
      </c>
      <c r="B11" s="710"/>
      <c r="C11" s="724" t="s">
        <v>1199</v>
      </c>
      <c r="D11" s="725">
        <f>+D7*$D$25+J7*$D$26+N7*$D$27</f>
        <v>468.714</v>
      </c>
      <c r="E11" s="726"/>
      <c r="F11" s="727" t="s">
        <v>1200</v>
      </c>
      <c r="G11" s="725">
        <f>+G7*$D$25+L7*$D$26+P7*$D$27</f>
        <v>17584.295959999999</v>
      </c>
      <c r="H11" s="712"/>
      <c r="I11" s="713"/>
      <c r="J11" s="711"/>
      <c r="K11" s="713"/>
      <c r="L11" s="711"/>
      <c r="M11" s="712"/>
      <c r="N11" s="712"/>
      <c r="O11" s="712"/>
      <c r="P11" s="714"/>
    </row>
    <row r="12" spans="1:17" ht="15" thickBot="1" x14ac:dyDescent="0.3">
      <c r="A12" s="1347"/>
      <c r="B12" s="715"/>
      <c r="C12" s="728" t="s">
        <v>1201</v>
      </c>
      <c r="D12" s="729">
        <f>+D8*$D$25+J8*$D$26+N8*$D$27</f>
        <v>126.77354429400002</v>
      </c>
      <c r="E12" s="730"/>
      <c r="F12" s="731" t="s">
        <v>1202</v>
      </c>
      <c r="G12" s="729">
        <f>+G8*$D$25+L8*$D$26+P8*$D$27</f>
        <v>1143.6621600000001</v>
      </c>
      <c r="H12" s="717"/>
      <c r="I12" s="718"/>
      <c r="J12" s="716"/>
      <c r="K12" s="718"/>
      <c r="L12" s="716"/>
      <c r="M12" s="717"/>
      <c r="N12" s="717"/>
      <c r="O12" s="717"/>
      <c r="P12" s="719"/>
    </row>
    <row r="13" spans="1:17" ht="15" hidden="1" thickTop="1" x14ac:dyDescent="0.25"/>
    <row r="14" spans="1:17" ht="15" hidden="1" thickTop="1" x14ac:dyDescent="0.25"/>
    <row r="15" spans="1:17" ht="15" thickTop="1" x14ac:dyDescent="0.25"/>
    <row r="16" spans="1:17" ht="15" customHeight="1" x14ac:dyDescent="0.25">
      <c r="J16" s="1344" t="s">
        <v>611</v>
      </c>
    </row>
    <row r="17" spans="1:10" x14ac:dyDescent="0.25">
      <c r="B17" s="680" t="s">
        <v>1203</v>
      </c>
      <c r="C17" s="720" t="s">
        <v>1204</v>
      </c>
      <c r="J17" s="1345"/>
    </row>
    <row r="19" spans="1:10" x14ac:dyDescent="0.25">
      <c r="B19" s="720" t="s">
        <v>1205</v>
      </c>
      <c r="E19" s="680">
        <f>270471/1000000</f>
        <v>0.27047100000000002</v>
      </c>
      <c r="F19" s="680" t="s">
        <v>68</v>
      </c>
    </row>
    <row r="20" spans="1:10" x14ac:dyDescent="0.25">
      <c r="B20" s="720" t="s">
        <v>1206</v>
      </c>
      <c r="E20" s="680">
        <f>2440/10^3</f>
        <v>2.44</v>
      </c>
      <c r="F20" s="680" t="s">
        <v>1207</v>
      </c>
    </row>
    <row r="21" spans="1:10" x14ac:dyDescent="0.25">
      <c r="B21" s="720" t="s">
        <v>1208</v>
      </c>
      <c r="I21" s="680">
        <f>507*2</f>
        <v>1014</v>
      </c>
    </row>
    <row r="24" spans="1:10" ht="28.5" x14ac:dyDescent="0.25">
      <c r="C24" s="721" t="s">
        <v>1209</v>
      </c>
      <c r="D24" s="722" t="s">
        <v>552</v>
      </c>
    </row>
    <row r="25" spans="1:10" x14ac:dyDescent="0.2">
      <c r="C25" s="723" t="str">
        <f>+'[5]Khoi go LC'!A2</f>
        <v>G1</v>
      </c>
      <c r="D25" s="722">
        <f>+(11+7)*2</f>
        <v>36</v>
      </c>
    </row>
    <row r="26" spans="1:10" x14ac:dyDescent="0.2">
      <c r="C26" s="723" t="str">
        <f>+'[5]Khoi go LC'!A3</f>
        <v>G2</v>
      </c>
      <c r="D26" s="722">
        <f>+'[5]Khoi go LC'!C3</f>
        <v>2</v>
      </c>
    </row>
    <row r="27" spans="1:10" x14ac:dyDescent="0.2">
      <c r="C27" s="723" t="str">
        <f>+'[5]Khoi go LC'!A4</f>
        <v>G3</v>
      </c>
      <c r="D27" s="722">
        <v>2</v>
      </c>
    </row>
    <row r="31" spans="1:10" x14ac:dyDescent="0.25">
      <c r="A31" s="680" t="s">
        <v>383</v>
      </c>
      <c r="B31" s="1364" t="s">
        <v>548</v>
      </c>
      <c r="C31" s="1364"/>
      <c r="D31" s="680" t="s">
        <v>1384</v>
      </c>
      <c r="E31" s="680" t="s">
        <v>1385</v>
      </c>
      <c r="F31" s="680" t="s">
        <v>1386</v>
      </c>
      <c r="G31" s="680" t="s">
        <v>552</v>
      </c>
      <c r="H31" s="680" t="s">
        <v>1387</v>
      </c>
      <c r="I31" s="680" t="s">
        <v>1388</v>
      </c>
      <c r="J31" s="680" t="s">
        <v>562</v>
      </c>
    </row>
    <row r="33" spans="1:11" x14ac:dyDescent="0.25">
      <c r="C33" s="680" t="s">
        <v>373</v>
      </c>
      <c r="D33" s="819">
        <v>18</v>
      </c>
      <c r="F33" s="819">
        <v>2200</v>
      </c>
      <c r="G33" s="819">
        <v>2</v>
      </c>
      <c r="H33" s="820">
        <f>ROUND(F33*G33/1000,2)</f>
        <v>4.4000000000000004</v>
      </c>
      <c r="I33" s="820">
        <f>VLOOKUP(D33,'CKN T4 '!$M$5:$N$19,2,0)</f>
        <v>2</v>
      </c>
      <c r="J33" s="820">
        <f>ROUND(H33*I33,2)</f>
        <v>8.8000000000000007</v>
      </c>
    </row>
    <row r="34" spans="1:11" ht="28.5" x14ac:dyDescent="0.25">
      <c r="A34" s="818" t="s">
        <v>1389</v>
      </c>
      <c r="C34" s="680" t="s">
        <v>1390</v>
      </c>
      <c r="D34" s="819">
        <v>16</v>
      </c>
      <c r="F34" s="819">
        <v>1820</v>
      </c>
      <c r="G34" s="819">
        <v>1</v>
      </c>
      <c r="H34" s="820">
        <f t="shared" ref="H34:H38" si="6">ROUND(F34*G34/1000,2)</f>
        <v>1.82</v>
      </c>
      <c r="I34" s="820">
        <f>VLOOKUP(D34,'CKN T4 '!$M$5:$N$19,2,0)</f>
        <v>1.58</v>
      </c>
      <c r="J34" s="820">
        <f t="shared" ref="J34:J38" si="7">ROUND(H34*I34,2)</f>
        <v>2.88</v>
      </c>
    </row>
    <row r="35" spans="1:11" x14ac:dyDescent="0.25">
      <c r="C35" s="680" t="s">
        <v>1391</v>
      </c>
      <c r="D35" s="819">
        <v>16</v>
      </c>
      <c r="F35" s="819">
        <v>2300</v>
      </c>
      <c r="G35" s="819">
        <v>1</v>
      </c>
      <c r="H35" s="820">
        <f t="shared" si="6"/>
        <v>2.2999999999999998</v>
      </c>
      <c r="I35" s="820">
        <f>VLOOKUP(D35,'CKN T4 '!$M$5:$N$19,2,0)</f>
        <v>1.58</v>
      </c>
      <c r="J35" s="820">
        <f t="shared" si="7"/>
        <v>3.63</v>
      </c>
    </row>
    <row r="36" spans="1:11" x14ac:dyDescent="0.25">
      <c r="C36" s="680" t="s">
        <v>1197</v>
      </c>
      <c r="D36" s="819">
        <v>18</v>
      </c>
      <c r="F36" s="819">
        <v>2200</v>
      </c>
      <c r="G36" s="819">
        <v>2</v>
      </c>
      <c r="H36" s="820">
        <f t="shared" si="6"/>
        <v>4.4000000000000004</v>
      </c>
      <c r="I36" s="820">
        <f>VLOOKUP(D36,'CKN T4 '!$M$5:$N$19,2,0)</f>
        <v>2</v>
      </c>
      <c r="J36" s="820">
        <f t="shared" si="7"/>
        <v>8.8000000000000007</v>
      </c>
    </row>
    <row r="37" spans="1:11" x14ac:dyDescent="0.25">
      <c r="C37" s="680" t="s">
        <v>1198</v>
      </c>
      <c r="D37" s="819">
        <v>16</v>
      </c>
      <c r="F37" s="819">
        <v>565</v>
      </c>
      <c r="G37" s="819">
        <v>2</v>
      </c>
      <c r="H37" s="820">
        <f t="shared" si="6"/>
        <v>1.1299999999999999</v>
      </c>
      <c r="I37" s="820">
        <f>VLOOKUP(D37,'CKN T4 '!$M$5:$N$19,2,0)</f>
        <v>1.58</v>
      </c>
      <c r="J37" s="820">
        <f t="shared" si="7"/>
        <v>1.79</v>
      </c>
    </row>
    <row r="38" spans="1:11" x14ac:dyDescent="0.25">
      <c r="C38" s="680" t="s">
        <v>1392</v>
      </c>
      <c r="D38" s="819">
        <v>16</v>
      </c>
      <c r="F38" s="819">
        <v>690</v>
      </c>
      <c r="G38" s="819">
        <v>2</v>
      </c>
      <c r="H38" s="820">
        <f t="shared" si="6"/>
        <v>1.38</v>
      </c>
      <c r="I38" s="820">
        <f>VLOOKUP(D38,'CKN T4 '!$M$5:$N$19,2,0)</f>
        <v>1.58</v>
      </c>
      <c r="J38" s="820">
        <f t="shared" si="7"/>
        <v>2.1800000000000002</v>
      </c>
    </row>
    <row r="40" spans="1:11" x14ac:dyDescent="0.25">
      <c r="A40" s="1364" t="s">
        <v>1393</v>
      </c>
      <c r="B40" s="1364"/>
      <c r="D40" s="680" t="s">
        <v>1394</v>
      </c>
      <c r="E40" s="819">
        <v>16</v>
      </c>
      <c r="F40" s="821">
        <f>SUMIF($D$33:$D$38,E40,$J$33:$J$38)</f>
        <v>10.48</v>
      </c>
    </row>
    <row r="41" spans="1:11" x14ac:dyDescent="0.25">
      <c r="E41" s="819">
        <v>18</v>
      </c>
      <c r="F41" s="821">
        <f>SUMIF($D$33:$D$38,E41,$J$33:$J$38)</f>
        <v>17.600000000000001</v>
      </c>
    </row>
    <row r="43" spans="1:11" ht="16.5" thickBot="1" x14ac:dyDescent="0.35">
      <c r="B43" s="1365" t="s">
        <v>1396</v>
      </c>
      <c r="C43" s="1365"/>
      <c r="D43" s="1365"/>
      <c r="E43" s="1365"/>
      <c r="F43" s="1365"/>
      <c r="G43" s="1365"/>
      <c r="H43" s="1365"/>
      <c r="I43" s="1365"/>
      <c r="J43" s="1365"/>
      <c r="K43" s="1365"/>
    </row>
    <row r="44" spans="1:11" ht="15" thickTop="1" x14ac:dyDescent="0.25">
      <c r="B44" s="1366" t="s">
        <v>547</v>
      </c>
      <c r="C44" s="1369" t="s">
        <v>548</v>
      </c>
      <c r="D44" s="1369" t="s">
        <v>1384</v>
      </c>
      <c r="E44" s="1369" t="s">
        <v>1385</v>
      </c>
      <c r="F44" s="822" t="s">
        <v>1397</v>
      </c>
      <c r="G44" s="822" t="s">
        <v>1398</v>
      </c>
      <c r="H44" s="1372" t="s">
        <v>1387</v>
      </c>
      <c r="I44" s="822" t="s">
        <v>1399</v>
      </c>
      <c r="J44" s="822" t="s">
        <v>1399</v>
      </c>
      <c r="K44" s="823" t="s">
        <v>1400</v>
      </c>
    </row>
    <row r="45" spans="1:11" x14ac:dyDescent="0.25">
      <c r="B45" s="1367"/>
      <c r="C45" s="1370"/>
      <c r="D45" s="1371"/>
      <c r="E45" s="1370"/>
      <c r="F45" s="824" t="s">
        <v>1401</v>
      </c>
      <c r="G45" s="824" t="s">
        <v>585</v>
      </c>
      <c r="H45" s="1373"/>
      <c r="I45" s="824" t="s">
        <v>1402</v>
      </c>
      <c r="J45" s="824" t="s">
        <v>1403</v>
      </c>
      <c r="K45" s="825" t="s">
        <v>1404</v>
      </c>
    </row>
    <row r="46" spans="1:11" x14ac:dyDescent="0.25">
      <c r="B46" s="1368"/>
      <c r="C46" s="1371"/>
      <c r="D46" s="826" t="s">
        <v>415</v>
      </c>
      <c r="E46" s="1371"/>
      <c r="F46" s="826" t="s">
        <v>415</v>
      </c>
      <c r="G46" s="826"/>
      <c r="H46" s="826" t="s">
        <v>124</v>
      </c>
      <c r="I46" s="826" t="s">
        <v>1405</v>
      </c>
      <c r="J46" s="826" t="s">
        <v>659</v>
      </c>
      <c r="K46" s="827" t="s">
        <v>10</v>
      </c>
    </row>
    <row r="47" spans="1:11" x14ac:dyDescent="0.25">
      <c r="B47" s="1374" t="s">
        <v>1389</v>
      </c>
      <c r="C47" s="828" t="s">
        <v>373</v>
      </c>
      <c r="D47" s="829">
        <v>18</v>
      </c>
      <c r="E47" s="828" t="s">
        <v>437</v>
      </c>
      <c r="F47" s="830">
        <v>2200</v>
      </c>
      <c r="G47" s="828">
        <v>2</v>
      </c>
      <c r="H47" s="831">
        <f t="shared" ref="H47:H52" si="8">+G47*F47/1000</f>
        <v>4.4000000000000004</v>
      </c>
      <c r="I47" s="832">
        <f>HLOOKUP(D47,'[6]Bang tra'!$A$2:$L$4,3)</f>
        <v>2</v>
      </c>
      <c r="J47" s="831">
        <f t="shared" ref="J47:J52" si="9">+I47*H47</f>
        <v>8.8000000000000007</v>
      </c>
      <c r="K47" s="1375">
        <f>+ROUND(0.267*(0.37+0.933)/2,2)</f>
        <v>0.17</v>
      </c>
    </row>
    <row r="48" spans="1:11" x14ac:dyDescent="0.25">
      <c r="B48" s="1367"/>
      <c r="C48" s="833" t="s">
        <v>1390</v>
      </c>
      <c r="D48" s="834">
        <v>16</v>
      </c>
      <c r="E48" s="833" t="s">
        <v>437</v>
      </c>
      <c r="F48" s="835">
        <v>1820</v>
      </c>
      <c r="G48" s="833">
        <v>1</v>
      </c>
      <c r="H48" s="836">
        <f t="shared" si="8"/>
        <v>1.82</v>
      </c>
      <c r="I48" s="837">
        <f>HLOOKUP(D48,'[6]Bang tra'!$A$2:$L$4,3)</f>
        <v>1.58</v>
      </c>
      <c r="J48" s="836">
        <f t="shared" si="9"/>
        <v>2.8756000000000004</v>
      </c>
      <c r="K48" s="1376"/>
    </row>
    <row r="49" spans="2:12" x14ac:dyDescent="0.25">
      <c r="B49" s="1367"/>
      <c r="C49" s="833" t="s">
        <v>1391</v>
      </c>
      <c r="D49" s="834">
        <v>16</v>
      </c>
      <c r="E49" s="833" t="s">
        <v>437</v>
      </c>
      <c r="F49" s="833">
        <v>2300</v>
      </c>
      <c r="G49" s="833">
        <v>1</v>
      </c>
      <c r="H49" s="836">
        <f t="shared" si="8"/>
        <v>2.2999999999999998</v>
      </c>
      <c r="I49" s="837">
        <f>HLOOKUP(D49,'[6]Bang tra'!$A$2:$L$4,3)</f>
        <v>1.58</v>
      </c>
      <c r="J49" s="836">
        <f t="shared" si="9"/>
        <v>3.6339999999999999</v>
      </c>
      <c r="K49" s="1376"/>
    </row>
    <row r="50" spans="2:12" x14ac:dyDescent="0.25">
      <c r="B50" s="1367"/>
      <c r="C50" s="838" t="s">
        <v>1197</v>
      </c>
      <c r="D50" s="834">
        <v>18</v>
      </c>
      <c r="E50" s="833" t="s">
        <v>437</v>
      </c>
      <c r="F50" s="839">
        <v>2200</v>
      </c>
      <c r="G50" s="838">
        <v>2</v>
      </c>
      <c r="H50" s="836">
        <f t="shared" si="8"/>
        <v>4.4000000000000004</v>
      </c>
      <c r="I50" s="837">
        <f>HLOOKUP(D50,'[6]Bang tra'!$A$2:$L$4,3)</f>
        <v>2</v>
      </c>
      <c r="J50" s="836">
        <f>+I50*H50</f>
        <v>8.8000000000000007</v>
      </c>
      <c r="K50" s="1376"/>
    </row>
    <row r="51" spans="2:12" x14ac:dyDescent="0.25">
      <c r="B51" s="1367"/>
      <c r="C51" s="838" t="s">
        <v>1198</v>
      </c>
      <c r="D51" s="834">
        <v>16</v>
      </c>
      <c r="E51" s="833" t="s">
        <v>437</v>
      </c>
      <c r="F51" s="839">
        <v>565</v>
      </c>
      <c r="G51" s="838">
        <v>2</v>
      </c>
      <c r="H51" s="836">
        <f t="shared" si="8"/>
        <v>1.1299999999999999</v>
      </c>
      <c r="I51" s="837">
        <f>HLOOKUP(D51,'[6]Bang tra'!$A$2:$L$4,3)</f>
        <v>1.58</v>
      </c>
      <c r="J51" s="836">
        <f t="shared" si="9"/>
        <v>1.7853999999999999</v>
      </c>
      <c r="K51" s="1376"/>
    </row>
    <row r="52" spans="2:12" x14ac:dyDescent="0.25">
      <c r="B52" s="1367"/>
      <c r="C52" s="840" t="s">
        <v>1392</v>
      </c>
      <c r="D52" s="841">
        <v>16</v>
      </c>
      <c r="E52" s="842" t="s">
        <v>437</v>
      </c>
      <c r="F52" s="843">
        <v>690</v>
      </c>
      <c r="G52" s="840">
        <v>2</v>
      </c>
      <c r="H52" s="844">
        <f t="shared" si="8"/>
        <v>1.38</v>
      </c>
      <c r="I52" s="845">
        <f>HLOOKUP(D52,'[6]Bang tra'!$A$2:$L$4,3)</f>
        <v>1.58</v>
      </c>
      <c r="J52" s="844">
        <f t="shared" si="9"/>
        <v>2.1804000000000001</v>
      </c>
      <c r="K52" s="1376"/>
    </row>
    <row r="53" spans="2:12" x14ac:dyDescent="0.2">
      <c r="B53" s="1377" t="s">
        <v>1393</v>
      </c>
      <c r="C53" s="846" t="s">
        <v>437</v>
      </c>
      <c r="D53" s="847"/>
      <c r="E53" s="848">
        <f>+ROUND(SUMIF(E47:E52,C53,J47:J52),2)</f>
        <v>28.08</v>
      </c>
      <c r="F53" s="1380">
        <v>16</v>
      </c>
      <c r="G53" s="1380"/>
      <c r="H53" s="1380"/>
      <c r="I53" s="849">
        <f>+ROUND(SUMIF(D47:D52,F53,J47:J52),2)</f>
        <v>10.48</v>
      </c>
      <c r="J53" s="850"/>
      <c r="K53" s="1381">
        <f>+K47</f>
        <v>0.17</v>
      </c>
    </row>
    <row r="54" spans="2:12" x14ac:dyDescent="0.2">
      <c r="B54" s="1378"/>
      <c r="C54" s="851" t="s">
        <v>594</v>
      </c>
      <c r="D54" s="851"/>
      <c r="E54" s="852">
        <f>+ROUND(SUMIF(E48:E53,C54,J48:J53),2)</f>
        <v>0</v>
      </c>
      <c r="F54" s="1383">
        <v>18</v>
      </c>
      <c r="G54" s="1383"/>
      <c r="H54" s="1383"/>
      <c r="I54" s="853">
        <f>+ROUND(SUMIF(D47:D52,F54,J47:J52),2)</f>
        <v>17.600000000000001</v>
      </c>
      <c r="J54" s="854"/>
      <c r="K54" s="1382"/>
    </row>
    <row r="55" spans="2:12" x14ac:dyDescent="0.2">
      <c r="B55" s="1379"/>
      <c r="C55" s="851" t="s">
        <v>1406</v>
      </c>
      <c r="D55" s="851"/>
      <c r="E55" s="855">
        <f>+ROUND(2*0.267+0.964*(0.37+0.933)/2,2)</f>
        <v>1.1599999999999999</v>
      </c>
      <c r="F55" s="1383" t="s">
        <v>1407</v>
      </c>
      <c r="G55" s="1383"/>
      <c r="H55" s="1383"/>
      <c r="I55" s="853">
        <f>+K53</f>
        <v>0.17</v>
      </c>
      <c r="J55" s="854"/>
      <c r="K55" s="1382"/>
    </row>
    <row r="56" spans="2:12" x14ac:dyDescent="0.2">
      <c r="B56" s="1384" t="s">
        <v>1408</v>
      </c>
      <c r="C56" s="856" t="s">
        <v>437</v>
      </c>
      <c r="D56" s="857"/>
      <c r="E56" s="858">
        <f>E53*$L$56</f>
        <v>280.79999999999995</v>
      </c>
      <c r="F56" s="1387">
        <v>16</v>
      </c>
      <c r="G56" s="1387"/>
      <c r="H56" s="1387"/>
      <c r="I56" s="859">
        <f>I53*$L$56</f>
        <v>104.80000000000001</v>
      </c>
      <c r="J56" s="860"/>
      <c r="K56" s="1388">
        <f>K53*L56</f>
        <v>1.7000000000000002</v>
      </c>
      <c r="L56" s="680">
        <v>10</v>
      </c>
    </row>
    <row r="57" spans="2:12" x14ac:dyDescent="0.2">
      <c r="B57" s="1385"/>
      <c r="C57" s="861" t="s">
        <v>594</v>
      </c>
      <c r="D57" s="861"/>
      <c r="E57" s="858">
        <f t="shared" ref="E57:E58" si="10">E54*$L$56</f>
        <v>0</v>
      </c>
      <c r="F57" s="1391">
        <v>18</v>
      </c>
      <c r="G57" s="1391"/>
      <c r="H57" s="1391"/>
      <c r="I57" s="859">
        <f t="shared" ref="I57:I58" si="11">I54*$L$56</f>
        <v>176</v>
      </c>
      <c r="J57" s="862"/>
      <c r="K57" s="1389"/>
    </row>
    <row r="58" spans="2:12" ht="23.25" customHeight="1" thickBot="1" x14ac:dyDescent="0.25">
      <c r="B58" s="1386"/>
      <c r="C58" s="863" t="s">
        <v>1406</v>
      </c>
      <c r="D58" s="863"/>
      <c r="E58" s="864">
        <f t="shared" si="10"/>
        <v>11.6</v>
      </c>
      <c r="F58" s="1392" t="s">
        <v>1407</v>
      </c>
      <c r="G58" s="1392"/>
      <c r="H58" s="1392"/>
      <c r="I58" s="865">
        <f t="shared" si="11"/>
        <v>1.7000000000000002</v>
      </c>
      <c r="J58" s="866"/>
      <c r="K58" s="1390"/>
    </row>
    <row r="59" spans="2:12" ht="15" thickTop="1" x14ac:dyDescent="0.25"/>
  </sheetData>
  <mergeCells count="35">
    <mergeCell ref="B56:B58"/>
    <mergeCell ref="F56:H56"/>
    <mergeCell ref="K56:K58"/>
    <mergeCell ref="F57:H57"/>
    <mergeCell ref="F58:H58"/>
    <mergeCell ref="B47:B52"/>
    <mergeCell ref="K47:K52"/>
    <mergeCell ref="B53:B55"/>
    <mergeCell ref="F53:H53"/>
    <mergeCell ref="K53:K55"/>
    <mergeCell ref="F54:H54"/>
    <mergeCell ref="F55:H55"/>
    <mergeCell ref="B31:C31"/>
    <mergeCell ref="A40:B40"/>
    <mergeCell ref="B43:K43"/>
    <mergeCell ref="B44:B46"/>
    <mergeCell ref="C44:C46"/>
    <mergeCell ref="D44:D45"/>
    <mergeCell ref="E44:E46"/>
    <mergeCell ref="H44:H45"/>
    <mergeCell ref="J16:J17"/>
    <mergeCell ref="A11:A12"/>
    <mergeCell ref="M1:P1"/>
    <mergeCell ref="A3:A8"/>
    <mergeCell ref="B7:B8"/>
    <mergeCell ref="D7:E7"/>
    <mergeCell ref="G7:H7"/>
    <mergeCell ref="D8:E8"/>
    <mergeCell ref="G8:H8"/>
    <mergeCell ref="A1:A2"/>
    <mergeCell ref="B1:B2"/>
    <mergeCell ref="C1:C2"/>
    <mergeCell ref="D1:D2"/>
    <mergeCell ref="E1:H1"/>
    <mergeCell ref="I1:L1"/>
  </mergeCells>
  <hyperlinks>
    <hyperlink ref="J16" location="'Bảng dien giai KL hoan cong'!A1" display="Quay lai"/>
  </hyperlinks>
  <pageMargins left="0.7" right="0.7" top="0.75" bottom="0.75" header="0.3" footer="0.3"/>
  <pageSetup paperSize="25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I7" sqref="I7"/>
    </sheetView>
  </sheetViews>
  <sheetFormatPr defaultRowHeight="15" x14ac:dyDescent="0.25"/>
  <cols>
    <col min="1" max="1" width="4" style="208" bestFit="1" customWidth="1"/>
    <col min="2" max="2" width="40.140625" customWidth="1"/>
    <col min="5" max="5" width="9.85546875" bestFit="1" customWidth="1"/>
    <col min="6" max="6" width="10.5703125" customWidth="1"/>
    <col min="7" max="7" width="15.5703125" customWidth="1"/>
    <col min="257" max="257" width="4" bestFit="1" customWidth="1"/>
    <col min="258" max="258" width="40.140625" customWidth="1"/>
    <col min="261" max="261" width="9.85546875" bestFit="1" customWidth="1"/>
    <col min="262" max="262" width="10.5703125" customWidth="1"/>
    <col min="263" max="263" width="15.5703125" customWidth="1"/>
    <col min="513" max="513" width="4" bestFit="1" customWidth="1"/>
    <col min="514" max="514" width="40.140625" customWidth="1"/>
    <col min="517" max="517" width="9.85546875" bestFit="1" customWidth="1"/>
    <col min="518" max="518" width="10.5703125" customWidth="1"/>
    <col min="519" max="519" width="15.5703125" customWidth="1"/>
    <col min="769" max="769" width="4" bestFit="1" customWidth="1"/>
    <col min="770" max="770" width="40.140625" customWidth="1"/>
    <col min="773" max="773" width="9.85546875" bestFit="1" customWidth="1"/>
    <col min="774" max="774" width="10.5703125" customWidth="1"/>
    <col min="775" max="775" width="15.5703125" customWidth="1"/>
    <col min="1025" max="1025" width="4" bestFit="1" customWidth="1"/>
    <col min="1026" max="1026" width="40.140625" customWidth="1"/>
    <col min="1029" max="1029" width="9.85546875" bestFit="1" customWidth="1"/>
    <col min="1030" max="1030" width="10.5703125" customWidth="1"/>
    <col min="1031" max="1031" width="15.5703125" customWidth="1"/>
    <col min="1281" max="1281" width="4" bestFit="1" customWidth="1"/>
    <col min="1282" max="1282" width="40.140625" customWidth="1"/>
    <col min="1285" max="1285" width="9.85546875" bestFit="1" customWidth="1"/>
    <col min="1286" max="1286" width="10.5703125" customWidth="1"/>
    <col min="1287" max="1287" width="15.5703125" customWidth="1"/>
    <col min="1537" max="1537" width="4" bestFit="1" customWidth="1"/>
    <col min="1538" max="1538" width="40.140625" customWidth="1"/>
    <col min="1541" max="1541" width="9.85546875" bestFit="1" customWidth="1"/>
    <col min="1542" max="1542" width="10.5703125" customWidth="1"/>
    <col min="1543" max="1543" width="15.5703125" customWidth="1"/>
    <col min="1793" max="1793" width="4" bestFit="1" customWidth="1"/>
    <col min="1794" max="1794" width="40.140625" customWidth="1"/>
    <col min="1797" max="1797" width="9.85546875" bestFit="1" customWidth="1"/>
    <col min="1798" max="1798" width="10.5703125" customWidth="1"/>
    <col min="1799" max="1799" width="15.5703125" customWidth="1"/>
    <col min="2049" max="2049" width="4" bestFit="1" customWidth="1"/>
    <col min="2050" max="2050" width="40.140625" customWidth="1"/>
    <col min="2053" max="2053" width="9.85546875" bestFit="1" customWidth="1"/>
    <col min="2054" max="2054" width="10.5703125" customWidth="1"/>
    <col min="2055" max="2055" width="15.5703125" customWidth="1"/>
    <col min="2305" max="2305" width="4" bestFit="1" customWidth="1"/>
    <col min="2306" max="2306" width="40.140625" customWidth="1"/>
    <col min="2309" max="2309" width="9.85546875" bestFit="1" customWidth="1"/>
    <col min="2310" max="2310" width="10.5703125" customWidth="1"/>
    <col min="2311" max="2311" width="15.5703125" customWidth="1"/>
    <col min="2561" max="2561" width="4" bestFit="1" customWidth="1"/>
    <col min="2562" max="2562" width="40.140625" customWidth="1"/>
    <col min="2565" max="2565" width="9.85546875" bestFit="1" customWidth="1"/>
    <col min="2566" max="2566" width="10.5703125" customWidth="1"/>
    <col min="2567" max="2567" width="15.5703125" customWidth="1"/>
    <col min="2817" max="2817" width="4" bestFit="1" customWidth="1"/>
    <col min="2818" max="2818" width="40.140625" customWidth="1"/>
    <col min="2821" max="2821" width="9.85546875" bestFit="1" customWidth="1"/>
    <col min="2822" max="2822" width="10.5703125" customWidth="1"/>
    <col min="2823" max="2823" width="15.5703125" customWidth="1"/>
    <col min="3073" max="3073" width="4" bestFit="1" customWidth="1"/>
    <col min="3074" max="3074" width="40.140625" customWidth="1"/>
    <col min="3077" max="3077" width="9.85546875" bestFit="1" customWidth="1"/>
    <col min="3078" max="3078" width="10.5703125" customWidth="1"/>
    <col min="3079" max="3079" width="15.5703125" customWidth="1"/>
    <col min="3329" max="3329" width="4" bestFit="1" customWidth="1"/>
    <col min="3330" max="3330" width="40.140625" customWidth="1"/>
    <col min="3333" max="3333" width="9.85546875" bestFit="1" customWidth="1"/>
    <col min="3334" max="3334" width="10.5703125" customWidth="1"/>
    <col min="3335" max="3335" width="15.5703125" customWidth="1"/>
    <col min="3585" max="3585" width="4" bestFit="1" customWidth="1"/>
    <col min="3586" max="3586" width="40.140625" customWidth="1"/>
    <col min="3589" max="3589" width="9.85546875" bestFit="1" customWidth="1"/>
    <col min="3590" max="3590" width="10.5703125" customWidth="1"/>
    <col min="3591" max="3591" width="15.5703125" customWidth="1"/>
    <col min="3841" max="3841" width="4" bestFit="1" customWidth="1"/>
    <col min="3842" max="3842" width="40.140625" customWidth="1"/>
    <col min="3845" max="3845" width="9.85546875" bestFit="1" customWidth="1"/>
    <col min="3846" max="3846" width="10.5703125" customWidth="1"/>
    <col min="3847" max="3847" width="15.5703125" customWidth="1"/>
    <col min="4097" max="4097" width="4" bestFit="1" customWidth="1"/>
    <col min="4098" max="4098" width="40.140625" customWidth="1"/>
    <col min="4101" max="4101" width="9.85546875" bestFit="1" customWidth="1"/>
    <col min="4102" max="4102" width="10.5703125" customWidth="1"/>
    <col min="4103" max="4103" width="15.5703125" customWidth="1"/>
    <col min="4353" max="4353" width="4" bestFit="1" customWidth="1"/>
    <col min="4354" max="4354" width="40.140625" customWidth="1"/>
    <col min="4357" max="4357" width="9.85546875" bestFit="1" customWidth="1"/>
    <col min="4358" max="4358" width="10.5703125" customWidth="1"/>
    <col min="4359" max="4359" width="15.5703125" customWidth="1"/>
    <col min="4609" max="4609" width="4" bestFit="1" customWidth="1"/>
    <col min="4610" max="4610" width="40.140625" customWidth="1"/>
    <col min="4613" max="4613" width="9.85546875" bestFit="1" customWidth="1"/>
    <col min="4614" max="4614" width="10.5703125" customWidth="1"/>
    <col min="4615" max="4615" width="15.5703125" customWidth="1"/>
    <col min="4865" max="4865" width="4" bestFit="1" customWidth="1"/>
    <col min="4866" max="4866" width="40.140625" customWidth="1"/>
    <col min="4869" max="4869" width="9.85546875" bestFit="1" customWidth="1"/>
    <col min="4870" max="4870" width="10.5703125" customWidth="1"/>
    <col min="4871" max="4871" width="15.5703125" customWidth="1"/>
    <col min="5121" max="5121" width="4" bestFit="1" customWidth="1"/>
    <col min="5122" max="5122" width="40.140625" customWidth="1"/>
    <col min="5125" max="5125" width="9.85546875" bestFit="1" customWidth="1"/>
    <col min="5126" max="5126" width="10.5703125" customWidth="1"/>
    <col min="5127" max="5127" width="15.5703125" customWidth="1"/>
    <col min="5377" max="5377" width="4" bestFit="1" customWidth="1"/>
    <col min="5378" max="5378" width="40.140625" customWidth="1"/>
    <col min="5381" max="5381" width="9.85546875" bestFit="1" customWidth="1"/>
    <col min="5382" max="5382" width="10.5703125" customWidth="1"/>
    <col min="5383" max="5383" width="15.5703125" customWidth="1"/>
    <col min="5633" max="5633" width="4" bestFit="1" customWidth="1"/>
    <col min="5634" max="5634" width="40.140625" customWidth="1"/>
    <col min="5637" max="5637" width="9.85546875" bestFit="1" customWidth="1"/>
    <col min="5638" max="5638" width="10.5703125" customWidth="1"/>
    <col min="5639" max="5639" width="15.5703125" customWidth="1"/>
    <col min="5889" max="5889" width="4" bestFit="1" customWidth="1"/>
    <col min="5890" max="5890" width="40.140625" customWidth="1"/>
    <col min="5893" max="5893" width="9.85546875" bestFit="1" customWidth="1"/>
    <col min="5894" max="5894" width="10.5703125" customWidth="1"/>
    <col min="5895" max="5895" width="15.5703125" customWidth="1"/>
    <col min="6145" max="6145" width="4" bestFit="1" customWidth="1"/>
    <col min="6146" max="6146" width="40.140625" customWidth="1"/>
    <col min="6149" max="6149" width="9.85546875" bestFit="1" customWidth="1"/>
    <col min="6150" max="6150" width="10.5703125" customWidth="1"/>
    <col min="6151" max="6151" width="15.5703125" customWidth="1"/>
    <col min="6401" max="6401" width="4" bestFit="1" customWidth="1"/>
    <col min="6402" max="6402" width="40.140625" customWidth="1"/>
    <col min="6405" max="6405" width="9.85546875" bestFit="1" customWidth="1"/>
    <col min="6406" max="6406" width="10.5703125" customWidth="1"/>
    <col min="6407" max="6407" width="15.5703125" customWidth="1"/>
    <col min="6657" max="6657" width="4" bestFit="1" customWidth="1"/>
    <col min="6658" max="6658" width="40.140625" customWidth="1"/>
    <col min="6661" max="6661" width="9.85546875" bestFit="1" customWidth="1"/>
    <col min="6662" max="6662" width="10.5703125" customWidth="1"/>
    <col min="6663" max="6663" width="15.5703125" customWidth="1"/>
    <col min="6913" max="6913" width="4" bestFit="1" customWidth="1"/>
    <col min="6914" max="6914" width="40.140625" customWidth="1"/>
    <col min="6917" max="6917" width="9.85546875" bestFit="1" customWidth="1"/>
    <col min="6918" max="6918" width="10.5703125" customWidth="1"/>
    <col min="6919" max="6919" width="15.5703125" customWidth="1"/>
    <col min="7169" max="7169" width="4" bestFit="1" customWidth="1"/>
    <col min="7170" max="7170" width="40.140625" customWidth="1"/>
    <col min="7173" max="7173" width="9.85546875" bestFit="1" customWidth="1"/>
    <col min="7174" max="7174" width="10.5703125" customWidth="1"/>
    <col min="7175" max="7175" width="15.5703125" customWidth="1"/>
    <col min="7425" max="7425" width="4" bestFit="1" customWidth="1"/>
    <col min="7426" max="7426" width="40.140625" customWidth="1"/>
    <col min="7429" max="7429" width="9.85546875" bestFit="1" customWidth="1"/>
    <col min="7430" max="7430" width="10.5703125" customWidth="1"/>
    <col min="7431" max="7431" width="15.5703125" customWidth="1"/>
    <col min="7681" max="7681" width="4" bestFit="1" customWidth="1"/>
    <col min="7682" max="7682" width="40.140625" customWidth="1"/>
    <col min="7685" max="7685" width="9.85546875" bestFit="1" customWidth="1"/>
    <col min="7686" max="7686" width="10.5703125" customWidth="1"/>
    <col min="7687" max="7687" width="15.5703125" customWidth="1"/>
    <col min="7937" max="7937" width="4" bestFit="1" customWidth="1"/>
    <col min="7938" max="7938" width="40.140625" customWidth="1"/>
    <col min="7941" max="7941" width="9.85546875" bestFit="1" customWidth="1"/>
    <col min="7942" max="7942" width="10.5703125" customWidth="1"/>
    <col min="7943" max="7943" width="15.5703125" customWidth="1"/>
    <col min="8193" max="8193" width="4" bestFit="1" customWidth="1"/>
    <col min="8194" max="8194" width="40.140625" customWidth="1"/>
    <col min="8197" max="8197" width="9.85546875" bestFit="1" customWidth="1"/>
    <col min="8198" max="8198" width="10.5703125" customWidth="1"/>
    <col min="8199" max="8199" width="15.5703125" customWidth="1"/>
    <col min="8449" max="8449" width="4" bestFit="1" customWidth="1"/>
    <col min="8450" max="8450" width="40.140625" customWidth="1"/>
    <col min="8453" max="8453" width="9.85546875" bestFit="1" customWidth="1"/>
    <col min="8454" max="8454" width="10.5703125" customWidth="1"/>
    <col min="8455" max="8455" width="15.5703125" customWidth="1"/>
    <col min="8705" max="8705" width="4" bestFit="1" customWidth="1"/>
    <col min="8706" max="8706" width="40.140625" customWidth="1"/>
    <col min="8709" max="8709" width="9.85546875" bestFit="1" customWidth="1"/>
    <col min="8710" max="8710" width="10.5703125" customWidth="1"/>
    <col min="8711" max="8711" width="15.5703125" customWidth="1"/>
    <col min="8961" max="8961" width="4" bestFit="1" customWidth="1"/>
    <col min="8962" max="8962" width="40.140625" customWidth="1"/>
    <col min="8965" max="8965" width="9.85546875" bestFit="1" customWidth="1"/>
    <col min="8966" max="8966" width="10.5703125" customWidth="1"/>
    <col min="8967" max="8967" width="15.5703125" customWidth="1"/>
    <col min="9217" max="9217" width="4" bestFit="1" customWidth="1"/>
    <col min="9218" max="9218" width="40.140625" customWidth="1"/>
    <col min="9221" max="9221" width="9.85546875" bestFit="1" customWidth="1"/>
    <col min="9222" max="9222" width="10.5703125" customWidth="1"/>
    <col min="9223" max="9223" width="15.5703125" customWidth="1"/>
    <col min="9473" max="9473" width="4" bestFit="1" customWidth="1"/>
    <col min="9474" max="9474" width="40.140625" customWidth="1"/>
    <col min="9477" max="9477" width="9.85546875" bestFit="1" customWidth="1"/>
    <col min="9478" max="9478" width="10.5703125" customWidth="1"/>
    <col min="9479" max="9479" width="15.5703125" customWidth="1"/>
    <col min="9729" max="9729" width="4" bestFit="1" customWidth="1"/>
    <col min="9730" max="9730" width="40.140625" customWidth="1"/>
    <col min="9733" max="9733" width="9.85546875" bestFit="1" customWidth="1"/>
    <col min="9734" max="9734" width="10.5703125" customWidth="1"/>
    <col min="9735" max="9735" width="15.5703125" customWidth="1"/>
    <col min="9985" max="9985" width="4" bestFit="1" customWidth="1"/>
    <col min="9986" max="9986" width="40.140625" customWidth="1"/>
    <col min="9989" max="9989" width="9.85546875" bestFit="1" customWidth="1"/>
    <col min="9990" max="9990" width="10.5703125" customWidth="1"/>
    <col min="9991" max="9991" width="15.5703125" customWidth="1"/>
    <col min="10241" max="10241" width="4" bestFit="1" customWidth="1"/>
    <col min="10242" max="10242" width="40.140625" customWidth="1"/>
    <col min="10245" max="10245" width="9.85546875" bestFit="1" customWidth="1"/>
    <col min="10246" max="10246" width="10.5703125" customWidth="1"/>
    <col min="10247" max="10247" width="15.5703125" customWidth="1"/>
    <col min="10497" max="10497" width="4" bestFit="1" customWidth="1"/>
    <col min="10498" max="10498" width="40.140625" customWidth="1"/>
    <col min="10501" max="10501" width="9.85546875" bestFit="1" customWidth="1"/>
    <col min="10502" max="10502" width="10.5703125" customWidth="1"/>
    <col min="10503" max="10503" width="15.5703125" customWidth="1"/>
    <col min="10753" max="10753" width="4" bestFit="1" customWidth="1"/>
    <col min="10754" max="10754" width="40.140625" customWidth="1"/>
    <col min="10757" max="10757" width="9.85546875" bestFit="1" customWidth="1"/>
    <col min="10758" max="10758" width="10.5703125" customWidth="1"/>
    <col min="10759" max="10759" width="15.5703125" customWidth="1"/>
    <col min="11009" max="11009" width="4" bestFit="1" customWidth="1"/>
    <col min="11010" max="11010" width="40.140625" customWidth="1"/>
    <col min="11013" max="11013" width="9.85546875" bestFit="1" customWidth="1"/>
    <col min="11014" max="11014" width="10.5703125" customWidth="1"/>
    <col min="11015" max="11015" width="15.5703125" customWidth="1"/>
    <col min="11265" max="11265" width="4" bestFit="1" customWidth="1"/>
    <col min="11266" max="11266" width="40.140625" customWidth="1"/>
    <col min="11269" max="11269" width="9.85546875" bestFit="1" customWidth="1"/>
    <col min="11270" max="11270" width="10.5703125" customWidth="1"/>
    <col min="11271" max="11271" width="15.5703125" customWidth="1"/>
    <col min="11521" max="11521" width="4" bestFit="1" customWidth="1"/>
    <col min="11522" max="11522" width="40.140625" customWidth="1"/>
    <col min="11525" max="11525" width="9.85546875" bestFit="1" customWidth="1"/>
    <col min="11526" max="11526" width="10.5703125" customWidth="1"/>
    <col min="11527" max="11527" width="15.5703125" customWidth="1"/>
    <col min="11777" max="11777" width="4" bestFit="1" customWidth="1"/>
    <col min="11778" max="11778" width="40.140625" customWidth="1"/>
    <col min="11781" max="11781" width="9.85546875" bestFit="1" customWidth="1"/>
    <col min="11782" max="11782" width="10.5703125" customWidth="1"/>
    <col min="11783" max="11783" width="15.5703125" customWidth="1"/>
    <col min="12033" max="12033" width="4" bestFit="1" customWidth="1"/>
    <col min="12034" max="12034" width="40.140625" customWidth="1"/>
    <col min="12037" max="12037" width="9.85546875" bestFit="1" customWidth="1"/>
    <col min="12038" max="12038" width="10.5703125" customWidth="1"/>
    <col min="12039" max="12039" width="15.5703125" customWidth="1"/>
    <col min="12289" max="12289" width="4" bestFit="1" customWidth="1"/>
    <col min="12290" max="12290" width="40.140625" customWidth="1"/>
    <col min="12293" max="12293" width="9.85546875" bestFit="1" customWidth="1"/>
    <col min="12294" max="12294" width="10.5703125" customWidth="1"/>
    <col min="12295" max="12295" width="15.5703125" customWidth="1"/>
    <col min="12545" max="12545" width="4" bestFit="1" customWidth="1"/>
    <col min="12546" max="12546" width="40.140625" customWidth="1"/>
    <col min="12549" max="12549" width="9.85546875" bestFit="1" customWidth="1"/>
    <col min="12550" max="12550" width="10.5703125" customWidth="1"/>
    <col min="12551" max="12551" width="15.5703125" customWidth="1"/>
    <col min="12801" max="12801" width="4" bestFit="1" customWidth="1"/>
    <col min="12802" max="12802" width="40.140625" customWidth="1"/>
    <col min="12805" max="12805" width="9.85546875" bestFit="1" customWidth="1"/>
    <col min="12806" max="12806" width="10.5703125" customWidth="1"/>
    <col min="12807" max="12807" width="15.5703125" customWidth="1"/>
    <col min="13057" max="13057" width="4" bestFit="1" customWidth="1"/>
    <col min="13058" max="13058" width="40.140625" customWidth="1"/>
    <col min="13061" max="13061" width="9.85546875" bestFit="1" customWidth="1"/>
    <col min="13062" max="13062" width="10.5703125" customWidth="1"/>
    <col min="13063" max="13063" width="15.5703125" customWidth="1"/>
    <col min="13313" max="13313" width="4" bestFit="1" customWidth="1"/>
    <col min="13314" max="13314" width="40.140625" customWidth="1"/>
    <col min="13317" max="13317" width="9.85546875" bestFit="1" customWidth="1"/>
    <col min="13318" max="13318" width="10.5703125" customWidth="1"/>
    <col min="13319" max="13319" width="15.5703125" customWidth="1"/>
    <col min="13569" max="13569" width="4" bestFit="1" customWidth="1"/>
    <col min="13570" max="13570" width="40.140625" customWidth="1"/>
    <col min="13573" max="13573" width="9.85546875" bestFit="1" customWidth="1"/>
    <col min="13574" max="13574" width="10.5703125" customWidth="1"/>
    <col min="13575" max="13575" width="15.5703125" customWidth="1"/>
    <col min="13825" max="13825" width="4" bestFit="1" customWidth="1"/>
    <col min="13826" max="13826" width="40.140625" customWidth="1"/>
    <col min="13829" max="13829" width="9.85546875" bestFit="1" customWidth="1"/>
    <col min="13830" max="13830" width="10.5703125" customWidth="1"/>
    <col min="13831" max="13831" width="15.5703125" customWidth="1"/>
    <col min="14081" max="14081" width="4" bestFit="1" customWidth="1"/>
    <col min="14082" max="14082" width="40.140625" customWidth="1"/>
    <col min="14085" max="14085" width="9.85546875" bestFit="1" customWidth="1"/>
    <col min="14086" max="14086" width="10.5703125" customWidth="1"/>
    <col min="14087" max="14087" width="15.5703125" customWidth="1"/>
    <col min="14337" max="14337" width="4" bestFit="1" customWidth="1"/>
    <col min="14338" max="14338" width="40.140625" customWidth="1"/>
    <col min="14341" max="14341" width="9.85546875" bestFit="1" customWidth="1"/>
    <col min="14342" max="14342" width="10.5703125" customWidth="1"/>
    <col min="14343" max="14343" width="15.5703125" customWidth="1"/>
    <col min="14593" max="14593" width="4" bestFit="1" customWidth="1"/>
    <col min="14594" max="14594" width="40.140625" customWidth="1"/>
    <col min="14597" max="14597" width="9.85546875" bestFit="1" customWidth="1"/>
    <col min="14598" max="14598" width="10.5703125" customWidth="1"/>
    <col min="14599" max="14599" width="15.5703125" customWidth="1"/>
    <col min="14849" max="14849" width="4" bestFit="1" customWidth="1"/>
    <col min="14850" max="14850" width="40.140625" customWidth="1"/>
    <col min="14853" max="14853" width="9.85546875" bestFit="1" customWidth="1"/>
    <col min="14854" max="14854" width="10.5703125" customWidth="1"/>
    <col min="14855" max="14855" width="15.5703125" customWidth="1"/>
    <col min="15105" max="15105" width="4" bestFit="1" customWidth="1"/>
    <col min="15106" max="15106" width="40.140625" customWidth="1"/>
    <col min="15109" max="15109" width="9.85546875" bestFit="1" customWidth="1"/>
    <col min="15110" max="15110" width="10.5703125" customWidth="1"/>
    <col min="15111" max="15111" width="15.5703125" customWidth="1"/>
    <col min="15361" max="15361" width="4" bestFit="1" customWidth="1"/>
    <col min="15362" max="15362" width="40.140625" customWidth="1"/>
    <col min="15365" max="15365" width="9.85546875" bestFit="1" customWidth="1"/>
    <col min="15366" max="15366" width="10.5703125" customWidth="1"/>
    <col min="15367" max="15367" width="15.5703125" customWidth="1"/>
    <col min="15617" max="15617" width="4" bestFit="1" customWidth="1"/>
    <col min="15618" max="15618" width="40.140625" customWidth="1"/>
    <col min="15621" max="15621" width="9.85546875" bestFit="1" customWidth="1"/>
    <col min="15622" max="15622" width="10.5703125" customWidth="1"/>
    <col min="15623" max="15623" width="15.5703125" customWidth="1"/>
    <col min="15873" max="15873" width="4" bestFit="1" customWidth="1"/>
    <col min="15874" max="15874" width="40.140625" customWidth="1"/>
    <col min="15877" max="15877" width="9.85546875" bestFit="1" customWidth="1"/>
    <col min="15878" max="15878" width="10.5703125" customWidth="1"/>
    <col min="15879" max="15879" width="15.5703125" customWidth="1"/>
    <col min="16129" max="16129" width="4" bestFit="1" customWidth="1"/>
    <col min="16130" max="16130" width="40.140625" customWidth="1"/>
    <col min="16133" max="16133" width="9.85546875" bestFit="1" customWidth="1"/>
    <col min="16134" max="16134" width="10.5703125" customWidth="1"/>
    <col min="16135" max="16135" width="15.5703125" customWidth="1"/>
  </cols>
  <sheetData>
    <row r="1" spans="1:9" ht="32.25" customHeight="1" thickBot="1" x14ac:dyDescent="0.3">
      <c r="A1" s="732"/>
      <c r="B1" s="1393" t="s">
        <v>1212</v>
      </c>
      <c r="C1" s="1393"/>
      <c r="D1" s="1393"/>
      <c r="E1" s="1393"/>
      <c r="F1" s="1393"/>
      <c r="G1" s="1393"/>
    </row>
    <row r="2" spans="1:9" ht="39" customHeight="1" x14ac:dyDescent="0.25">
      <c r="A2" s="1035" t="s">
        <v>377</v>
      </c>
      <c r="B2" s="1124" t="s">
        <v>547</v>
      </c>
      <c r="C2" s="1125" t="s">
        <v>1213</v>
      </c>
      <c r="D2" s="1125" t="s">
        <v>1214</v>
      </c>
      <c r="E2" s="1125" t="s">
        <v>1215</v>
      </c>
      <c r="F2" s="1126" t="s">
        <v>1216</v>
      </c>
      <c r="G2" s="1127" t="s">
        <v>613</v>
      </c>
      <c r="I2" s="868" t="s">
        <v>611</v>
      </c>
    </row>
    <row r="3" spans="1:9" ht="18" customHeight="1" x14ac:dyDescent="0.25">
      <c r="A3" s="734">
        <v>1</v>
      </c>
      <c r="B3" s="397" t="s">
        <v>1217</v>
      </c>
      <c r="C3" s="393">
        <v>18</v>
      </c>
      <c r="D3" s="393">
        <f>12*2</f>
        <v>24</v>
      </c>
      <c r="E3" s="393">
        <f>48.6*2</f>
        <v>97.2</v>
      </c>
      <c r="F3" s="393">
        <f t="shared" ref="F3:F8" si="0">+ROUND(C3*D3*E3/1000,2)</f>
        <v>41.99</v>
      </c>
      <c r="G3" s="735" t="s">
        <v>606</v>
      </c>
    </row>
    <row r="4" spans="1:9" ht="18" customHeight="1" x14ac:dyDescent="0.25">
      <c r="A4" s="734">
        <f t="shared" ref="A4:A12" si="1">+A3+1</f>
        <v>2</v>
      </c>
      <c r="B4" s="397" t="s">
        <v>1218</v>
      </c>
      <c r="C4" s="393">
        <v>55</v>
      </c>
      <c r="D4" s="393">
        <v>4</v>
      </c>
      <c r="E4" s="393">
        <v>74</v>
      </c>
      <c r="F4" s="393">
        <f t="shared" si="0"/>
        <v>16.28</v>
      </c>
      <c r="G4" s="735" t="s">
        <v>1219</v>
      </c>
    </row>
    <row r="5" spans="1:9" ht="18" customHeight="1" x14ac:dyDescent="0.25">
      <c r="A5" s="734">
        <f t="shared" si="1"/>
        <v>3</v>
      </c>
      <c r="B5" s="397" t="s">
        <v>1220</v>
      </c>
      <c r="C5" s="393">
        <v>2.5</v>
      </c>
      <c r="D5" s="393">
        <f>+D3/2</f>
        <v>12</v>
      </c>
      <c r="E5" s="393">
        <f>+E4*2</f>
        <v>148</v>
      </c>
      <c r="F5" s="393">
        <f t="shared" si="0"/>
        <v>4.4400000000000004</v>
      </c>
      <c r="G5" s="735" t="s">
        <v>1221</v>
      </c>
    </row>
    <row r="6" spans="1:9" s="739" customFormat="1" ht="18" customHeight="1" x14ac:dyDescent="0.25">
      <c r="A6" s="734">
        <f t="shared" si="1"/>
        <v>4</v>
      </c>
      <c r="B6" s="736" t="s">
        <v>1222</v>
      </c>
      <c r="C6" s="737">
        <v>2</v>
      </c>
      <c r="D6" s="737">
        <f>D3</f>
        <v>24</v>
      </c>
      <c r="E6" s="737">
        <f>9.36</f>
        <v>9.36</v>
      </c>
      <c r="F6" s="737">
        <f t="shared" si="0"/>
        <v>0.45</v>
      </c>
      <c r="G6" s="738"/>
    </row>
    <row r="7" spans="1:9" ht="18" customHeight="1" x14ac:dyDescent="0.25">
      <c r="A7" s="734">
        <f t="shared" si="1"/>
        <v>5</v>
      </c>
      <c r="B7" s="397" t="s">
        <v>1223</v>
      </c>
      <c r="C7" s="393">
        <v>1.1000000000000001</v>
      </c>
      <c r="D7" s="393">
        <f>29*2</f>
        <v>58</v>
      </c>
      <c r="E7" s="381">
        <v>7.65</v>
      </c>
      <c r="F7" s="393">
        <f t="shared" si="0"/>
        <v>0.49</v>
      </c>
      <c r="G7" s="735" t="s">
        <v>1224</v>
      </c>
    </row>
    <row r="8" spans="1:9" ht="18" customHeight="1" x14ac:dyDescent="0.25">
      <c r="A8" s="734">
        <f t="shared" si="1"/>
        <v>6</v>
      </c>
      <c r="B8" s="740" t="s">
        <v>1225</v>
      </c>
      <c r="C8" s="393">
        <f>+C4</f>
        <v>55</v>
      </c>
      <c r="D8" s="380">
        <v>4</v>
      </c>
      <c r="E8" s="380">
        <f>+ROUND(PI()*(0.014^2/4)*7850,2)</f>
        <v>1.21</v>
      </c>
      <c r="F8" s="393">
        <f t="shared" si="0"/>
        <v>0.27</v>
      </c>
      <c r="G8" s="735" t="s">
        <v>1224</v>
      </c>
    </row>
    <row r="9" spans="1:9" ht="18" customHeight="1" x14ac:dyDescent="0.25">
      <c r="A9" s="734">
        <f t="shared" si="1"/>
        <v>7</v>
      </c>
      <c r="B9" s="397" t="s">
        <v>1226</v>
      </c>
      <c r="C9" s="393"/>
      <c r="D9" s="380">
        <f>+C4</f>
        <v>55</v>
      </c>
      <c r="E9" s="381">
        <f>1.5*1*0.004*7850</f>
        <v>47.1</v>
      </c>
      <c r="F9" s="393">
        <f>+ROUND(D9*E9/1000,2)</f>
        <v>2.59</v>
      </c>
      <c r="G9" s="735" t="s">
        <v>1227</v>
      </c>
    </row>
    <row r="10" spans="1:9" ht="18" customHeight="1" x14ac:dyDescent="0.25">
      <c r="A10" s="734">
        <f t="shared" si="1"/>
        <v>8</v>
      </c>
      <c r="B10" s="397" t="s">
        <v>1228</v>
      </c>
      <c r="C10" s="393"/>
      <c r="D10" s="380">
        <f>+D5*4</f>
        <v>48</v>
      </c>
      <c r="E10" s="381">
        <f>0.15*0.15*0.005*7850</f>
        <v>0.88312499999999994</v>
      </c>
      <c r="F10" s="393">
        <f>+ROUND(D10*E10/1000,2)</f>
        <v>0.04</v>
      </c>
      <c r="G10" s="735" t="s">
        <v>1229</v>
      </c>
    </row>
    <row r="11" spans="1:9" ht="18.75" customHeight="1" x14ac:dyDescent="0.25">
      <c r="A11" s="734">
        <f t="shared" si="1"/>
        <v>9</v>
      </c>
      <c r="B11" s="397" t="s">
        <v>1230</v>
      </c>
      <c r="C11" s="393"/>
      <c r="D11" s="380"/>
      <c r="E11" s="381"/>
      <c r="F11" s="393">
        <v>0.3</v>
      </c>
      <c r="G11" s="735"/>
    </row>
    <row r="12" spans="1:9" ht="18" customHeight="1" thickBot="1" x14ac:dyDescent="0.3">
      <c r="A12" s="741">
        <f t="shared" si="1"/>
        <v>10</v>
      </c>
      <c r="B12" s="742" t="s">
        <v>1231</v>
      </c>
      <c r="C12" s="743"/>
      <c r="D12" s="744"/>
      <c r="E12" s="745"/>
      <c r="F12" s="746" t="str">
        <f>D3&amp;"/"&amp;ROUND(D3*7.5,2)</f>
        <v>24/180</v>
      </c>
      <c r="G12" s="747" t="s">
        <v>1232</v>
      </c>
    </row>
    <row r="13" spans="1:9" ht="30.75" customHeight="1" thickBot="1" x14ac:dyDescent="0.3">
      <c r="A13" s="748"/>
      <c r="B13" s="1394" t="s">
        <v>1233</v>
      </c>
      <c r="C13" s="1394"/>
      <c r="D13" s="1394"/>
      <c r="E13" s="1394"/>
      <c r="F13" s="1394"/>
      <c r="G13" s="1394"/>
    </row>
    <row r="14" spans="1:9" ht="38.25" customHeight="1" x14ac:dyDescent="0.25">
      <c r="A14" s="1035" t="s">
        <v>377</v>
      </c>
      <c r="B14" s="1124" t="s">
        <v>547</v>
      </c>
      <c r="C14" s="1125" t="s">
        <v>1213</v>
      </c>
      <c r="D14" s="1125" t="s">
        <v>1214</v>
      </c>
      <c r="E14" s="1125" t="s">
        <v>1215</v>
      </c>
      <c r="F14" s="1126" t="s">
        <v>1216</v>
      </c>
      <c r="G14" s="1127" t="s">
        <v>613</v>
      </c>
    </row>
    <row r="15" spans="1:9" ht="18" customHeight="1" x14ac:dyDescent="0.25">
      <c r="A15" s="734">
        <v>1</v>
      </c>
      <c r="B15" s="397" t="s">
        <v>1234</v>
      </c>
      <c r="C15" s="393">
        <v>18</v>
      </c>
      <c r="D15" s="393">
        <f>12*2</f>
        <v>24</v>
      </c>
      <c r="E15" s="393">
        <f>48.6*2</f>
        <v>97.2</v>
      </c>
      <c r="F15" s="393">
        <f t="shared" ref="F15:F20" si="2">+ROUND(C15*D15*E15/1000,2)</f>
        <v>41.99</v>
      </c>
      <c r="G15" s="735" t="s">
        <v>606</v>
      </c>
    </row>
    <row r="16" spans="1:9" ht="18" customHeight="1" x14ac:dyDescent="0.25">
      <c r="A16" s="734">
        <f t="shared" ref="A16:A24" si="3">+A15+1</f>
        <v>2</v>
      </c>
      <c r="B16" s="397" t="s">
        <v>1218</v>
      </c>
      <c r="C16" s="393">
        <v>55</v>
      </c>
      <c r="D16" s="393">
        <v>4</v>
      </c>
      <c r="E16" s="393">
        <v>74</v>
      </c>
      <c r="F16" s="393">
        <f t="shared" si="2"/>
        <v>16.28</v>
      </c>
      <c r="G16" s="735" t="s">
        <v>1219</v>
      </c>
    </row>
    <row r="17" spans="1:7" ht="18" customHeight="1" x14ac:dyDescent="0.25">
      <c r="A17" s="734">
        <f t="shared" si="3"/>
        <v>3</v>
      </c>
      <c r="B17" s="397" t="s">
        <v>1220</v>
      </c>
      <c r="C17" s="393">
        <v>2.5</v>
      </c>
      <c r="D17" s="393">
        <f>+D15/2</f>
        <v>12</v>
      </c>
      <c r="E17" s="393">
        <f>+E16*2</f>
        <v>148</v>
      </c>
      <c r="F17" s="393">
        <f t="shared" si="2"/>
        <v>4.4400000000000004</v>
      </c>
      <c r="G17" s="735" t="s">
        <v>1221</v>
      </c>
    </row>
    <row r="18" spans="1:7" ht="18" customHeight="1" x14ac:dyDescent="0.25">
      <c r="A18" s="734">
        <f t="shared" si="3"/>
        <v>4</v>
      </c>
      <c r="B18" s="397" t="s">
        <v>1222</v>
      </c>
      <c r="C18" s="393">
        <v>2</v>
      </c>
      <c r="D18" s="393">
        <f>D15</f>
        <v>24</v>
      </c>
      <c r="E18" s="393">
        <f>9.36</f>
        <v>9.36</v>
      </c>
      <c r="F18" s="393">
        <f t="shared" si="2"/>
        <v>0.45</v>
      </c>
      <c r="G18" s="735"/>
    </row>
    <row r="19" spans="1:7" ht="18" customHeight="1" x14ac:dyDescent="0.25">
      <c r="A19" s="734">
        <f t="shared" si="3"/>
        <v>5</v>
      </c>
      <c r="B19" s="397" t="s">
        <v>1223</v>
      </c>
      <c r="C19" s="393">
        <v>1.1000000000000001</v>
      </c>
      <c r="D19" s="393">
        <f>29*2</f>
        <v>58</v>
      </c>
      <c r="E19" s="381">
        <v>7.65</v>
      </c>
      <c r="F19" s="393">
        <f t="shared" si="2"/>
        <v>0.49</v>
      </c>
      <c r="G19" s="735" t="s">
        <v>1224</v>
      </c>
    </row>
    <row r="20" spans="1:7" s="492" customFormat="1" ht="18" customHeight="1" x14ac:dyDescent="0.25">
      <c r="A20" s="734">
        <f t="shared" si="3"/>
        <v>6</v>
      </c>
      <c r="B20" s="740" t="s">
        <v>1225</v>
      </c>
      <c r="C20" s="393">
        <f>+C16</f>
        <v>55</v>
      </c>
      <c r="D20" s="380">
        <v>4</v>
      </c>
      <c r="E20" s="380">
        <f>+ROUND(PI()*(0.014^2/4)*7850,2)</f>
        <v>1.21</v>
      </c>
      <c r="F20" s="393">
        <f t="shared" si="2"/>
        <v>0.27</v>
      </c>
      <c r="G20" s="735" t="s">
        <v>1224</v>
      </c>
    </row>
    <row r="21" spans="1:7" ht="18" customHeight="1" x14ac:dyDescent="0.25">
      <c r="A21" s="734">
        <f t="shared" si="3"/>
        <v>7</v>
      </c>
      <c r="B21" s="397" t="s">
        <v>1226</v>
      </c>
      <c r="C21" s="393"/>
      <c r="D21" s="380">
        <f>+C16</f>
        <v>55</v>
      </c>
      <c r="E21" s="381">
        <f>1.5*1*0.004*7850</f>
        <v>47.1</v>
      </c>
      <c r="F21" s="393">
        <f>+ROUND(D21*E21/1000,2)</f>
        <v>2.59</v>
      </c>
      <c r="G21" s="735" t="s">
        <v>1227</v>
      </c>
    </row>
    <row r="22" spans="1:7" ht="18" customHeight="1" x14ac:dyDescent="0.25">
      <c r="A22" s="734">
        <f t="shared" si="3"/>
        <v>8</v>
      </c>
      <c r="B22" s="397" t="s">
        <v>1228</v>
      </c>
      <c r="C22" s="393"/>
      <c r="D22" s="380">
        <f>+D17*4</f>
        <v>48</v>
      </c>
      <c r="E22" s="381">
        <f>0.15*0.15*0.005*7850</f>
        <v>0.88312499999999994</v>
      </c>
      <c r="F22" s="393">
        <f>+ROUND(D22*E22/1000,2)</f>
        <v>0.04</v>
      </c>
      <c r="G22" s="735" t="s">
        <v>1229</v>
      </c>
    </row>
    <row r="23" spans="1:7" ht="18" customHeight="1" x14ac:dyDescent="0.25">
      <c r="A23" s="734">
        <f t="shared" si="3"/>
        <v>9</v>
      </c>
      <c r="B23" s="397" t="s">
        <v>1230</v>
      </c>
      <c r="C23" s="393"/>
      <c r="D23" s="380"/>
      <c r="E23" s="381"/>
      <c r="F23" s="393">
        <v>0.3</v>
      </c>
      <c r="G23" s="735"/>
    </row>
    <row r="24" spans="1:7" ht="18" customHeight="1" thickBot="1" x14ac:dyDescent="0.3">
      <c r="A24" s="741">
        <f t="shared" si="3"/>
        <v>10</v>
      </c>
      <c r="B24" s="742" t="s">
        <v>1231</v>
      </c>
      <c r="C24" s="743"/>
      <c r="D24" s="744"/>
      <c r="E24" s="745"/>
      <c r="F24" s="746" t="str">
        <f>D15&amp;"/"&amp;ROUND(D15*7,2)</f>
        <v>24/168</v>
      </c>
      <c r="G24" s="747" t="s">
        <v>1232</v>
      </c>
    </row>
    <row r="25" spans="1:7" ht="13.5" customHeight="1" x14ac:dyDescent="0.25">
      <c r="A25" s="749"/>
      <c r="B25" s="750"/>
      <c r="C25" s="750"/>
      <c r="D25" s="750"/>
      <c r="E25" s="750"/>
      <c r="F25" s="749"/>
    </row>
    <row r="26" spans="1:7" ht="13.5" customHeight="1" x14ac:dyDescent="0.25">
      <c r="A26" s="749"/>
      <c r="B26" s="750"/>
      <c r="C26" s="750"/>
      <c r="D26" s="750"/>
      <c r="E26" s="750"/>
      <c r="F26" s="749"/>
    </row>
    <row r="27" spans="1:7" ht="13.5" customHeight="1" x14ac:dyDescent="0.25">
      <c r="A27" s="749"/>
      <c r="B27" s="750"/>
      <c r="C27" s="750"/>
      <c r="D27" s="750"/>
      <c r="E27" s="750"/>
      <c r="F27" s="749"/>
    </row>
    <row r="28" spans="1:7" x14ac:dyDescent="0.25">
      <c r="A28" s="749"/>
      <c r="B28" s="750"/>
      <c r="C28" s="750"/>
      <c r="D28" s="750"/>
      <c r="E28" s="750"/>
      <c r="F28" s="749"/>
    </row>
    <row r="29" spans="1:7" x14ac:dyDescent="0.25">
      <c r="A29" s="749"/>
      <c r="B29" s="750"/>
      <c r="C29" s="750"/>
      <c r="D29" s="750"/>
      <c r="E29" s="750"/>
      <c r="F29" s="749"/>
    </row>
    <row r="30" spans="1:7" x14ac:dyDescent="0.25">
      <c r="A30" s="749">
        <v>9</v>
      </c>
      <c r="B30" s="750" t="s">
        <v>1235</v>
      </c>
      <c r="C30" s="750">
        <v>1</v>
      </c>
      <c r="D30" s="750">
        <f>+(15*2+11*2)</f>
        <v>52</v>
      </c>
      <c r="E30" s="750">
        <v>11.87</v>
      </c>
      <c r="F30" s="749" t="e">
        <f>+ROUND(#REF!*E30/1000,2)</f>
        <v>#REF!</v>
      </c>
    </row>
    <row r="31" spans="1:7" x14ac:dyDescent="0.25">
      <c r="A31" s="751"/>
      <c r="B31" s="750" t="s">
        <v>674</v>
      </c>
      <c r="C31" s="750"/>
      <c r="D31" s="750"/>
      <c r="E31" s="750"/>
      <c r="F31" s="752">
        <f>+SUM(F3:F17)</f>
        <v>129.56</v>
      </c>
    </row>
    <row r="32" spans="1:7" x14ac:dyDescent="0.25">
      <c r="A32" s="732"/>
      <c r="B32" s="750"/>
      <c r="C32" s="750"/>
      <c r="D32" s="750"/>
      <c r="E32" s="750"/>
    </row>
    <row r="33" spans="2:5" x14ac:dyDescent="0.25">
      <c r="B33" s="753"/>
      <c r="C33" s="753"/>
      <c r="D33" s="753"/>
      <c r="E33" s="753"/>
    </row>
    <row r="34" spans="2:5" x14ac:dyDescent="0.25">
      <c r="B34" s="753"/>
      <c r="C34" s="753"/>
      <c r="D34" s="753"/>
      <c r="E34" s="753"/>
    </row>
  </sheetData>
  <mergeCells count="2">
    <mergeCell ref="B1:G1"/>
    <mergeCell ref="B13:G13"/>
  </mergeCells>
  <hyperlinks>
    <hyperlink ref="I2" location="'Bảng dien giai KL hoan cong'!A1" display="Quay lai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38"/>
  <sheetViews>
    <sheetView topLeftCell="A25" workbookViewId="0">
      <selection activeCell="N19" sqref="N19"/>
    </sheetView>
  </sheetViews>
  <sheetFormatPr defaultRowHeight="14.25" x14ac:dyDescent="0.2"/>
  <cols>
    <col min="1" max="2" width="9.140625" style="755"/>
    <col min="3" max="3" width="9.140625" style="754"/>
    <col min="4" max="4" width="26.42578125" style="755" bestFit="1" customWidth="1"/>
    <col min="5" max="5" width="10.42578125" style="754" bestFit="1" customWidth="1"/>
    <col min="6" max="6" width="9.7109375" style="754" bestFit="1" customWidth="1"/>
    <col min="7" max="7" width="9.140625" style="754"/>
    <col min="8" max="8" width="13.28515625" style="754" bestFit="1" customWidth="1"/>
    <col min="9" max="9" width="14.42578125" style="754" customWidth="1"/>
    <col min="10" max="10" width="13" style="754" customWidth="1"/>
    <col min="11" max="13" width="9.140625" style="755"/>
    <col min="14" max="14" width="31.140625" style="755" customWidth="1"/>
    <col min="15" max="16384" width="9.140625" style="755"/>
  </cols>
  <sheetData>
    <row r="2" spans="3:17" ht="15" thickBot="1" x14ac:dyDescent="0.25"/>
    <row r="3" spans="3:17" x14ac:dyDescent="0.2">
      <c r="C3" s="813" t="s">
        <v>377</v>
      </c>
      <c r="D3" s="814" t="s">
        <v>548</v>
      </c>
      <c r="E3" s="1402" t="s">
        <v>1236</v>
      </c>
      <c r="F3" s="1406" t="s">
        <v>1237</v>
      </c>
      <c r="G3" s="1402" t="s">
        <v>552</v>
      </c>
      <c r="H3" s="1406" t="s">
        <v>1238</v>
      </c>
      <c r="I3" s="1406" t="s">
        <v>1239</v>
      </c>
      <c r="J3" s="1408" t="s">
        <v>1240</v>
      </c>
      <c r="M3" s="1400" t="s">
        <v>377</v>
      </c>
      <c r="N3" s="1402" t="s">
        <v>383</v>
      </c>
      <c r="O3" s="1402" t="s">
        <v>1261</v>
      </c>
      <c r="P3" s="1404" t="s">
        <v>1262</v>
      </c>
      <c r="Q3" s="1405"/>
    </row>
    <row r="4" spans="3:17" ht="29.25" customHeight="1" x14ac:dyDescent="0.3">
      <c r="C4" s="815" t="s">
        <v>1241</v>
      </c>
      <c r="D4" s="816"/>
      <c r="E4" s="1403"/>
      <c r="F4" s="1407"/>
      <c r="G4" s="1403"/>
      <c r="H4" s="1407"/>
      <c r="I4" s="1407"/>
      <c r="J4" s="1409"/>
      <c r="M4" s="1401"/>
      <c r="N4" s="1403"/>
      <c r="O4" s="1403"/>
      <c r="P4" s="766" t="s">
        <v>1210</v>
      </c>
      <c r="Q4" s="767" t="s">
        <v>1263</v>
      </c>
    </row>
    <row r="5" spans="3:17" x14ac:dyDescent="0.2">
      <c r="C5" s="756">
        <v>1</v>
      </c>
      <c r="D5" s="757" t="s">
        <v>1242</v>
      </c>
      <c r="E5" s="758" t="s">
        <v>893</v>
      </c>
      <c r="F5" s="758">
        <v>12000</v>
      </c>
      <c r="G5" s="758">
        <v>2</v>
      </c>
      <c r="H5" s="758">
        <f>ROUND(3*12*0.006*7850,2)</f>
        <v>1695.6</v>
      </c>
      <c r="I5" s="758">
        <f>ROUND(G5*H5,2)</f>
        <v>3391.2</v>
      </c>
      <c r="J5" s="759">
        <f>+I5</f>
        <v>3391.2</v>
      </c>
      <c r="M5" s="756">
        <v>1</v>
      </c>
      <c r="N5" s="757" t="s">
        <v>1264</v>
      </c>
      <c r="O5" s="758" t="s">
        <v>40</v>
      </c>
      <c r="P5" s="758" t="str">
        <f>12&amp;"/"&amp;4*(33.64-0.49)+8*(34-4.78)</f>
        <v>12/366,36</v>
      </c>
      <c r="Q5" s="758" t="str">
        <f>12&amp;"/"&amp;4*(33.64-0.52)+8*(34-5.58)</f>
        <v>12/359,84</v>
      </c>
    </row>
    <row r="6" spans="3:17" x14ac:dyDescent="0.2">
      <c r="C6" s="756">
        <f>C5+1</f>
        <v>2</v>
      </c>
      <c r="D6" s="757" t="s">
        <v>1243</v>
      </c>
      <c r="E6" s="758" t="s">
        <v>585</v>
      </c>
      <c r="F6" s="758">
        <v>12000</v>
      </c>
      <c r="G6" s="758">
        <v>2</v>
      </c>
      <c r="H6" s="758">
        <v>14.2</v>
      </c>
      <c r="I6" s="758">
        <f>ROUND(F6/1000*G6*H6,2)</f>
        <v>340.8</v>
      </c>
      <c r="J6" s="759">
        <f t="shared" ref="J6:J34" si="0">+I6</f>
        <v>340.8</v>
      </c>
      <c r="M6" s="756">
        <v>2</v>
      </c>
      <c r="N6" s="757" t="s">
        <v>1265</v>
      </c>
      <c r="O6" s="758" t="s">
        <v>116</v>
      </c>
      <c r="P6" s="758">
        <f>(J32-J29)/1000</f>
        <v>13.858350000000005</v>
      </c>
      <c r="Q6" s="759">
        <f>P6</f>
        <v>13.858350000000005</v>
      </c>
    </row>
    <row r="7" spans="3:17" x14ac:dyDescent="0.2">
      <c r="C7" s="756">
        <f t="shared" ref="C7:C15" si="1">C6+1</f>
        <v>3</v>
      </c>
      <c r="D7" s="757" t="s">
        <v>1244</v>
      </c>
      <c r="E7" s="758" t="s">
        <v>585</v>
      </c>
      <c r="F7" s="758">
        <v>3000</v>
      </c>
      <c r="G7" s="758">
        <v>2</v>
      </c>
      <c r="H7" s="758">
        <v>48.6</v>
      </c>
      <c r="I7" s="758">
        <f t="shared" ref="I7:I29" si="2">ROUND(F7/1000*G7*H7,2)</f>
        <v>291.60000000000002</v>
      </c>
      <c r="J7" s="759">
        <f t="shared" si="0"/>
        <v>291.60000000000002</v>
      </c>
      <c r="M7" s="756">
        <v>3</v>
      </c>
      <c r="N7" s="757" t="s">
        <v>1266</v>
      </c>
      <c r="O7" s="758" t="s">
        <v>1267</v>
      </c>
      <c r="P7" s="758">
        <v>2</v>
      </c>
      <c r="Q7" s="759">
        <v>2</v>
      </c>
    </row>
    <row r="8" spans="3:17" x14ac:dyDescent="0.2">
      <c r="C8" s="756">
        <f t="shared" si="1"/>
        <v>4</v>
      </c>
      <c r="D8" s="757" t="s">
        <v>1244</v>
      </c>
      <c r="E8" s="758" t="s">
        <v>585</v>
      </c>
      <c r="F8" s="758">
        <v>12000</v>
      </c>
      <c r="G8" s="758">
        <v>12</v>
      </c>
      <c r="H8" s="758">
        <f>H7</f>
        <v>48.6</v>
      </c>
      <c r="I8" s="758">
        <f t="shared" si="2"/>
        <v>6998.4</v>
      </c>
      <c r="J8" s="759">
        <f t="shared" si="0"/>
        <v>6998.4</v>
      </c>
      <c r="M8" s="756" t="s">
        <v>720</v>
      </c>
      <c r="N8" s="757" t="s">
        <v>1268</v>
      </c>
      <c r="O8" s="758" t="s">
        <v>10</v>
      </c>
      <c r="P8" s="758">
        <v>10</v>
      </c>
      <c r="Q8" s="759">
        <v>10</v>
      </c>
    </row>
    <row r="9" spans="3:17" x14ac:dyDescent="0.2">
      <c r="C9" s="756">
        <f t="shared" si="1"/>
        <v>5</v>
      </c>
      <c r="D9" s="757" t="s">
        <v>1243</v>
      </c>
      <c r="E9" s="758" t="s">
        <v>585</v>
      </c>
      <c r="F9" s="758">
        <v>550</v>
      </c>
      <c r="G9" s="758">
        <f>10*6</f>
        <v>60</v>
      </c>
      <c r="H9" s="758">
        <f>H6</f>
        <v>14.2</v>
      </c>
      <c r="I9" s="758">
        <f t="shared" si="2"/>
        <v>468.6</v>
      </c>
      <c r="J9" s="759">
        <f t="shared" si="0"/>
        <v>468.6</v>
      </c>
      <c r="M9" s="756" t="s">
        <v>720</v>
      </c>
      <c r="N9" s="757" t="s">
        <v>1269</v>
      </c>
      <c r="O9" s="758" t="s">
        <v>10</v>
      </c>
      <c r="P9" s="758">
        <v>2</v>
      </c>
      <c r="Q9" s="759">
        <v>2</v>
      </c>
    </row>
    <row r="10" spans="3:17" ht="15" thickBot="1" x14ac:dyDescent="0.25">
      <c r="C10" s="756">
        <f t="shared" si="1"/>
        <v>6</v>
      </c>
      <c r="D10" s="757" t="s">
        <v>1245</v>
      </c>
      <c r="E10" s="758" t="s">
        <v>893</v>
      </c>
      <c r="F10" s="758">
        <f>335</f>
        <v>335</v>
      </c>
      <c r="G10" s="758">
        <f>G8*6</f>
        <v>72</v>
      </c>
      <c r="H10" s="758">
        <f>ROUND(0.06*0.335*0.01*7850,2)</f>
        <v>1.58</v>
      </c>
      <c r="I10" s="758">
        <f t="shared" si="2"/>
        <v>38.11</v>
      </c>
      <c r="J10" s="759">
        <f t="shared" si="0"/>
        <v>38.11</v>
      </c>
      <c r="M10" s="765" t="s">
        <v>720</v>
      </c>
      <c r="N10" s="762" t="s">
        <v>1270</v>
      </c>
      <c r="O10" s="763" t="s">
        <v>10</v>
      </c>
      <c r="P10" s="763">
        <v>10</v>
      </c>
      <c r="Q10" s="764">
        <v>10</v>
      </c>
    </row>
    <row r="11" spans="3:17" x14ac:dyDescent="0.2">
      <c r="C11" s="756">
        <f t="shared" si="1"/>
        <v>7</v>
      </c>
      <c r="D11" s="757" t="s">
        <v>1246</v>
      </c>
      <c r="E11" s="758" t="s">
        <v>585</v>
      </c>
      <c r="F11" s="758">
        <v>8000</v>
      </c>
      <c r="G11" s="758">
        <v>2</v>
      </c>
      <c r="H11" s="758">
        <f>H8*2</f>
        <v>97.2</v>
      </c>
      <c r="I11" s="758">
        <f t="shared" si="2"/>
        <v>1555.2</v>
      </c>
      <c r="J11" s="759">
        <f t="shared" si="0"/>
        <v>1555.2</v>
      </c>
    </row>
    <row r="12" spans="3:17" x14ac:dyDescent="0.2">
      <c r="C12" s="756">
        <f t="shared" si="1"/>
        <v>8</v>
      </c>
      <c r="D12" s="757" t="s">
        <v>1247</v>
      </c>
      <c r="E12" s="758" t="s">
        <v>893</v>
      </c>
      <c r="F12" s="758">
        <v>300</v>
      </c>
      <c r="G12" s="758">
        <f>4*2</f>
        <v>8</v>
      </c>
      <c r="H12" s="758">
        <f>ROUND(0.25*0.3*0.01*7850,2)</f>
        <v>5.89</v>
      </c>
      <c r="I12" s="758">
        <f t="shared" si="2"/>
        <v>14.14</v>
      </c>
      <c r="J12" s="759">
        <f t="shared" si="0"/>
        <v>14.14</v>
      </c>
    </row>
    <row r="13" spans="3:17" x14ac:dyDescent="0.2">
      <c r="C13" s="756">
        <f t="shared" si="1"/>
        <v>9</v>
      </c>
      <c r="D13" s="757" t="s">
        <v>1248</v>
      </c>
      <c r="E13" s="758" t="s">
        <v>585</v>
      </c>
      <c r="F13" s="758">
        <v>2100</v>
      </c>
      <c r="G13" s="758">
        <f>2*5</f>
        <v>10</v>
      </c>
      <c r="H13" s="758">
        <v>7.96</v>
      </c>
      <c r="I13" s="758">
        <f t="shared" si="2"/>
        <v>167.16</v>
      </c>
      <c r="J13" s="759">
        <f t="shared" si="0"/>
        <v>167.16</v>
      </c>
    </row>
    <row r="14" spans="3:17" x14ac:dyDescent="0.2">
      <c r="C14" s="756">
        <f t="shared" si="1"/>
        <v>10</v>
      </c>
      <c r="D14" s="757" t="s">
        <v>1243</v>
      </c>
      <c r="E14" s="758" t="s">
        <v>585</v>
      </c>
      <c r="F14" s="758">
        <v>1180</v>
      </c>
      <c r="G14" s="758">
        <f>1*6</f>
        <v>6</v>
      </c>
      <c r="H14" s="758">
        <f>H6</f>
        <v>14.2</v>
      </c>
      <c r="I14" s="758">
        <f t="shared" si="2"/>
        <v>100.54</v>
      </c>
      <c r="J14" s="759">
        <f t="shared" si="0"/>
        <v>100.54</v>
      </c>
    </row>
    <row r="15" spans="3:17" x14ac:dyDescent="0.2">
      <c r="C15" s="756">
        <f t="shared" si="1"/>
        <v>11</v>
      </c>
      <c r="D15" s="757" t="s">
        <v>1249</v>
      </c>
      <c r="E15" s="758" t="s">
        <v>893</v>
      </c>
      <c r="F15" s="758">
        <v>350</v>
      </c>
      <c r="G15" s="758">
        <f>G13*2</f>
        <v>20</v>
      </c>
      <c r="H15" s="758">
        <f>ROUND(0.14*0.4*0.01*7850,2)</f>
        <v>4.4000000000000004</v>
      </c>
      <c r="I15" s="758">
        <f t="shared" si="2"/>
        <v>30.8</v>
      </c>
      <c r="J15" s="759">
        <f t="shared" si="0"/>
        <v>30.8</v>
      </c>
    </row>
    <row r="16" spans="3:17" ht="17.25" x14ac:dyDescent="0.3">
      <c r="C16" s="1395" t="s">
        <v>1250</v>
      </c>
      <c r="D16" s="1396"/>
      <c r="E16" s="1396"/>
      <c r="F16" s="1396"/>
      <c r="G16" s="1396"/>
      <c r="H16" s="1396"/>
      <c r="I16" s="1396"/>
      <c r="J16" s="759">
        <f t="shared" si="0"/>
        <v>0</v>
      </c>
    </row>
    <row r="17" spans="3:12" ht="15.95" customHeight="1" x14ac:dyDescent="0.3">
      <c r="C17" s="756">
        <f>C15+1</f>
        <v>12</v>
      </c>
      <c r="D17" s="757" t="s">
        <v>1251</v>
      </c>
      <c r="E17" s="758" t="s">
        <v>893</v>
      </c>
      <c r="F17" s="760">
        <v>500</v>
      </c>
      <c r="G17" s="760">
        <f>4*2</f>
        <v>8</v>
      </c>
      <c r="H17" s="758">
        <f>ROUND(0.285*0.5*0.02*7850,2)</f>
        <v>22.37</v>
      </c>
      <c r="I17" s="758">
        <f t="shared" si="2"/>
        <v>89.48</v>
      </c>
      <c r="J17" s="759">
        <f t="shared" si="0"/>
        <v>89.48</v>
      </c>
    </row>
    <row r="18" spans="3:12" ht="15.95" customHeight="1" x14ac:dyDescent="0.3">
      <c r="C18" s="756">
        <f t="shared" ref="C18:C25" si="3">+C17+1</f>
        <v>13</v>
      </c>
      <c r="D18" s="757" t="s">
        <v>1252</v>
      </c>
      <c r="E18" s="758" t="s">
        <v>893</v>
      </c>
      <c r="F18" s="760">
        <v>500</v>
      </c>
      <c r="G18" s="760">
        <v>282</v>
      </c>
      <c r="H18" s="758">
        <f>ROUND(0.3*0.5*0.02*7850,2)</f>
        <v>23.55</v>
      </c>
      <c r="I18" s="758">
        <f t="shared" si="2"/>
        <v>3320.55</v>
      </c>
      <c r="J18" s="759">
        <f t="shared" si="0"/>
        <v>3320.55</v>
      </c>
    </row>
    <row r="19" spans="3:12" ht="15.95" customHeight="1" x14ac:dyDescent="0.3">
      <c r="C19" s="756">
        <f t="shared" si="3"/>
        <v>14</v>
      </c>
      <c r="D19" s="757" t="s">
        <v>1253</v>
      </c>
      <c r="E19" s="758" t="s">
        <v>893</v>
      </c>
      <c r="F19" s="760">
        <f>400</f>
        <v>400</v>
      </c>
      <c r="G19" s="760">
        <f>4*4*2+4*2</f>
        <v>40</v>
      </c>
      <c r="H19" s="758">
        <f>ROUND(0.3*0.4*0.01*7850,2)</f>
        <v>9.42</v>
      </c>
      <c r="I19" s="758">
        <f t="shared" si="2"/>
        <v>150.72</v>
      </c>
      <c r="J19" s="759">
        <f t="shared" si="0"/>
        <v>150.72</v>
      </c>
    </row>
    <row r="20" spans="3:12" ht="15.95" customHeight="1" x14ac:dyDescent="0.3">
      <c r="C20" s="756">
        <f t="shared" si="3"/>
        <v>15</v>
      </c>
      <c r="D20" s="757" t="s">
        <v>1254</v>
      </c>
      <c r="E20" s="758" t="s">
        <v>893</v>
      </c>
      <c r="F20" s="760">
        <f>400</f>
        <v>400</v>
      </c>
      <c r="G20" s="760">
        <f>2*4*4</f>
        <v>32</v>
      </c>
      <c r="H20" s="758">
        <f>ROUND(0.36*0.4*0.01*7850,2)</f>
        <v>11.3</v>
      </c>
      <c r="I20" s="758">
        <f t="shared" si="2"/>
        <v>144.63999999999999</v>
      </c>
      <c r="J20" s="759">
        <f t="shared" si="0"/>
        <v>144.63999999999999</v>
      </c>
    </row>
    <row r="21" spans="3:12" ht="15.95" customHeight="1" x14ac:dyDescent="0.3">
      <c r="C21" s="756">
        <f t="shared" si="3"/>
        <v>16</v>
      </c>
      <c r="D21" s="757" t="s">
        <v>1248</v>
      </c>
      <c r="E21" s="758" t="s">
        <v>585</v>
      </c>
      <c r="F21" s="760">
        <v>1200</v>
      </c>
      <c r="G21" s="760">
        <f>4*4</f>
        <v>16</v>
      </c>
      <c r="H21" s="760">
        <f>H13</f>
        <v>7.96</v>
      </c>
      <c r="I21" s="758">
        <f t="shared" si="2"/>
        <v>152.83000000000001</v>
      </c>
      <c r="J21" s="759">
        <f t="shared" si="0"/>
        <v>152.83000000000001</v>
      </c>
    </row>
    <row r="22" spans="3:12" ht="15.95" customHeight="1" x14ac:dyDescent="0.3">
      <c r="C22" s="756">
        <f t="shared" si="3"/>
        <v>17</v>
      </c>
      <c r="D22" s="757" t="s">
        <v>1248</v>
      </c>
      <c r="E22" s="758" t="s">
        <v>585</v>
      </c>
      <c r="F22" s="760">
        <v>2400</v>
      </c>
      <c r="G22" s="760">
        <f>4*4*2</f>
        <v>32</v>
      </c>
      <c r="H22" s="760">
        <f>H14</f>
        <v>14.2</v>
      </c>
      <c r="I22" s="758">
        <f t="shared" si="2"/>
        <v>1090.56</v>
      </c>
      <c r="J22" s="759">
        <f t="shared" si="0"/>
        <v>1090.56</v>
      </c>
    </row>
    <row r="23" spans="3:12" ht="15.95" customHeight="1" x14ac:dyDescent="0.3">
      <c r="C23" s="756">
        <f t="shared" si="3"/>
        <v>18</v>
      </c>
      <c r="D23" s="757" t="s">
        <v>1248</v>
      </c>
      <c r="E23" s="758" t="s">
        <v>585</v>
      </c>
      <c r="F23" s="760">
        <v>2455</v>
      </c>
      <c r="G23" s="760">
        <f>3*4*2</f>
        <v>24</v>
      </c>
      <c r="H23" s="760">
        <f>H15</f>
        <v>4.4000000000000004</v>
      </c>
      <c r="I23" s="758">
        <f t="shared" si="2"/>
        <v>259.25</v>
      </c>
      <c r="J23" s="759">
        <f t="shared" si="0"/>
        <v>259.25</v>
      </c>
    </row>
    <row r="24" spans="3:12" ht="15.95" customHeight="1" x14ac:dyDescent="0.3">
      <c r="C24" s="756">
        <f t="shared" si="3"/>
        <v>19</v>
      </c>
      <c r="D24" s="757" t="s">
        <v>1248</v>
      </c>
      <c r="E24" s="758" t="s">
        <v>585</v>
      </c>
      <c r="F24" s="760">
        <v>1510</v>
      </c>
      <c r="G24" s="760">
        <f>3*4</f>
        <v>12</v>
      </c>
      <c r="H24" s="760">
        <f>H16</f>
        <v>0</v>
      </c>
      <c r="I24" s="758">
        <f t="shared" si="2"/>
        <v>0</v>
      </c>
      <c r="J24" s="759">
        <f t="shared" si="0"/>
        <v>0</v>
      </c>
    </row>
    <row r="25" spans="3:12" ht="15.95" customHeight="1" x14ac:dyDescent="0.3">
      <c r="C25" s="756">
        <f t="shared" si="3"/>
        <v>20</v>
      </c>
      <c r="D25" s="757" t="s">
        <v>1255</v>
      </c>
      <c r="E25" s="758" t="s">
        <v>585</v>
      </c>
      <c r="F25" s="760">
        <v>3970</v>
      </c>
      <c r="G25" s="760">
        <v>4</v>
      </c>
      <c r="H25" s="760">
        <f>31.8*2</f>
        <v>63.6</v>
      </c>
      <c r="I25" s="758">
        <f t="shared" si="2"/>
        <v>1009.97</v>
      </c>
      <c r="J25" s="759">
        <f t="shared" si="0"/>
        <v>1009.97</v>
      </c>
    </row>
    <row r="26" spans="3:12" ht="15.95" customHeight="1" x14ac:dyDescent="0.3">
      <c r="C26" s="756">
        <f>+C25+1</f>
        <v>21</v>
      </c>
      <c r="D26" s="757" t="s">
        <v>1255</v>
      </c>
      <c r="E26" s="758" t="s">
        <v>585</v>
      </c>
      <c r="F26" s="760">
        <v>3150</v>
      </c>
      <c r="G26" s="760">
        <v>4</v>
      </c>
      <c r="H26" s="760">
        <f>31.8*2</f>
        <v>63.6</v>
      </c>
      <c r="I26" s="758">
        <f t="shared" si="2"/>
        <v>801.36</v>
      </c>
      <c r="J26" s="759">
        <f t="shared" si="0"/>
        <v>801.36</v>
      </c>
    </row>
    <row r="27" spans="3:12" ht="15.95" customHeight="1" x14ac:dyDescent="0.3">
      <c r="C27" s="756">
        <f>C26+1</f>
        <v>22</v>
      </c>
      <c r="D27" s="757" t="s">
        <v>1246</v>
      </c>
      <c r="E27" s="758" t="s">
        <v>585</v>
      </c>
      <c r="F27" s="758">
        <v>1600</v>
      </c>
      <c r="G27" s="758">
        <v>4</v>
      </c>
      <c r="H27" s="760">
        <f>H7*2</f>
        <v>97.2</v>
      </c>
      <c r="I27" s="758">
        <f t="shared" si="2"/>
        <v>622.08000000000004</v>
      </c>
      <c r="J27" s="759">
        <f t="shared" si="0"/>
        <v>622.08000000000004</v>
      </c>
    </row>
    <row r="28" spans="3:12" ht="15.95" customHeight="1" x14ac:dyDescent="0.2">
      <c r="C28" s="756">
        <v>8</v>
      </c>
      <c r="D28" s="757" t="s">
        <v>1247</v>
      </c>
      <c r="E28" s="758" t="s">
        <v>893</v>
      </c>
      <c r="F28" s="758">
        <v>300</v>
      </c>
      <c r="G28" s="758">
        <f>4*2</f>
        <v>8</v>
      </c>
      <c r="H28" s="758">
        <f>ROUND(0.25*0.3*0.01*7850,2)</f>
        <v>5.89</v>
      </c>
      <c r="I28" s="758">
        <f t="shared" si="2"/>
        <v>14.14</v>
      </c>
      <c r="J28" s="759">
        <f t="shared" si="0"/>
        <v>14.14</v>
      </c>
    </row>
    <row r="29" spans="3:12" ht="15.95" customHeight="1" x14ac:dyDescent="0.3">
      <c r="C29" s="756">
        <f>C27+1</f>
        <v>23</v>
      </c>
      <c r="D29" s="757" t="s">
        <v>1256</v>
      </c>
      <c r="E29" s="758" t="s">
        <v>585</v>
      </c>
      <c r="F29" s="758">
        <v>36000</v>
      </c>
      <c r="G29" s="758">
        <f>12</f>
        <v>12</v>
      </c>
      <c r="H29" s="760">
        <f>H27</f>
        <v>97.2</v>
      </c>
      <c r="I29" s="758">
        <f t="shared" si="2"/>
        <v>41990.400000000001</v>
      </c>
      <c r="J29" s="759">
        <f t="shared" si="0"/>
        <v>41990.400000000001</v>
      </c>
    </row>
    <row r="30" spans="3:12" ht="15.95" customHeight="1" x14ac:dyDescent="0.3">
      <c r="C30" s="756"/>
      <c r="D30" s="757" t="s">
        <v>1257</v>
      </c>
      <c r="E30" s="758" t="s">
        <v>10</v>
      </c>
      <c r="F30" s="758">
        <v>7500</v>
      </c>
      <c r="G30" s="758">
        <v>1</v>
      </c>
      <c r="H30" s="760">
        <v>2.2999999999999998</v>
      </c>
      <c r="I30" s="760">
        <f>7.2*2.3</f>
        <v>16.559999999999999</v>
      </c>
      <c r="J30" s="759">
        <f>+I30</f>
        <v>16.559999999999999</v>
      </c>
    </row>
    <row r="31" spans="3:12" ht="15.95" customHeight="1" x14ac:dyDescent="0.3">
      <c r="C31" s="756"/>
      <c r="D31" s="757" t="s">
        <v>1258</v>
      </c>
      <c r="E31" s="758" t="s">
        <v>10</v>
      </c>
      <c r="F31" s="758">
        <v>1500</v>
      </c>
      <c r="G31" s="761">
        <f>5*2+5+7</f>
        <v>22</v>
      </c>
      <c r="H31" s="760">
        <v>1.5</v>
      </c>
      <c r="I31" s="761">
        <f>+H31*G31</f>
        <v>33</v>
      </c>
      <c r="J31" s="759">
        <f>+I31</f>
        <v>33</v>
      </c>
      <c r="L31" s="758">
        <f>3*2+5+7</f>
        <v>18</v>
      </c>
    </row>
    <row r="32" spans="3:12" ht="15.95" customHeight="1" x14ac:dyDescent="0.2">
      <c r="C32" s="1397" t="s">
        <v>1259</v>
      </c>
      <c r="D32" s="757" t="s">
        <v>739</v>
      </c>
      <c r="E32" s="758" t="s">
        <v>659</v>
      </c>
      <c r="F32" s="758"/>
      <c r="G32" s="758"/>
      <c r="H32" s="758"/>
      <c r="I32" s="758">
        <f>SUMIF($E$6:$E$15,E6,$I$6:$I$15)+SUMIF($E$17:$E$29,E21,$I$17:$I$29)</f>
        <v>55848.750000000007</v>
      </c>
      <c r="J32" s="759">
        <f t="shared" si="0"/>
        <v>55848.750000000007</v>
      </c>
    </row>
    <row r="33" spans="3:10" x14ac:dyDescent="0.2">
      <c r="C33" s="1398"/>
      <c r="D33" s="757" t="s">
        <v>50</v>
      </c>
      <c r="E33" s="758" t="s">
        <v>659</v>
      </c>
      <c r="F33" s="758"/>
      <c r="G33" s="758"/>
      <c r="H33" s="758"/>
      <c r="I33" s="758">
        <f>SUMIF($E$6:$E$15,E28,$I$6:$I$15)+SUMIF($E$17:$E$29,E28,$I$17:$I$29)</f>
        <v>3802.58</v>
      </c>
      <c r="J33" s="759">
        <f t="shared" si="0"/>
        <v>3802.58</v>
      </c>
    </row>
    <row r="34" spans="3:10" x14ac:dyDescent="0.2">
      <c r="C34" s="1398"/>
      <c r="D34" s="757" t="s">
        <v>1260</v>
      </c>
      <c r="E34" s="758" t="s">
        <v>659</v>
      </c>
      <c r="F34" s="758"/>
      <c r="G34" s="758"/>
      <c r="H34" s="758"/>
      <c r="I34" s="758">
        <f>I5</f>
        <v>3391.2</v>
      </c>
      <c r="J34" s="759">
        <f t="shared" si="0"/>
        <v>3391.2</v>
      </c>
    </row>
    <row r="35" spans="3:10" x14ac:dyDescent="0.2">
      <c r="C35" s="1398"/>
      <c r="D35" s="757" t="s">
        <v>1257</v>
      </c>
      <c r="E35" s="758" t="s">
        <v>10</v>
      </c>
      <c r="F35" s="758"/>
      <c r="G35" s="758"/>
      <c r="H35" s="758"/>
      <c r="I35" s="758">
        <f>I30</f>
        <v>16.559999999999999</v>
      </c>
      <c r="J35" s="759">
        <f>J30</f>
        <v>16.559999999999999</v>
      </c>
    </row>
    <row r="36" spans="3:10" ht="15" thickBot="1" x14ac:dyDescent="0.25">
      <c r="C36" s="1399"/>
      <c r="D36" s="762" t="s">
        <v>1258</v>
      </c>
      <c r="E36" s="763" t="s">
        <v>10</v>
      </c>
      <c r="F36" s="763"/>
      <c r="G36" s="763"/>
      <c r="H36" s="763"/>
      <c r="I36" s="763">
        <f>I31</f>
        <v>33</v>
      </c>
      <c r="J36" s="764">
        <f>J31</f>
        <v>33</v>
      </c>
    </row>
    <row r="37" spans="3:10" x14ac:dyDescent="0.2">
      <c r="I37" s="754">
        <f>I32-I29</f>
        <v>13858.350000000006</v>
      </c>
    </row>
    <row r="38" spans="3:10" x14ac:dyDescent="0.2">
      <c r="I38" s="812">
        <f>SUM(I5:I15)+SUM(I17:I29)-I29</f>
        <v>21052.130000000005</v>
      </c>
    </row>
  </sheetData>
  <mergeCells count="12">
    <mergeCell ref="P3:Q3"/>
    <mergeCell ref="E3:E4"/>
    <mergeCell ref="F3:F4"/>
    <mergeCell ref="G3:G4"/>
    <mergeCell ref="H3:H4"/>
    <mergeCell ref="I3:I4"/>
    <mergeCell ref="J3:J4"/>
    <mergeCell ref="C16:I16"/>
    <mergeCell ref="C32:C36"/>
    <mergeCell ref="M3:M4"/>
    <mergeCell ref="N3:N4"/>
    <mergeCell ref="O3:O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21"/>
  <sheetViews>
    <sheetView topLeftCell="A2" workbookViewId="0">
      <selection activeCell="C16" sqref="C16"/>
    </sheetView>
  </sheetViews>
  <sheetFormatPr defaultRowHeight="15" x14ac:dyDescent="0.2"/>
  <cols>
    <col min="1" max="1" width="9.140625" style="768"/>
    <col min="2" max="2" width="4.5703125" style="768" bestFit="1" customWidth="1"/>
    <col min="3" max="3" width="44.5703125" style="768" customWidth="1"/>
    <col min="4" max="4" width="8.42578125" style="768" bestFit="1" customWidth="1"/>
    <col min="5" max="5" width="12.5703125" style="769" customWidth="1"/>
    <col min="6" max="6" width="11.5703125" style="768" customWidth="1"/>
    <col min="7" max="257" width="9.140625" style="768"/>
    <col min="258" max="258" width="4.5703125" style="768" bestFit="1" customWidth="1"/>
    <col min="259" max="259" width="44.5703125" style="768" customWidth="1"/>
    <col min="260" max="260" width="8.42578125" style="768" bestFit="1" customWidth="1"/>
    <col min="261" max="261" width="10.7109375" style="768" bestFit="1" customWidth="1"/>
    <col min="262" max="513" width="9.140625" style="768"/>
    <col min="514" max="514" width="4.5703125" style="768" bestFit="1" customWidth="1"/>
    <col min="515" max="515" width="44.5703125" style="768" customWidth="1"/>
    <col min="516" max="516" width="8.42578125" style="768" bestFit="1" customWidth="1"/>
    <col min="517" max="517" width="10.7109375" style="768" bestFit="1" customWidth="1"/>
    <col min="518" max="769" width="9.140625" style="768"/>
    <col min="770" max="770" width="4.5703125" style="768" bestFit="1" customWidth="1"/>
    <col min="771" max="771" width="44.5703125" style="768" customWidth="1"/>
    <col min="772" max="772" width="8.42578125" style="768" bestFit="1" customWidth="1"/>
    <col min="773" max="773" width="10.7109375" style="768" bestFit="1" customWidth="1"/>
    <col min="774" max="1025" width="9.140625" style="768"/>
    <col min="1026" max="1026" width="4.5703125" style="768" bestFit="1" customWidth="1"/>
    <col min="1027" max="1027" width="44.5703125" style="768" customWidth="1"/>
    <col min="1028" max="1028" width="8.42578125" style="768" bestFit="1" customWidth="1"/>
    <col min="1029" max="1029" width="10.7109375" style="768" bestFit="1" customWidth="1"/>
    <col min="1030" max="1281" width="9.140625" style="768"/>
    <col min="1282" max="1282" width="4.5703125" style="768" bestFit="1" customWidth="1"/>
    <col min="1283" max="1283" width="44.5703125" style="768" customWidth="1"/>
    <col min="1284" max="1284" width="8.42578125" style="768" bestFit="1" customWidth="1"/>
    <col min="1285" max="1285" width="10.7109375" style="768" bestFit="1" customWidth="1"/>
    <col min="1286" max="1537" width="9.140625" style="768"/>
    <col min="1538" max="1538" width="4.5703125" style="768" bestFit="1" customWidth="1"/>
    <col min="1539" max="1539" width="44.5703125" style="768" customWidth="1"/>
    <col min="1540" max="1540" width="8.42578125" style="768" bestFit="1" customWidth="1"/>
    <col min="1541" max="1541" width="10.7109375" style="768" bestFit="1" customWidth="1"/>
    <col min="1542" max="1793" width="9.140625" style="768"/>
    <col min="1794" max="1794" width="4.5703125" style="768" bestFit="1" customWidth="1"/>
    <col min="1795" max="1795" width="44.5703125" style="768" customWidth="1"/>
    <col min="1796" max="1796" width="8.42578125" style="768" bestFit="1" customWidth="1"/>
    <col min="1797" max="1797" width="10.7109375" style="768" bestFit="1" customWidth="1"/>
    <col min="1798" max="2049" width="9.140625" style="768"/>
    <col min="2050" max="2050" width="4.5703125" style="768" bestFit="1" customWidth="1"/>
    <col min="2051" max="2051" width="44.5703125" style="768" customWidth="1"/>
    <col min="2052" max="2052" width="8.42578125" style="768" bestFit="1" customWidth="1"/>
    <col min="2053" max="2053" width="10.7109375" style="768" bestFit="1" customWidth="1"/>
    <col min="2054" max="2305" width="9.140625" style="768"/>
    <col min="2306" max="2306" width="4.5703125" style="768" bestFit="1" customWidth="1"/>
    <col min="2307" max="2307" width="44.5703125" style="768" customWidth="1"/>
    <col min="2308" max="2308" width="8.42578125" style="768" bestFit="1" customWidth="1"/>
    <col min="2309" max="2309" width="10.7109375" style="768" bestFit="1" customWidth="1"/>
    <col min="2310" max="2561" width="9.140625" style="768"/>
    <col min="2562" max="2562" width="4.5703125" style="768" bestFit="1" customWidth="1"/>
    <col min="2563" max="2563" width="44.5703125" style="768" customWidth="1"/>
    <col min="2564" max="2564" width="8.42578125" style="768" bestFit="1" customWidth="1"/>
    <col min="2565" max="2565" width="10.7109375" style="768" bestFit="1" customWidth="1"/>
    <col min="2566" max="2817" width="9.140625" style="768"/>
    <col min="2818" max="2818" width="4.5703125" style="768" bestFit="1" customWidth="1"/>
    <col min="2819" max="2819" width="44.5703125" style="768" customWidth="1"/>
    <col min="2820" max="2820" width="8.42578125" style="768" bestFit="1" customWidth="1"/>
    <col min="2821" max="2821" width="10.7109375" style="768" bestFit="1" customWidth="1"/>
    <col min="2822" max="3073" width="9.140625" style="768"/>
    <col min="3074" max="3074" width="4.5703125" style="768" bestFit="1" customWidth="1"/>
    <col min="3075" max="3075" width="44.5703125" style="768" customWidth="1"/>
    <col min="3076" max="3076" width="8.42578125" style="768" bestFit="1" customWidth="1"/>
    <col min="3077" max="3077" width="10.7109375" style="768" bestFit="1" customWidth="1"/>
    <col min="3078" max="3329" width="9.140625" style="768"/>
    <col min="3330" max="3330" width="4.5703125" style="768" bestFit="1" customWidth="1"/>
    <col min="3331" max="3331" width="44.5703125" style="768" customWidth="1"/>
    <col min="3332" max="3332" width="8.42578125" style="768" bestFit="1" customWidth="1"/>
    <col min="3333" max="3333" width="10.7109375" style="768" bestFit="1" customWidth="1"/>
    <col min="3334" max="3585" width="9.140625" style="768"/>
    <col min="3586" max="3586" width="4.5703125" style="768" bestFit="1" customWidth="1"/>
    <col min="3587" max="3587" width="44.5703125" style="768" customWidth="1"/>
    <col min="3588" max="3588" width="8.42578125" style="768" bestFit="1" customWidth="1"/>
    <col min="3589" max="3589" width="10.7109375" style="768" bestFit="1" customWidth="1"/>
    <col min="3590" max="3841" width="9.140625" style="768"/>
    <col min="3842" max="3842" width="4.5703125" style="768" bestFit="1" customWidth="1"/>
    <col min="3843" max="3843" width="44.5703125" style="768" customWidth="1"/>
    <col min="3844" max="3844" width="8.42578125" style="768" bestFit="1" customWidth="1"/>
    <col min="3845" max="3845" width="10.7109375" style="768" bestFit="1" customWidth="1"/>
    <col min="3846" max="4097" width="9.140625" style="768"/>
    <col min="4098" max="4098" width="4.5703125" style="768" bestFit="1" customWidth="1"/>
    <col min="4099" max="4099" width="44.5703125" style="768" customWidth="1"/>
    <col min="4100" max="4100" width="8.42578125" style="768" bestFit="1" customWidth="1"/>
    <col min="4101" max="4101" width="10.7109375" style="768" bestFit="1" customWidth="1"/>
    <col min="4102" max="4353" width="9.140625" style="768"/>
    <col min="4354" max="4354" width="4.5703125" style="768" bestFit="1" customWidth="1"/>
    <col min="4355" max="4355" width="44.5703125" style="768" customWidth="1"/>
    <col min="4356" max="4356" width="8.42578125" style="768" bestFit="1" customWidth="1"/>
    <col min="4357" max="4357" width="10.7109375" style="768" bestFit="1" customWidth="1"/>
    <col min="4358" max="4609" width="9.140625" style="768"/>
    <col min="4610" max="4610" width="4.5703125" style="768" bestFit="1" customWidth="1"/>
    <col min="4611" max="4611" width="44.5703125" style="768" customWidth="1"/>
    <col min="4612" max="4612" width="8.42578125" style="768" bestFit="1" customWidth="1"/>
    <col min="4613" max="4613" width="10.7109375" style="768" bestFit="1" customWidth="1"/>
    <col min="4614" max="4865" width="9.140625" style="768"/>
    <col min="4866" max="4866" width="4.5703125" style="768" bestFit="1" customWidth="1"/>
    <col min="4867" max="4867" width="44.5703125" style="768" customWidth="1"/>
    <col min="4868" max="4868" width="8.42578125" style="768" bestFit="1" customWidth="1"/>
    <col min="4869" max="4869" width="10.7109375" style="768" bestFit="1" customWidth="1"/>
    <col min="4870" max="5121" width="9.140625" style="768"/>
    <col min="5122" max="5122" width="4.5703125" style="768" bestFit="1" customWidth="1"/>
    <col min="5123" max="5123" width="44.5703125" style="768" customWidth="1"/>
    <col min="5124" max="5124" width="8.42578125" style="768" bestFit="1" customWidth="1"/>
    <col min="5125" max="5125" width="10.7109375" style="768" bestFit="1" customWidth="1"/>
    <col min="5126" max="5377" width="9.140625" style="768"/>
    <col min="5378" max="5378" width="4.5703125" style="768" bestFit="1" customWidth="1"/>
    <col min="5379" max="5379" width="44.5703125" style="768" customWidth="1"/>
    <col min="5380" max="5380" width="8.42578125" style="768" bestFit="1" customWidth="1"/>
    <col min="5381" max="5381" width="10.7109375" style="768" bestFit="1" customWidth="1"/>
    <col min="5382" max="5633" width="9.140625" style="768"/>
    <col min="5634" max="5634" width="4.5703125" style="768" bestFit="1" customWidth="1"/>
    <col min="5635" max="5635" width="44.5703125" style="768" customWidth="1"/>
    <col min="5636" max="5636" width="8.42578125" style="768" bestFit="1" customWidth="1"/>
    <col min="5637" max="5637" width="10.7109375" style="768" bestFit="1" customWidth="1"/>
    <col min="5638" max="5889" width="9.140625" style="768"/>
    <col min="5890" max="5890" width="4.5703125" style="768" bestFit="1" customWidth="1"/>
    <col min="5891" max="5891" width="44.5703125" style="768" customWidth="1"/>
    <col min="5892" max="5892" width="8.42578125" style="768" bestFit="1" customWidth="1"/>
    <col min="5893" max="5893" width="10.7109375" style="768" bestFit="1" customWidth="1"/>
    <col min="5894" max="6145" width="9.140625" style="768"/>
    <col min="6146" max="6146" width="4.5703125" style="768" bestFit="1" customWidth="1"/>
    <col min="6147" max="6147" width="44.5703125" style="768" customWidth="1"/>
    <col min="6148" max="6148" width="8.42578125" style="768" bestFit="1" customWidth="1"/>
    <col min="6149" max="6149" width="10.7109375" style="768" bestFit="1" customWidth="1"/>
    <col min="6150" max="6401" width="9.140625" style="768"/>
    <col min="6402" max="6402" width="4.5703125" style="768" bestFit="1" customWidth="1"/>
    <col min="6403" max="6403" width="44.5703125" style="768" customWidth="1"/>
    <col min="6404" max="6404" width="8.42578125" style="768" bestFit="1" customWidth="1"/>
    <col min="6405" max="6405" width="10.7109375" style="768" bestFit="1" customWidth="1"/>
    <col min="6406" max="6657" width="9.140625" style="768"/>
    <col min="6658" max="6658" width="4.5703125" style="768" bestFit="1" customWidth="1"/>
    <col min="6659" max="6659" width="44.5703125" style="768" customWidth="1"/>
    <col min="6660" max="6660" width="8.42578125" style="768" bestFit="1" customWidth="1"/>
    <col min="6661" max="6661" width="10.7109375" style="768" bestFit="1" customWidth="1"/>
    <col min="6662" max="6913" width="9.140625" style="768"/>
    <col min="6914" max="6914" width="4.5703125" style="768" bestFit="1" customWidth="1"/>
    <col min="6915" max="6915" width="44.5703125" style="768" customWidth="1"/>
    <col min="6916" max="6916" width="8.42578125" style="768" bestFit="1" customWidth="1"/>
    <col min="6917" max="6917" width="10.7109375" style="768" bestFit="1" customWidth="1"/>
    <col min="6918" max="7169" width="9.140625" style="768"/>
    <col min="7170" max="7170" width="4.5703125" style="768" bestFit="1" customWidth="1"/>
    <col min="7171" max="7171" width="44.5703125" style="768" customWidth="1"/>
    <col min="7172" max="7172" width="8.42578125" style="768" bestFit="1" customWidth="1"/>
    <col min="7173" max="7173" width="10.7109375" style="768" bestFit="1" customWidth="1"/>
    <col min="7174" max="7425" width="9.140625" style="768"/>
    <col min="7426" max="7426" width="4.5703125" style="768" bestFit="1" customWidth="1"/>
    <col min="7427" max="7427" width="44.5703125" style="768" customWidth="1"/>
    <col min="7428" max="7428" width="8.42578125" style="768" bestFit="1" customWidth="1"/>
    <col min="7429" max="7429" width="10.7109375" style="768" bestFit="1" customWidth="1"/>
    <col min="7430" max="7681" width="9.140625" style="768"/>
    <col min="7682" max="7682" width="4.5703125" style="768" bestFit="1" customWidth="1"/>
    <col min="7683" max="7683" width="44.5703125" style="768" customWidth="1"/>
    <col min="7684" max="7684" width="8.42578125" style="768" bestFit="1" customWidth="1"/>
    <col min="7685" max="7685" width="10.7109375" style="768" bestFit="1" customWidth="1"/>
    <col min="7686" max="7937" width="9.140625" style="768"/>
    <col min="7938" max="7938" width="4.5703125" style="768" bestFit="1" customWidth="1"/>
    <col min="7939" max="7939" width="44.5703125" style="768" customWidth="1"/>
    <col min="7940" max="7940" width="8.42578125" style="768" bestFit="1" customWidth="1"/>
    <col min="7941" max="7941" width="10.7109375" style="768" bestFit="1" customWidth="1"/>
    <col min="7942" max="8193" width="9.140625" style="768"/>
    <col min="8194" max="8194" width="4.5703125" style="768" bestFit="1" customWidth="1"/>
    <col min="8195" max="8195" width="44.5703125" style="768" customWidth="1"/>
    <col min="8196" max="8196" width="8.42578125" style="768" bestFit="1" customWidth="1"/>
    <col min="8197" max="8197" width="10.7109375" style="768" bestFit="1" customWidth="1"/>
    <col min="8198" max="8449" width="9.140625" style="768"/>
    <col min="8450" max="8450" width="4.5703125" style="768" bestFit="1" customWidth="1"/>
    <col min="8451" max="8451" width="44.5703125" style="768" customWidth="1"/>
    <col min="8452" max="8452" width="8.42578125" style="768" bestFit="1" customWidth="1"/>
    <col min="8453" max="8453" width="10.7109375" style="768" bestFit="1" customWidth="1"/>
    <col min="8454" max="8705" width="9.140625" style="768"/>
    <col min="8706" max="8706" width="4.5703125" style="768" bestFit="1" customWidth="1"/>
    <col min="8707" max="8707" width="44.5703125" style="768" customWidth="1"/>
    <col min="8708" max="8708" width="8.42578125" style="768" bestFit="1" customWidth="1"/>
    <col min="8709" max="8709" width="10.7109375" style="768" bestFit="1" customWidth="1"/>
    <col min="8710" max="8961" width="9.140625" style="768"/>
    <col min="8962" max="8962" width="4.5703125" style="768" bestFit="1" customWidth="1"/>
    <col min="8963" max="8963" width="44.5703125" style="768" customWidth="1"/>
    <col min="8964" max="8964" width="8.42578125" style="768" bestFit="1" customWidth="1"/>
    <col min="8965" max="8965" width="10.7109375" style="768" bestFit="1" customWidth="1"/>
    <col min="8966" max="9217" width="9.140625" style="768"/>
    <col min="9218" max="9218" width="4.5703125" style="768" bestFit="1" customWidth="1"/>
    <col min="9219" max="9219" width="44.5703125" style="768" customWidth="1"/>
    <col min="9220" max="9220" width="8.42578125" style="768" bestFit="1" customWidth="1"/>
    <col min="9221" max="9221" width="10.7109375" style="768" bestFit="1" customWidth="1"/>
    <col min="9222" max="9473" width="9.140625" style="768"/>
    <col min="9474" max="9474" width="4.5703125" style="768" bestFit="1" customWidth="1"/>
    <col min="9475" max="9475" width="44.5703125" style="768" customWidth="1"/>
    <col min="9476" max="9476" width="8.42578125" style="768" bestFit="1" customWidth="1"/>
    <col min="9477" max="9477" width="10.7109375" style="768" bestFit="1" customWidth="1"/>
    <col min="9478" max="9729" width="9.140625" style="768"/>
    <col min="9730" max="9730" width="4.5703125" style="768" bestFit="1" customWidth="1"/>
    <col min="9731" max="9731" width="44.5703125" style="768" customWidth="1"/>
    <col min="9732" max="9732" width="8.42578125" style="768" bestFit="1" customWidth="1"/>
    <col min="9733" max="9733" width="10.7109375" style="768" bestFit="1" customWidth="1"/>
    <col min="9734" max="9985" width="9.140625" style="768"/>
    <col min="9986" max="9986" width="4.5703125" style="768" bestFit="1" customWidth="1"/>
    <col min="9987" max="9987" width="44.5703125" style="768" customWidth="1"/>
    <col min="9988" max="9988" width="8.42578125" style="768" bestFit="1" customWidth="1"/>
    <col min="9989" max="9989" width="10.7109375" style="768" bestFit="1" customWidth="1"/>
    <col min="9990" max="10241" width="9.140625" style="768"/>
    <col min="10242" max="10242" width="4.5703125" style="768" bestFit="1" customWidth="1"/>
    <col min="10243" max="10243" width="44.5703125" style="768" customWidth="1"/>
    <col min="10244" max="10244" width="8.42578125" style="768" bestFit="1" customWidth="1"/>
    <col min="10245" max="10245" width="10.7109375" style="768" bestFit="1" customWidth="1"/>
    <col min="10246" max="10497" width="9.140625" style="768"/>
    <col min="10498" max="10498" width="4.5703125" style="768" bestFit="1" customWidth="1"/>
    <col min="10499" max="10499" width="44.5703125" style="768" customWidth="1"/>
    <col min="10500" max="10500" width="8.42578125" style="768" bestFit="1" customWidth="1"/>
    <col min="10501" max="10501" width="10.7109375" style="768" bestFit="1" customWidth="1"/>
    <col min="10502" max="10753" width="9.140625" style="768"/>
    <col min="10754" max="10754" width="4.5703125" style="768" bestFit="1" customWidth="1"/>
    <col min="10755" max="10755" width="44.5703125" style="768" customWidth="1"/>
    <col min="10756" max="10756" width="8.42578125" style="768" bestFit="1" customWidth="1"/>
    <col min="10757" max="10757" width="10.7109375" style="768" bestFit="1" customWidth="1"/>
    <col min="10758" max="11009" width="9.140625" style="768"/>
    <col min="11010" max="11010" width="4.5703125" style="768" bestFit="1" customWidth="1"/>
    <col min="11011" max="11011" width="44.5703125" style="768" customWidth="1"/>
    <col min="11012" max="11012" width="8.42578125" style="768" bestFit="1" customWidth="1"/>
    <col min="11013" max="11013" width="10.7109375" style="768" bestFit="1" customWidth="1"/>
    <col min="11014" max="11265" width="9.140625" style="768"/>
    <col min="11266" max="11266" width="4.5703125" style="768" bestFit="1" customWidth="1"/>
    <col min="11267" max="11267" width="44.5703125" style="768" customWidth="1"/>
    <col min="11268" max="11268" width="8.42578125" style="768" bestFit="1" customWidth="1"/>
    <col min="11269" max="11269" width="10.7109375" style="768" bestFit="1" customWidth="1"/>
    <col min="11270" max="11521" width="9.140625" style="768"/>
    <col min="11522" max="11522" width="4.5703125" style="768" bestFit="1" customWidth="1"/>
    <col min="11523" max="11523" width="44.5703125" style="768" customWidth="1"/>
    <col min="11524" max="11524" width="8.42578125" style="768" bestFit="1" customWidth="1"/>
    <col min="11525" max="11525" width="10.7109375" style="768" bestFit="1" customWidth="1"/>
    <col min="11526" max="11777" width="9.140625" style="768"/>
    <col min="11778" max="11778" width="4.5703125" style="768" bestFit="1" customWidth="1"/>
    <col min="11779" max="11779" width="44.5703125" style="768" customWidth="1"/>
    <col min="11780" max="11780" width="8.42578125" style="768" bestFit="1" customWidth="1"/>
    <col min="11781" max="11781" width="10.7109375" style="768" bestFit="1" customWidth="1"/>
    <col min="11782" max="12033" width="9.140625" style="768"/>
    <col min="12034" max="12034" width="4.5703125" style="768" bestFit="1" customWidth="1"/>
    <col min="12035" max="12035" width="44.5703125" style="768" customWidth="1"/>
    <col min="12036" max="12036" width="8.42578125" style="768" bestFit="1" customWidth="1"/>
    <col min="12037" max="12037" width="10.7109375" style="768" bestFit="1" customWidth="1"/>
    <col min="12038" max="12289" width="9.140625" style="768"/>
    <col min="12290" max="12290" width="4.5703125" style="768" bestFit="1" customWidth="1"/>
    <col min="12291" max="12291" width="44.5703125" style="768" customWidth="1"/>
    <col min="12292" max="12292" width="8.42578125" style="768" bestFit="1" customWidth="1"/>
    <col min="12293" max="12293" width="10.7109375" style="768" bestFit="1" customWidth="1"/>
    <col min="12294" max="12545" width="9.140625" style="768"/>
    <col min="12546" max="12546" width="4.5703125" style="768" bestFit="1" customWidth="1"/>
    <col min="12547" max="12547" width="44.5703125" style="768" customWidth="1"/>
    <col min="12548" max="12548" width="8.42578125" style="768" bestFit="1" customWidth="1"/>
    <col min="12549" max="12549" width="10.7109375" style="768" bestFit="1" customWidth="1"/>
    <col min="12550" max="12801" width="9.140625" style="768"/>
    <col min="12802" max="12802" width="4.5703125" style="768" bestFit="1" customWidth="1"/>
    <col min="12803" max="12803" width="44.5703125" style="768" customWidth="1"/>
    <col min="12804" max="12804" width="8.42578125" style="768" bestFit="1" customWidth="1"/>
    <col min="12805" max="12805" width="10.7109375" style="768" bestFit="1" customWidth="1"/>
    <col min="12806" max="13057" width="9.140625" style="768"/>
    <col min="13058" max="13058" width="4.5703125" style="768" bestFit="1" customWidth="1"/>
    <col min="13059" max="13059" width="44.5703125" style="768" customWidth="1"/>
    <col min="13060" max="13060" width="8.42578125" style="768" bestFit="1" customWidth="1"/>
    <col min="13061" max="13061" width="10.7109375" style="768" bestFit="1" customWidth="1"/>
    <col min="13062" max="13313" width="9.140625" style="768"/>
    <col min="13314" max="13314" width="4.5703125" style="768" bestFit="1" customWidth="1"/>
    <col min="13315" max="13315" width="44.5703125" style="768" customWidth="1"/>
    <col min="13316" max="13316" width="8.42578125" style="768" bestFit="1" customWidth="1"/>
    <col min="13317" max="13317" width="10.7109375" style="768" bestFit="1" customWidth="1"/>
    <col min="13318" max="13569" width="9.140625" style="768"/>
    <col min="13570" max="13570" width="4.5703125" style="768" bestFit="1" customWidth="1"/>
    <col min="13571" max="13571" width="44.5703125" style="768" customWidth="1"/>
    <col min="13572" max="13572" width="8.42578125" style="768" bestFit="1" customWidth="1"/>
    <col min="13573" max="13573" width="10.7109375" style="768" bestFit="1" customWidth="1"/>
    <col min="13574" max="13825" width="9.140625" style="768"/>
    <col min="13826" max="13826" width="4.5703125" style="768" bestFit="1" customWidth="1"/>
    <col min="13827" max="13827" width="44.5703125" style="768" customWidth="1"/>
    <col min="13828" max="13828" width="8.42578125" style="768" bestFit="1" customWidth="1"/>
    <col min="13829" max="13829" width="10.7109375" style="768" bestFit="1" customWidth="1"/>
    <col min="13830" max="14081" width="9.140625" style="768"/>
    <col min="14082" max="14082" width="4.5703125" style="768" bestFit="1" customWidth="1"/>
    <col min="14083" max="14083" width="44.5703125" style="768" customWidth="1"/>
    <col min="14084" max="14084" width="8.42578125" style="768" bestFit="1" customWidth="1"/>
    <col min="14085" max="14085" width="10.7109375" style="768" bestFit="1" customWidth="1"/>
    <col min="14086" max="14337" width="9.140625" style="768"/>
    <col min="14338" max="14338" width="4.5703125" style="768" bestFit="1" customWidth="1"/>
    <col min="14339" max="14339" width="44.5703125" style="768" customWidth="1"/>
    <col min="14340" max="14340" width="8.42578125" style="768" bestFit="1" customWidth="1"/>
    <col min="14341" max="14341" width="10.7109375" style="768" bestFit="1" customWidth="1"/>
    <col min="14342" max="14593" width="9.140625" style="768"/>
    <col min="14594" max="14594" width="4.5703125" style="768" bestFit="1" customWidth="1"/>
    <col min="14595" max="14595" width="44.5703125" style="768" customWidth="1"/>
    <col min="14596" max="14596" width="8.42578125" style="768" bestFit="1" customWidth="1"/>
    <col min="14597" max="14597" width="10.7109375" style="768" bestFit="1" customWidth="1"/>
    <col min="14598" max="14849" width="9.140625" style="768"/>
    <col min="14850" max="14850" width="4.5703125" style="768" bestFit="1" customWidth="1"/>
    <col min="14851" max="14851" width="44.5703125" style="768" customWidth="1"/>
    <col min="14852" max="14852" width="8.42578125" style="768" bestFit="1" customWidth="1"/>
    <col min="14853" max="14853" width="10.7109375" style="768" bestFit="1" customWidth="1"/>
    <col min="14854" max="15105" width="9.140625" style="768"/>
    <col min="15106" max="15106" width="4.5703125" style="768" bestFit="1" customWidth="1"/>
    <col min="15107" max="15107" width="44.5703125" style="768" customWidth="1"/>
    <col min="15108" max="15108" width="8.42578125" style="768" bestFit="1" customWidth="1"/>
    <col min="15109" max="15109" width="10.7109375" style="768" bestFit="1" customWidth="1"/>
    <col min="15110" max="15361" width="9.140625" style="768"/>
    <col min="15362" max="15362" width="4.5703125" style="768" bestFit="1" customWidth="1"/>
    <col min="15363" max="15363" width="44.5703125" style="768" customWidth="1"/>
    <col min="15364" max="15364" width="8.42578125" style="768" bestFit="1" customWidth="1"/>
    <col min="15365" max="15365" width="10.7109375" style="768" bestFit="1" customWidth="1"/>
    <col min="15366" max="15617" width="9.140625" style="768"/>
    <col min="15618" max="15618" width="4.5703125" style="768" bestFit="1" customWidth="1"/>
    <col min="15619" max="15619" width="44.5703125" style="768" customWidth="1"/>
    <col min="15620" max="15620" width="8.42578125" style="768" bestFit="1" customWidth="1"/>
    <col min="15621" max="15621" width="10.7109375" style="768" bestFit="1" customWidth="1"/>
    <col min="15622" max="15873" width="9.140625" style="768"/>
    <col min="15874" max="15874" width="4.5703125" style="768" bestFit="1" customWidth="1"/>
    <col min="15875" max="15875" width="44.5703125" style="768" customWidth="1"/>
    <col min="15876" max="15876" width="8.42578125" style="768" bestFit="1" customWidth="1"/>
    <col min="15877" max="15877" width="10.7109375" style="768" bestFit="1" customWidth="1"/>
    <col min="15878" max="16129" width="9.140625" style="768"/>
    <col min="16130" max="16130" width="4.5703125" style="768" bestFit="1" customWidth="1"/>
    <col min="16131" max="16131" width="44.5703125" style="768" customWidth="1"/>
    <col min="16132" max="16132" width="8.42578125" style="768" bestFit="1" customWidth="1"/>
    <col min="16133" max="16133" width="10.7109375" style="768" bestFit="1" customWidth="1"/>
    <col min="16134" max="16384" width="9.140625" style="768"/>
  </cols>
  <sheetData>
    <row r="1" spans="2:8" ht="15.75" hidden="1" thickBot="1" x14ac:dyDescent="0.25"/>
    <row r="2" spans="2:8" x14ac:dyDescent="0.2">
      <c r="B2" s="733" t="s">
        <v>1296</v>
      </c>
      <c r="C2" s="770" t="s">
        <v>547</v>
      </c>
      <c r="D2" s="1410" t="s">
        <v>715</v>
      </c>
      <c r="E2" s="1413" t="s">
        <v>552</v>
      </c>
      <c r="F2" s="1414"/>
    </row>
    <row r="3" spans="2:8" hidden="1" x14ac:dyDescent="0.2">
      <c r="B3" s="789" t="s">
        <v>1296</v>
      </c>
      <c r="C3" s="771" t="s">
        <v>1273</v>
      </c>
      <c r="D3" s="1411"/>
      <c r="E3" s="772"/>
      <c r="F3" s="773"/>
    </row>
    <row r="4" spans="2:8" hidden="1" x14ac:dyDescent="0.2">
      <c r="B4" s="789" t="s">
        <v>1296</v>
      </c>
      <c r="C4" s="774" t="s">
        <v>71</v>
      </c>
      <c r="D4" s="1411"/>
      <c r="E4" s="775">
        <v>5.44</v>
      </c>
      <c r="F4" s="773"/>
    </row>
    <row r="5" spans="2:8" hidden="1" x14ac:dyDescent="0.2">
      <c r="B5" s="789" t="s">
        <v>1296</v>
      </c>
      <c r="C5" s="774" t="s">
        <v>1274</v>
      </c>
      <c r="D5" s="1411"/>
      <c r="E5" s="775">
        <f>72.72+223.34+12.48</f>
        <v>308.54000000000002</v>
      </c>
      <c r="F5" s="773"/>
    </row>
    <row r="6" spans="2:8" hidden="1" x14ac:dyDescent="0.2">
      <c r="B6" s="789" t="s">
        <v>1296</v>
      </c>
      <c r="C6" s="774" t="s">
        <v>1275</v>
      </c>
      <c r="D6" s="1411"/>
      <c r="E6" s="775">
        <v>6.93</v>
      </c>
      <c r="F6" s="773"/>
    </row>
    <row r="7" spans="2:8" x14ac:dyDescent="0.2">
      <c r="B7" s="790" t="s">
        <v>1296</v>
      </c>
      <c r="C7" s="776"/>
      <c r="D7" s="1412"/>
      <c r="E7" s="403" t="s">
        <v>1210</v>
      </c>
      <c r="F7" s="777" t="s">
        <v>1263</v>
      </c>
    </row>
    <row r="8" spans="2:8" x14ac:dyDescent="0.2">
      <c r="B8" s="734">
        <v>1</v>
      </c>
      <c r="C8" s="403" t="s">
        <v>1276</v>
      </c>
      <c r="D8" s="380" t="s">
        <v>124</v>
      </c>
      <c r="E8" s="778">
        <v>140</v>
      </c>
      <c r="F8" s="779">
        <v>250</v>
      </c>
    </row>
    <row r="9" spans="2:8" x14ac:dyDescent="0.2">
      <c r="B9" s="1415"/>
      <c r="C9" s="403" t="s">
        <v>1277</v>
      </c>
      <c r="D9" s="780" t="s">
        <v>1278</v>
      </c>
      <c r="E9" s="781">
        <f>E8*(2.5+3)/2*0.25</f>
        <v>96.25</v>
      </c>
      <c r="F9" s="779">
        <f>F8*(2.5+3)/2*0.25</f>
        <v>171.875</v>
      </c>
    </row>
    <row r="10" spans="2:8" x14ac:dyDescent="0.2">
      <c r="B10" s="1416"/>
      <c r="C10" s="403" t="s">
        <v>1279</v>
      </c>
      <c r="D10" s="780" t="s">
        <v>1280</v>
      </c>
      <c r="E10" s="778" t="str">
        <f>+ROUND(E8/0.5+1,0)&amp;"/"&amp;ROUND(E8/0.5+1,0)*0.2*0.2*2</f>
        <v>281/22,48</v>
      </c>
      <c r="F10" s="779" t="str">
        <f>+ROUND(F8/0.5+1,0)&amp;"/"&amp;ROUND(F8/0.5+1,0)*0.2*0.2*2</f>
        <v>501/40,08</v>
      </c>
    </row>
    <row r="11" spans="2:8" ht="15.75" x14ac:dyDescent="0.25">
      <c r="B11" s="1416"/>
      <c r="C11" s="403" t="s">
        <v>1281</v>
      </c>
      <c r="D11" s="780" t="s">
        <v>1282</v>
      </c>
      <c r="E11" s="778" t="str">
        <f>E8*2&amp;"/"&amp;ROUND(E8*2*43.61,0)</f>
        <v>280/12211</v>
      </c>
      <c r="F11" s="779" t="str">
        <f>F8*2&amp;"/"&amp;ROUND(F8*2*43.61,0)</f>
        <v>500/21805</v>
      </c>
      <c r="H11" s="580" t="s">
        <v>611</v>
      </c>
    </row>
    <row r="12" spans="2:8" x14ac:dyDescent="0.2">
      <c r="B12" s="1416"/>
      <c r="C12" s="403" t="s">
        <v>1283</v>
      </c>
      <c r="D12" s="780" t="s">
        <v>1284</v>
      </c>
      <c r="E12" s="778">
        <f>+ROUND(E8/0.5+1,2)*4</f>
        <v>1124</v>
      </c>
      <c r="F12" s="779">
        <f>+ROUND(F8/0.5+1,2)*4</f>
        <v>2004</v>
      </c>
    </row>
    <row r="13" spans="2:8" x14ac:dyDescent="0.2">
      <c r="B13" s="1417"/>
      <c r="C13" s="403" t="s">
        <v>1285</v>
      </c>
      <c r="D13" s="780" t="s">
        <v>52</v>
      </c>
      <c r="E13" s="778">
        <f>+ROUND(E8*2/12+1,0)</f>
        <v>24</v>
      </c>
      <c r="F13" s="779">
        <f>+ROUND(F8*2/12+1,0)</f>
        <v>43</v>
      </c>
    </row>
    <row r="14" spans="2:8" x14ac:dyDescent="0.2">
      <c r="B14" s="782">
        <v>2</v>
      </c>
      <c r="C14" s="403" t="s">
        <v>1286</v>
      </c>
      <c r="D14" s="780" t="s">
        <v>1267</v>
      </c>
      <c r="E14" s="781">
        <v>4</v>
      </c>
      <c r="F14" s="779">
        <v>4</v>
      </c>
    </row>
    <row r="15" spans="2:8" x14ac:dyDescent="0.2">
      <c r="B15" s="1415"/>
      <c r="C15" s="403" t="s">
        <v>1287</v>
      </c>
      <c r="D15" s="780" t="s">
        <v>1278</v>
      </c>
      <c r="E15" s="778">
        <f>+E14*5</f>
        <v>20</v>
      </c>
      <c r="F15" s="779">
        <f>+F14*5</f>
        <v>20</v>
      </c>
    </row>
    <row r="16" spans="2:8" s="783" customFormat="1" ht="15" customHeight="1" x14ac:dyDescent="0.2">
      <c r="B16" s="1416"/>
      <c r="C16" s="403" t="s">
        <v>1288</v>
      </c>
      <c r="D16" s="780" t="s">
        <v>1278</v>
      </c>
      <c r="E16" s="778">
        <f>E15</f>
        <v>20</v>
      </c>
      <c r="F16" s="779">
        <f>F15</f>
        <v>20</v>
      </c>
    </row>
    <row r="17" spans="2:6" s="783" customFormat="1" ht="15" customHeight="1" x14ac:dyDescent="0.2">
      <c r="B17" s="1417"/>
      <c r="C17" s="403" t="s">
        <v>1289</v>
      </c>
      <c r="D17" s="780" t="s">
        <v>1278</v>
      </c>
      <c r="E17" s="778">
        <f>+E14*1</f>
        <v>4</v>
      </c>
      <c r="F17" s="779">
        <f>+F14*1</f>
        <v>4</v>
      </c>
    </row>
    <row r="18" spans="2:6" x14ac:dyDescent="0.2">
      <c r="B18" s="784">
        <f>+B14+1</f>
        <v>3</v>
      </c>
      <c r="C18" s="403" t="s">
        <v>1290</v>
      </c>
      <c r="D18" s="780" t="s">
        <v>1278</v>
      </c>
      <c r="E18" s="778">
        <v>3</v>
      </c>
      <c r="F18" s="779">
        <v>3</v>
      </c>
    </row>
    <row r="19" spans="2:6" x14ac:dyDescent="0.2">
      <c r="B19" s="734">
        <f>B18+1</f>
        <v>4</v>
      </c>
      <c r="C19" s="403" t="s">
        <v>1291</v>
      </c>
      <c r="D19" s="780" t="s">
        <v>1292</v>
      </c>
      <c r="E19" s="781" t="str">
        <f>4*5&amp;"/"&amp;ROUND(4*5*26.41*2.5,2)</f>
        <v>20/1320,5</v>
      </c>
      <c r="F19" s="779" t="str">
        <f>5*5&amp;"/"&amp;ROUND(5*5*26.41*2.5,2)</f>
        <v>25/1650,63</v>
      </c>
    </row>
    <row r="20" spans="2:6" x14ac:dyDescent="0.2">
      <c r="B20" s="734">
        <f>+B19+1</f>
        <v>5</v>
      </c>
      <c r="C20" s="403" t="s">
        <v>1293</v>
      </c>
      <c r="D20" s="780" t="s">
        <v>1294</v>
      </c>
      <c r="E20" s="781" t="str">
        <f>4*5&amp;"/"&amp;ROUND(4*5*35,2)</f>
        <v>20/700</v>
      </c>
      <c r="F20" s="779" t="str">
        <f>5*5&amp;"/"&amp;ROUND(5*5*35,2)</f>
        <v>25/875</v>
      </c>
    </row>
    <row r="21" spans="2:6" ht="15.75" thickBot="1" x14ac:dyDescent="0.25">
      <c r="B21" s="741">
        <f>+B20+1</f>
        <v>6</v>
      </c>
      <c r="C21" s="785" t="s">
        <v>1295</v>
      </c>
      <c r="D21" s="786" t="s">
        <v>1292</v>
      </c>
      <c r="E21" s="787" t="str">
        <f>4*5&amp;"/"&amp;ROUND(4*5*26.41*2.5,2)</f>
        <v>20/1320,5</v>
      </c>
      <c r="F21" s="788" t="str">
        <f>5*5&amp;"/"&amp;ROUND(5*5*26.41*2.5,2)</f>
        <v>25/1650,63</v>
      </c>
    </row>
  </sheetData>
  <mergeCells count="4">
    <mergeCell ref="D2:D7"/>
    <mergeCell ref="E2:F2"/>
    <mergeCell ref="B9:B13"/>
    <mergeCell ref="B15:B17"/>
  </mergeCells>
  <hyperlinks>
    <hyperlink ref="H11" location="'Bảng dien giai KL hoan cong'!A1" display="Quay lai"/>
  </hyperlink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view="pageBreakPreview" topLeftCell="A47" zoomScaleNormal="100" zoomScaleSheetLayoutView="100" workbookViewId="0">
      <selection sqref="A1:A2"/>
    </sheetView>
  </sheetViews>
  <sheetFormatPr defaultRowHeight="12.75" x14ac:dyDescent="0.25"/>
  <cols>
    <col min="1" max="1" width="3.42578125" style="792" customWidth="1"/>
    <col min="2" max="2" width="4" style="792" customWidth="1"/>
    <col min="3" max="3" width="27" style="792" customWidth="1"/>
    <col min="4" max="4" width="7" style="792" customWidth="1"/>
    <col min="5" max="5" width="6.42578125" style="792" customWidth="1"/>
    <col min="6" max="6" width="7" style="792" customWidth="1"/>
    <col min="7" max="7" width="6.5703125" style="792" bestFit="1" customWidth="1"/>
    <col min="8" max="8" width="7.5703125" style="792" customWidth="1"/>
    <col min="9" max="9" width="10.85546875" style="792" customWidth="1"/>
    <col min="10" max="10" width="9.5703125" style="792" customWidth="1"/>
    <col min="11" max="11" width="11.7109375" style="792" customWidth="1"/>
    <col min="12" max="12" width="8.5703125" style="792" customWidth="1"/>
    <col min="13" max="13" width="9.140625" style="792"/>
    <col min="14" max="14" width="8" style="792" customWidth="1"/>
    <col min="15" max="15" width="7.140625" style="792" customWidth="1"/>
    <col min="16" max="256" width="9.140625" style="792"/>
    <col min="257" max="257" width="3.42578125" style="792" customWidth="1"/>
    <col min="258" max="258" width="4" style="792" customWidth="1"/>
    <col min="259" max="259" width="27" style="792" customWidth="1"/>
    <col min="260" max="260" width="7" style="792" customWidth="1"/>
    <col min="261" max="261" width="6.42578125" style="792" customWidth="1"/>
    <col min="262" max="262" width="7" style="792" customWidth="1"/>
    <col min="263" max="263" width="6.5703125" style="792" bestFit="1" customWidth="1"/>
    <col min="264" max="264" width="7.5703125" style="792" customWidth="1"/>
    <col min="265" max="265" width="10.85546875" style="792" customWidth="1"/>
    <col min="266" max="266" width="9.5703125" style="792" customWidth="1"/>
    <col min="267" max="267" width="11.7109375" style="792" customWidth="1"/>
    <col min="268" max="268" width="8.5703125" style="792" customWidth="1"/>
    <col min="269" max="269" width="9.140625" style="792"/>
    <col min="270" max="270" width="8" style="792" customWidth="1"/>
    <col min="271" max="271" width="7.140625" style="792" customWidth="1"/>
    <col min="272" max="512" width="9.140625" style="792"/>
    <col min="513" max="513" width="3.42578125" style="792" customWidth="1"/>
    <col min="514" max="514" width="4" style="792" customWidth="1"/>
    <col min="515" max="515" width="27" style="792" customWidth="1"/>
    <col min="516" max="516" width="7" style="792" customWidth="1"/>
    <col min="517" max="517" width="6.42578125" style="792" customWidth="1"/>
    <col min="518" max="518" width="7" style="792" customWidth="1"/>
    <col min="519" max="519" width="6.5703125" style="792" bestFit="1" customWidth="1"/>
    <col min="520" max="520" width="7.5703125" style="792" customWidth="1"/>
    <col min="521" max="521" width="10.85546875" style="792" customWidth="1"/>
    <col min="522" max="522" width="9.5703125" style="792" customWidth="1"/>
    <col min="523" max="523" width="11.7109375" style="792" customWidth="1"/>
    <col min="524" max="524" width="8.5703125" style="792" customWidth="1"/>
    <col min="525" max="525" width="9.140625" style="792"/>
    <col min="526" max="526" width="8" style="792" customWidth="1"/>
    <col min="527" max="527" width="7.140625" style="792" customWidth="1"/>
    <col min="528" max="768" width="9.140625" style="792"/>
    <col min="769" max="769" width="3.42578125" style="792" customWidth="1"/>
    <col min="770" max="770" width="4" style="792" customWidth="1"/>
    <col min="771" max="771" width="27" style="792" customWidth="1"/>
    <col min="772" max="772" width="7" style="792" customWidth="1"/>
    <col min="773" max="773" width="6.42578125" style="792" customWidth="1"/>
    <col min="774" max="774" width="7" style="792" customWidth="1"/>
    <col min="775" max="775" width="6.5703125" style="792" bestFit="1" customWidth="1"/>
    <col min="776" max="776" width="7.5703125" style="792" customWidth="1"/>
    <col min="777" max="777" width="10.85546875" style="792" customWidth="1"/>
    <col min="778" max="778" width="9.5703125" style="792" customWidth="1"/>
    <col min="779" max="779" width="11.7109375" style="792" customWidth="1"/>
    <col min="780" max="780" width="8.5703125" style="792" customWidth="1"/>
    <col min="781" max="781" width="9.140625" style="792"/>
    <col min="782" max="782" width="8" style="792" customWidth="1"/>
    <col min="783" max="783" width="7.140625" style="792" customWidth="1"/>
    <col min="784" max="1024" width="9.140625" style="792"/>
    <col min="1025" max="1025" width="3.42578125" style="792" customWidth="1"/>
    <col min="1026" max="1026" width="4" style="792" customWidth="1"/>
    <col min="1027" max="1027" width="27" style="792" customWidth="1"/>
    <col min="1028" max="1028" width="7" style="792" customWidth="1"/>
    <col min="1029" max="1029" width="6.42578125" style="792" customWidth="1"/>
    <col min="1030" max="1030" width="7" style="792" customWidth="1"/>
    <col min="1031" max="1031" width="6.5703125" style="792" bestFit="1" customWidth="1"/>
    <col min="1032" max="1032" width="7.5703125" style="792" customWidth="1"/>
    <col min="1033" max="1033" width="10.85546875" style="792" customWidth="1"/>
    <col min="1034" max="1034" width="9.5703125" style="792" customWidth="1"/>
    <col min="1035" max="1035" width="11.7109375" style="792" customWidth="1"/>
    <col min="1036" max="1036" width="8.5703125" style="792" customWidth="1"/>
    <col min="1037" max="1037" width="9.140625" style="792"/>
    <col min="1038" max="1038" width="8" style="792" customWidth="1"/>
    <col min="1039" max="1039" width="7.140625" style="792" customWidth="1"/>
    <col min="1040" max="1280" width="9.140625" style="792"/>
    <col min="1281" max="1281" width="3.42578125" style="792" customWidth="1"/>
    <col min="1282" max="1282" width="4" style="792" customWidth="1"/>
    <col min="1283" max="1283" width="27" style="792" customWidth="1"/>
    <col min="1284" max="1284" width="7" style="792" customWidth="1"/>
    <col min="1285" max="1285" width="6.42578125" style="792" customWidth="1"/>
    <col min="1286" max="1286" width="7" style="792" customWidth="1"/>
    <col min="1287" max="1287" width="6.5703125" style="792" bestFit="1" customWidth="1"/>
    <col min="1288" max="1288" width="7.5703125" style="792" customWidth="1"/>
    <col min="1289" max="1289" width="10.85546875" style="792" customWidth="1"/>
    <col min="1290" max="1290" width="9.5703125" style="792" customWidth="1"/>
    <col min="1291" max="1291" width="11.7109375" style="792" customWidth="1"/>
    <col min="1292" max="1292" width="8.5703125" style="792" customWidth="1"/>
    <col min="1293" max="1293" width="9.140625" style="792"/>
    <col min="1294" max="1294" width="8" style="792" customWidth="1"/>
    <col min="1295" max="1295" width="7.140625" style="792" customWidth="1"/>
    <col min="1296" max="1536" width="9.140625" style="792"/>
    <col min="1537" max="1537" width="3.42578125" style="792" customWidth="1"/>
    <col min="1538" max="1538" width="4" style="792" customWidth="1"/>
    <col min="1539" max="1539" width="27" style="792" customWidth="1"/>
    <col min="1540" max="1540" width="7" style="792" customWidth="1"/>
    <col min="1541" max="1541" width="6.42578125" style="792" customWidth="1"/>
    <col min="1542" max="1542" width="7" style="792" customWidth="1"/>
    <col min="1543" max="1543" width="6.5703125" style="792" bestFit="1" customWidth="1"/>
    <col min="1544" max="1544" width="7.5703125" style="792" customWidth="1"/>
    <col min="1545" max="1545" width="10.85546875" style="792" customWidth="1"/>
    <col min="1546" max="1546" width="9.5703125" style="792" customWidth="1"/>
    <col min="1547" max="1547" width="11.7109375" style="792" customWidth="1"/>
    <col min="1548" max="1548" width="8.5703125" style="792" customWidth="1"/>
    <col min="1549" max="1549" width="9.140625" style="792"/>
    <col min="1550" max="1550" width="8" style="792" customWidth="1"/>
    <col min="1551" max="1551" width="7.140625" style="792" customWidth="1"/>
    <col min="1552" max="1792" width="9.140625" style="792"/>
    <col min="1793" max="1793" width="3.42578125" style="792" customWidth="1"/>
    <col min="1794" max="1794" width="4" style="792" customWidth="1"/>
    <col min="1795" max="1795" width="27" style="792" customWidth="1"/>
    <col min="1796" max="1796" width="7" style="792" customWidth="1"/>
    <col min="1797" max="1797" width="6.42578125" style="792" customWidth="1"/>
    <col min="1798" max="1798" width="7" style="792" customWidth="1"/>
    <col min="1799" max="1799" width="6.5703125" style="792" bestFit="1" customWidth="1"/>
    <col min="1800" max="1800" width="7.5703125" style="792" customWidth="1"/>
    <col min="1801" max="1801" width="10.85546875" style="792" customWidth="1"/>
    <col min="1802" max="1802" width="9.5703125" style="792" customWidth="1"/>
    <col min="1803" max="1803" width="11.7109375" style="792" customWidth="1"/>
    <col min="1804" max="1804" width="8.5703125" style="792" customWidth="1"/>
    <col min="1805" max="1805" width="9.140625" style="792"/>
    <col min="1806" max="1806" width="8" style="792" customWidth="1"/>
    <col min="1807" max="1807" width="7.140625" style="792" customWidth="1"/>
    <col min="1808" max="2048" width="9.140625" style="792"/>
    <col min="2049" max="2049" width="3.42578125" style="792" customWidth="1"/>
    <col min="2050" max="2050" width="4" style="792" customWidth="1"/>
    <col min="2051" max="2051" width="27" style="792" customWidth="1"/>
    <col min="2052" max="2052" width="7" style="792" customWidth="1"/>
    <col min="2053" max="2053" width="6.42578125" style="792" customWidth="1"/>
    <col min="2054" max="2054" width="7" style="792" customWidth="1"/>
    <col min="2055" max="2055" width="6.5703125" style="792" bestFit="1" customWidth="1"/>
    <col min="2056" max="2056" width="7.5703125" style="792" customWidth="1"/>
    <col min="2057" max="2057" width="10.85546875" style="792" customWidth="1"/>
    <col min="2058" max="2058" width="9.5703125" style="792" customWidth="1"/>
    <col min="2059" max="2059" width="11.7109375" style="792" customWidth="1"/>
    <col min="2060" max="2060" width="8.5703125" style="792" customWidth="1"/>
    <col min="2061" max="2061" width="9.140625" style="792"/>
    <col min="2062" max="2062" width="8" style="792" customWidth="1"/>
    <col min="2063" max="2063" width="7.140625" style="792" customWidth="1"/>
    <col min="2064" max="2304" width="9.140625" style="792"/>
    <col min="2305" max="2305" width="3.42578125" style="792" customWidth="1"/>
    <col min="2306" max="2306" width="4" style="792" customWidth="1"/>
    <col min="2307" max="2307" width="27" style="792" customWidth="1"/>
    <col min="2308" max="2308" width="7" style="792" customWidth="1"/>
    <col min="2309" max="2309" width="6.42578125" style="792" customWidth="1"/>
    <col min="2310" max="2310" width="7" style="792" customWidth="1"/>
    <col min="2311" max="2311" width="6.5703125" style="792" bestFit="1" customWidth="1"/>
    <col min="2312" max="2312" width="7.5703125" style="792" customWidth="1"/>
    <col min="2313" max="2313" width="10.85546875" style="792" customWidth="1"/>
    <col min="2314" max="2314" width="9.5703125" style="792" customWidth="1"/>
    <col min="2315" max="2315" width="11.7109375" style="792" customWidth="1"/>
    <col min="2316" max="2316" width="8.5703125" style="792" customWidth="1"/>
    <col min="2317" max="2317" width="9.140625" style="792"/>
    <col min="2318" max="2318" width="8" style="792" customWidth="1"/>
    <col min="2319" max="2319" width="7.140625" style="792" customWidth="1"/>
    <col min="2320" max="2560" width="9.140625" style="792"/>
    <col min="2561" max="2561" width="3.42578125" style="792" customWidth="1"/>
    <col min="2562" max="2562" width="4" style="792" customWidth="1"/>
    <col min="2563" max="2563" width="27" style="792" customWidth="1"/>
    <col min="2564" max="2564" width="7" style="792" customWidth="1"/>
    <col min="2565" max="2565" width="6.42578125" style="792" customWidth="1"/>
    <col min="2566" max="2566" width="7" style="792" customWidth="1"/>
    <col min="2567" max="2567" width="6.5703125" style="792" bestFit="1" customWidth="1"/>
    <col min="2568" max="2568" width="7.5703125" style="792" customWidth="1"/>
    <col min="2569" max="2569" width="10.85546875" style="792" customWidth="1"/>
    <col min="2570" max="2570" width="9.5703125" style="792" customWidth="1"/>
    <col min="2571" max="2571" width="11.7109375" style="792" customWidth="1"/>
    <col min="2572" max="2572" width="8.5703125" style="792" customWidth="1"/>
    <col min="2573" max="2573" width="9.140625" style="792"/>
    <col min="2574" max="2574" width="8" style="792" customWidth="1"/>
    <col min="2575" max="2575" width="7.140625" style="792" customWidth="1"/>
    <col min="2576" max="2816" width="9.140625" style="792"/>
    <col min="2817" max="2817" width="3.42578125" style="792" customWidth="1"/>
    <col min="2818" max="2818" width="4" style="792" customWidth="1"/>
    <col min="2819" max="2819" width="27" style="792" customWidth="1"/>
    <col min="2820" max="2820" width="7" style="792" customWidth="1"/>
    <col min="2821" max="2821" width="6.42578125" style="792" customWidth="1"/>
    <col min="2822" max="2822" width="7" style="792" customWidth="1"/>
    <col min="2823" max="2823" width="6.5703125" style="792" bestFit="1" customWidth="1"/>
    <col min="2824" max="2824" width="7.5703125" style="792" customWidth="1"/>
    <col min="2825" max="2825" width="10.85546875" style="792" customWidth="1"/>
    <col min="2826" max="2826" width="9.5703125" style="792" customWidth="1"/>
    <col min="2827" max="2827" width="11.7109375" style="792" customWidth="1"/>
    <col min="2828" max="2828" width="8.5703125" style="792" customWidth="1"/>
    <col min="2829" max="2829" width="9.140625" style="792"/>
    <col min="2830" max="2830" width="8" style="792" customWidth="1"/>
    <col min="2831" max="2831" width="7.140625" style="792" customWidth="1"/>
    <col min="2832" max="3072" width="9.140625" style="792"/>
    <col min="3073" max="3073" width="3.42578125" style="792" customWidth="1"/>
    <col min="3074" max="3074" width="4" style="792" customWidth="1"/>
    <col min="3075" max="3075" width="27" style="792" customWidth="1"/>
    <col min="3076" max="3076" width="7" style="792" customWidth="1"/>
    <col min="3077" max="3077" width="6.42578125" style="792" customWidth="1"/>
    <col min="3078" max="3078" width="7" style="792" customWidth="1"/>
    <col min="3079" max="3079" width="6.5703125" style="792" bestFit="1" customWidth="1"/>
    <col min="3080" max="3080" width="7.5703125" style="792" customWidth="1"/>
    <col min="3081" max="3081" width="10.85546875" style="792" customWidth="1"/>
    <col min="3082" max="3082" width="9.5703125" style="792" customWidth="1"/>
    <col min="3083" max="3083" width="11.7109375" style="792" customWidth="1"/>
    <col min="3084" max="3084" width="8.5703125" style="792" customWidth="1"/>
    <col min="3085" max="3085" width="9.140625" style="792"/>
    <col min="3086" max="3086" width="8" style="792" customWidth="1"/>
    <col min="3087" max="3087" width="7.140625" style="792" customWidth="1"/>
    <col min="3088" max="3328" width="9.140625" style="792"/>
    <col min="3329" max="3329" width="3.42578125" style="792" customWidth="1"/>
    <col min="3330" max="3330" width="4" style="792" customWidth="1"/>
    <col min="3331" max="3331" width="27" style="792" customWidth="1"/>
    <col min="3332" max="3332" width="7" style="792" customWidth="1"/>
    <col min="3333" max="3333" width="6.42578125" style="792" customWidth="1"/>
    <col min="3334" max="3334" width="7" style="792" customWidth="1"/>
    <col min="3335" max="3335" width="6.5703125" style="792" bestFit="1" customWidth="1"/>
    <col min="3336" max="3336" width="7.5703125" style="792" customWidth="1"/>
    <col min="3337" max="3337" width="10.85546875" style="792" customWidth="1"/>
    <col min="3338" max="3338" width="9.5703125" style="792" customWidth="1"/>
    <col min="3339" max="3339" width="11.7109375" style="792" customWidth="1"/>
    <col min="3340" max="3340" width="8.5703125" style="792" customWidth="1"/>
    <col min="3341" max="3341" width="9.140625" style="792"/>
    <col min="3342" max="3342" width="8" style="792" customWidth="1"/>
    <col min="3343" max="3343" width="7.140625" style="792" customWidth="1"/>
    <col min="3344" max="3584" width="9.140625" style="792"/>
    <col min="3585" max="3585" width="3.42578125" style="792" customWidth="1"/>
    <col min="3586" max="3586" width="4" style="792" customWidth="1"/>
    <col min="3587" max="3587" width="27" style="792" customWidth="1"/>
    <col min="3588" max="3588" width="7" style="792" customWidth="1"/>
    <col min="3589" max="3589" width="6.42578125" style="792" customWidth="1"/>
    <col min="3590" max="3590" width="7" style="792" customWidth="1"/>
    <col min="3591" max="3591" width="6.5703125" style="792" bestFit="1" customWidth="1"/>
    <col min="3592" max="3592" width="7.5703125" style="792" customWidth="1"/>
    <col min="3593" max="3593" width="10.85546875" style="792" customWidth="1"/>
    <col min="3594" max="3594" width="9.5703125" style="792" customWidth="1"/>
    <col min="3595" max="3595" width="11.7109375" style="792" customWidth="1"/>
    <col min="3596" max="3596" width="8.5703125" style="792" customWidth="1"/>
    <col min="3597" max="3597" width="9.140625" style="792"/>
    <col min="3598" max="3598" width="8" style="792" customWidth="1"/>
    <col min="3599" max="3599" width="7.140625" style="792" customWidth="1"/>
    <col min="3600" max="3840" width="9.140625" style="792"/>
    <col min="3841" max="3841" width="3.42578125" style="792" customWidth="1"/>
    <col min="3842" max="3842" width="4" style="792" customWidth="1"/>
    <col min="3843" max="3843" width="27" style="792" customWidth="1"/>
    <col min="3844" max="3844" width="7" style="792" customWidth="1"/>
    <col min="3845" max="3845" width="6.42578125" style="792" customWidth="1"/>
    <col min="3846" max="3846" width="7" style="792" customWidth="1"/>
    <col min="3847" max="3847" width="6.5703125" style="792" bestFit="1" customWidth="1"/>
    <col min="3848" max="3848" width="7.5703125" style="792" customWidth="1"/>
    <col min="3849" max="3849" width="10.85546875" style="792" customWidth="1"/>
    <col min="3850" max="3850" width="9.5703125" style="792" customWidth="1"/>
    <col min="3851" max="3851" width="11.7109375" style="792" customWidth="1"/>
    <col min="3852" max="3852" width="8.5703125" style="792" customWidth="1"/>
    <col min="3853" max="3853" width="9.140625" style="792"/>
    <col min="3854" max="3854" width="8" style="792" customWidth="1"/>
    <col min="3855" max="3855" width="7.140625" style="792" customWidth="1"/>
    <col min="3856" max="4096" width="9.140625" style="792"/>
    <col min="4097" max="4097" width="3.42578125" style="792" customWidth="1"/>
    <col min="4098" max="4098" width="4" style="792" customWidth="1"/>
    <col min="4099" max="4099" width="27" style="792" customWidth="1"/>
    <col min="4100" max="4100" width="7" style="792" customWidth="1"/>
    <col min="4101" max="4101" width="6.42578125" style="792" customWidth="1"/>
    <col min="4102" max="4102" width="7" style="792" customWidth="1"/>
    <col min="4103" max="4103" width="6.5703125" style="792" bestFit="1" customWidth="1"/>
    <col min="4104" max="4104" width="7.5703125" style="792" customWidth="1"/>
    <col min="4105" max="4105" width="10.85546875" style="792" customWidth="1"/>
    <col min="4106" max="4106" width="9.5703125" style="792" customWidth="1"/>
    <col min="4107" max="4107" width="11.7109375" style="792" customWidth="1"/>
    <col min="4108" max="4108" width="8.5703125" style="792" customWidth="1"/>
    <col min="4109" max="4109" width="9.140625" style="792"/>
    <col min="4110" max="4110" width="8" style="792" customWidth="1"/>
    <col min="4111" max="4111" width="7.140625" style="792" customWidth="1"/>
    <col min="4112" max="4352" width="9.140625" style="792"/>
    <col min="4353" max="4353" width="3.42578125" style="792" customWidth="1"/>
    <col min="4354" max="4354" width="4" style="792" customWidth="1"/>
    <col min="4355" max="4355" width="27" style="792" customWidth="1"/>
    <col min="4356" max="4356" width="7" style="792" customWidth="1"/>
    <col min="4357" max="4357" width="6.42578125" style="792" customWidth="1"/>
    <col min="4358" max="4358" width="7" style="792" customWidth="1"/>
    <col min="4359" max="4359" width="6.5703125" style="792" bestFit="1" customWidth="1"/>
    <col min="4360" max="4360" width="7.5703125" style="792" customWidth="1"/>
    <col min="4361" max="4361" width="10.85546875" style="792" customWidth="1"/>
    <col min="4362" max="4362" width="9.5703125" style="792" customWidth="1"/>
    <col min="4363" max="4363" width="11.7109375" style="792" customWidth="1"/>
    <col min="4364" max="4364" width="8.5703125" style="792" customWidth="1"/>
    <col min="4365" max="4365" width="9.140625" style="792"/>
    <col min="4366" max="4366" width="8" style="792" customWidth="1"/>
    <col min="4367" max="4367" width="7.140625" style="792" customWidth="1"/>
    <col min="4368" max="4608" width="9.140625" style="792"/>
    <col min="4609" max="4609" width="3.42578125" style="792" customWidth="1"/>
    <col min="4610" max="4610" width="4" style="792" customWidth="1"/>
    <col min="4611" max="4611" width="27" style="792" customWidth="1"/>
    <col min="4612" max="4612" width="7" style="792" customWidth="1"/>
    <col min="4613" max="4613" width="6.42578125" style="792" customWidth="1"/>
    <col min="4614" max="4614" width="7" style="792" customWidth="1"/>
    <col min="4615" max="4615" width="6.5703125" style="792" bestFit="1" customWidth="1"/>
    <col min="4616" max="4616" width="7.5703125" style="792" customWidth="1"/>
    <col min="4617" max="4617" width="10.85546875" style="792" customWidth="1"/>
    <col min="4618" max="4618" width="9.5703125" style="792" customWidth="1"/>
    <col min="4619" max="4619" width="11.7109375" style="792" customWidth="1"/>
    <col min="4620" max="4620" width="8.5703125" style="792" customWidth="1"/>
    <col min="4621" max="4621" width="9.140625" style="792"/>
    <col min="4622" max="4622" width="8" style="792" customWidth="1"/>
    <col min="4623" max="4623" width="7.140625" style="792" customWidth="1"/>
    <col min="4624" max="4864" width="9.140625" style="792"/>
    <col min="4865" max="4865" width="3.42578125" style="792" customWidth="1"/>
    <col min="4866" max="4866" width="4" style="792" customWidth="1"/>
    <col min="4867" max="4867" width="27" style="792" customWidth="1"/>
    <col min="4868" max="4868" width="7" style="792" customWidth="1"/>
    <col min="4869" max="4869" width="6.42578125" style="792" customWidth="1"/>
    <col min="4870" max="4870" width="7" style="792" customWidth="1"/>
    <col min="4871" max="4871" width="6.5703125" style="792" bestFit="1" customWidth="1"/>
    <col min="4872" max="4872" width="7.5703125" style="792" customWidth="1"/>
    <col min="4873" max="4873" width="10.85546875" style="792" customWidth="1"/>
    <col min="4874" max="4874" width="9.5703125" style="792" customWidth="1"/>
    <col min="4875" max="4875" width="11.7109375" style="792" customWidth="1"/>
    <col min="4876" max="4876" width="8.5703125" style="792" customWidth="1"/>
    <col min="4877" max="4877" width="9.140625" style="792"/>
    <col min="4878" max="4878" width="8" style="792" customWidth="1"/>
    <col min="4879" max="4879" width="7.140625" style="792" customWidth="1"/>
    <col min="4880" max="5120" width="9.140625" style="792"/>
    <col min="5121" max="5121" width="3.42578125" style="792" customWidth="1"/>
    <col min="5122" max="5122" width="4" style="792" customWidth="1"/>
    <col min="5123" max="5123" width="27" style="792" customWidth="1"/>
    <col min="5124" max="5124" width="7" style="792" customWidth="1"/>
    <col min="5125" max="5125" width="6.42578125" style="792" customWidth="1"/>
    <col min="5126" max="5126" width="7" style="792" customWidth="1"/>
    <col min="5127" max="5127" width="6.5703125" style="792" bestFit="1" customWidth="1"/>
    <col min="5128" max="5128" width="7.5703125" style="792" customWidth="1"/>
    <col min="5129" max="5129" width="10.85546875" style="792" customWidth="1"/>
    <col min="5130" max="5130" width="9.5703125" style="792" customWidth="1"/>
    <col min="5131" max="5131" width="11.7109375" style="792" customWidth="1"/>
    <col min="5132" max="5132" width="8.5703125" style="792" customWidth="1"/>
    <col min="5133" max="5133" width="9.140625" style="792"/>
    <col min="5134" max="5134" width="8" style="792" customWidth="1"/>
    <col min="5135" max="5135" width="7.140625" style="792" customWidth="1"/>
    <col min="5136" max="5376" width="9.140625" style="792"/>
    <col min="5377" max="5377" width="3.42578125" style="792" customWidth="1"/>
    <col min="5378" max="5378" width="4" style="792" customWidth="1"/>
    <col min="5379" max="5379" width="27" style="792" customWidth="1"/>
    <col min="5380" max="5380" width="7" style="792" customWidth="1"/>
    <col min="5381" max="5381" width="6.42578125" style="792" customWidth="1"/>
    <col min="5382" max="5382" width="7" style="792" customWidth="1"/>
    <col min="5383" max="5383" width="6.5703125" style="792" bestFit="1" customWidth="1"/>
    <col min="5384" max="5384" width="7.5703125" style="792" customWidth="1"/>
    <col min="5385" max="5385" width="10.85546875" style="792" customWidth="1"/>
    <col min="5386" max="5386" width="9.5703125" style="792" customWidth="1"/>
    <col min="5387" max="5387" width="11.7109375" style="792" customWidth="1"/>
    <col min="5388" max="5388" width="8.5703125" style="792" customWidth="1"/>
    <col min="5389" max="5389" width="9.140625" style="792"/>
    <col min="5390" max="5390" width="8" style="792" customWidth="1"/>
    <col min="5391" max="5391" width="7.140625" style="792" customWidth="1"/>
    <col min="5392" max="5632" width="9.140625" style="792"/>
    <col min="5633" max="5633" width="3.42578125" style="792" customWidth="1"/>
    <col min="5634" max="5634" width="4" style="792" customWidth="1"/>
    <col min="5635" max="5635" width="27" style="792" customWidth="1"/>
    <col min="5636" max="5636" width="7" style="792" customWidth="1"/>
    <col min="5637" max="5637" width="6.42578125" style="792" customWidth="1"/>
    <col min="5638" max="5638" width="7" style="792" customWidth="1"/>
    <col min="5639" max="5639" width="6.5703125" style="792" bestFit="1" customWidth="1"/>
    <col min="5640" max="5640" width="7.5703125" style="792" customWidth="1"/>
    <col min="5641" max="5641" width="10.85546875" style="792" customWidth="1"/>
    <col min="5642" max="5642" width="9.5703125" style="792" customWidth="1"/>
    <col min="5643" max="5643" width="11.7109375" style="792" customWidth="1"/>
    <col min="5644" max="5644" width="8.5703125" style="792" customWidth="1"/>
    <col min="5645" max="5645" width="9.140625" style="792"/>
    <col min="5646" max="5646" width="8" style="792" customWidth="1"/>
    <col min="5647" max="5647" width="7.140625" style="792" customWidth="1"/>
    <col min="5648" max="5888" width="9.140625" style="792"/>
    <col min="5889" max="5889" width="3.42578125" style="792" customWidth="1"/>
    <col min="5890" max="5890" width="4" style="792" customWidth="1"/>
    <col min="5891" max="5891" width="27" style="792" customWidth="1"/>
    <col min="5892" max="5892" width="7" style="792" customWidth="1"/>
    <col min="5893" max="5893" width="6.42578125" style="792" customWidth="1"/>
    <col min="5894" max="5894" width="7" style="792" customWidth="1"/>
    <col min="5895" max="5895" width="6.5703125" style="792" bestFit="1" customWidth="1"/>
    <col min="5896" max="5896" width="7.5703125" style="792" customWidth="1"/>
    <col min="5897" max="5897" width="10.85546875" style="792" customWidth="1"/>
    <col min="5898" max="5898" width="9.5703125" style="792" customWidth="1"/>
    <col min="5899" max="5899" width="11.7109375" style="792" customWidth="1"/>
    <col min="5900" max="5900" width="8.5703125" style="792" customWidth="1"/>
    <col min="5901" max="5901" width="9.140625" style="792"/>
    <col min="5902" max="5902" width="8" style="792" customWidth="1"/>
    <col min="5903" max="5903" width="7.140625" style="792" customWidth="1"/>
    <col min="5904" max="6144" width="9.140625" style="792"/>
    <col min="6145" max="6145" width="3.42578125" style="792" customWidth="1"/>
    <col min="6146" max="6146" width="4" style="792" customWidth="1"/>
    <col min="6147" max="6147" width="27" style="792" customWidth="1"/>
    <col min="6148" max="6148" width="7" style="792" customWidth="1"/>
    <col min="6149" max="6149" width="6.42578125" style="792" customWidth="1"/>
    <col min="6150" max="6150" width="7" style="792" customWidth="1"/>
    <col min="6151" max="6151" width="6.5703125" style="792" bestFit="1" customWidth="1"/>
    <col min="6152" max="6152" width="7.5703125" style="792" customWidth="1"/>
    <col min="6153" max="6153" width="10.85546875" style="792" customWidth="1"/>
    <col min="6154" max="6154" width="9.5703125" style="792" customWidth="1"/>
    <col min="6155" max="6155" width="11.7109375" style="792" customWidth="1"/>
    <col min="6156" max="6156" width="8.5703125" style="792" customWidth="1"/>
    <col min="6157" max="6157" width="9.140625" style="792"/>
    <col min="6158" max="6158" width="8" style="792" customWidth="1"/>
    <col min="6159" max="6159" width="7.140625" style="792" customWidth="1"/>
    <col min="6160" max="6400" width="9.140625" style="792"/>
    <col min="6401" max="6401" width="3.42578125" style="792" customWidth="1"/>
    <col min="6402" max="6402" width="4" style="792" customWidth="1"/>
    <col min="6403" max="6403" width="27" style="792" customWidth="1"/>
    <col min="6404" max="6404" width="7" style="792" customWidth="1"/>
    <col min="6405" max="6405" width="6.42578125" style="792" customWidth="1"/>
    <col min="6406" max="6406" width="7" style="792" customWidth="1"/>
    <col min="6407" max="6407" width="6.5703125" style="792" bestFit="1" customWidth="1"/>
    <col min="6408" max="6408" width="7.5703125" style="792" customWidth="1"/>
    <col min="6409" max="6409" width="10.85546875" style="792" customWidth="1"/>
    <col min="6410" max="6410" width="9.5703125" style="792" customWidth="1"/>
    <col min="6411" max="6411" width="11.7109375" style="792" customWidth="1"/>
    <col min="6412" max="6412" width="8.5703125" style="792" customWidth="1"/>
    <col min="6413" max="6413" width="9.140625" style="792"/>
    <col min="6414" max="6414" width="8" style="792" customWidth="1"/>
    <col min="6415" max="6415" width="7.140625" style="792" customWidth="1"/>
    <col min="6416" max="6656" width="9.140625" style="792"/>
    <col min="6657" max="6657" width="3.42578125" style="792" customWidth="1"/>
    <col min="6658" max="6658" width="4" style="792" customWidth="1"/>
    <col min="6659" max="6659" width="27" style="792" customWidth="1"/>
    <col min="6660" max="6660" width="7" style="792" customWidth="1"/>
    <col min="6661" max="6661" width="6.42578125" style="792" customWidth="1"/>
    <col min="6662" max="6662" width="7" style="792" customWidth="1"/>
    <col min="6663" max="6663" width="6.5703125" style="792" bestFit="1" customWidth="1"/>
    <col min="6664" max="6664" width="7.5703125" style="792" customWidth="1"/>
    <col min="6665" max="6665" width="10.85546875" style="792" customWidth="1"/>
    <col min="6666" max="6666" width="9.5703125" style="792" customWidth="1"/>
    <col min="6667" max="6667" width="11.7109375" style="792" customWidth="1"/>
    <col min="6668" max="6668" width="8.5703125" style="792" customWidth="1"/>
    <col min="6669" max="6669" width="9.140625" style="792"/>
    <col min="6670" max="6670" width="8" style="792" customWidth="1"/>
    <col min="6671" max="6671" width="7.140625" style="792" customWidth="1"/>
    <col min="6672" max="6912" width="9.140625" style="792"/>
    <col min="6913" max="6913" width="3.42578125" style="792" customWidth="1"/>
    <col min="6914" max="6914" width="4" style="792" customWidth="1"/>
    <col min="6915" max="6915" width="27" style="792" customWidth="1"/>
    <col min="6916" max="6916" width="7" style="792" customWidth="1"/>
    <col min="6917" max="6917" width="6.42578125" style="792" customWidth="1"/>
    <col min="6918" max="6918" width="7" style="792" customWidth="1"/>
    <col min="6919" max="6919" width="6.5703125" style="792" bestFit="1" customWidth="1"/>
    <col min="6920" max="6920" width="7.5703125" style="792" customWidth="1"/>
    <col min="6921" max="6921" width="10.85546875" style="792" customWidth="1"/>
    <col min="6922" max="6922" width="9.5703125" style="792" customWidth="1"/>
    <col min="6923" max="6923" width="11.7109375" style="792" customWidth="1"/>
    <col min="6924" max="6924" width="8.5703125" style="792" customWidth="1"/>
    <col min="6925" max="6925" width="9.140625" style="792"/>
    <col min="6926" max="6926" width="8" style="792" customWidth="1"/>
    <col min="6927" max="6927" width="7.140625" style="792" customWidth="1"/>
    <col min="6928" max="7168" width="9.140625" style="792"/>
    <col min="7169" max="7169" width="3.42578125" style="792" customWidth="1"/>
    <col min="7170" max="7170" width="4" style="792" customWidth="1"/>
    <col min="7171" max="7171" width="27" style="792" customWidth="1"/>
    <col min="7172" max="7172" width="7" style="792" customWidth="1"/>
    <col min="7173" max="7173" width="6.42578125" style="792" customWidth="1"/>
    <col min="7174" max="7174" width="7" style="792" customWidth="1"/>
    <col min="7175" max="7175" width="6.5703125" style="792" bestFit="1" customWidth="1"/>
    <col min="7176" max="7176" width="7.5703125" style="792" customWidth="1"/>
    <col min="7177" max="7177" width="10.85546875" style="792" customWidth="1"/>
    <col min="7178" max="7178" width="9.5703125" style="792" customWidth="1"/>
    <col min="7179" max="7179" width="11.7109375" style="792" customWidth="1"/>
    <col min="7180" max="7180" width="8.5703125" style="792" customWidth="1"/>
    <col min="7181" max="7181" width="9.140625" style="792"/>
    <col min="7182" max="7182" width="8" style="792" customWidth="1"/>
    <col min="7183" max="7183" width="7.140625" style="792" customWidth="1"/>
    <col min="7184" max="7424" width="9.140625" style="792"/>
    <col min="7425" max="7425" width="3.42578125" style="792" customWidth="1"/>
    <col min="7426" max="7426" width="4" style="792" customWidth="1"/>
    <col min="7427" max="7427" width="27" style="792" customWidth="1"/>
    <col min="7428" max="7428" width="7" style="792" customWidth="1"/>
    <col min="7429" max="7429" width="6.42578125" style="792" customWidth="1"/>
    <col min="7430" max="7430" width="7" style="792" customWidth="1"/>
    <col min="7431" max="7431" width="6.5703125" style="792" bestFit="1" customWidth="1"/>
    <col min="7432" max="7432" width="7.5703125" style="792" customWidth="1"/>
    <col min="7433" max="7433" width="10.85546875" style="792" customWidth="1"/>
    <col min="7434" max="7434" width="9.5703125" style="792" customWidth="1"/>
    <col min="7435" max="7435" width="11.7109375" style="792" customWidth="1"/>
    <col min="7436" max="7436" width="8.5703125" style="792" customWidth="1"/>
    <col min="7437" max="7437" width="9.140625" style="792"/>
    <col min="7438" max="7438" width="8" style="792" customWidth="1"/>
    <col min="7439" max="7439" width="7.140625" style="792" customWidth="1"/>
    <col min="7440" max="7680" width="9.140625" style="792"/>
    <col min="7681" max="7681" width="3.42578125" style="792" customWidth="1"/>
    <col min="7682" max="7682" width="4" style="792" customWidth="1"/>
    <col min="7683" max="7683" width="27" style="792" customWidth="1"/>
    <col min="7684" max="7684" width="7" style="792" customWidth="1"/>
    <col min="7685" max="7685" width="6.42578125" style="792" customWidth="1"/>
    <col min="7686" max="7686" width="7" style="792" customWidth="1"/>
    <col min="7687" max="7687" width="6.5703125" style="792" bestFit="1" customWidth="1"/>
    <col min="7688" max="7688" width="7.5703125" style="792" customWidth="1"/>
    <col min="7689" max="7689" width="10.85546875" style="792" customWidth="1"/>
    <col min="7690" max="7690" width="9.5703125" style="792" customWidth="1"/>
    <col min="7691" max="7691" width="11.7109375" style="792" customWidth="1"/>
    <col min="7692" max="7692" width="8.5703125" style="792" customWidth="1"/>
    <col min="7693" max="7693" width="9.140625" style="792"/>
    <col min="7694" max="7694" width="8" style="792" customWidth="1"/>
    <col min="7695" max="7695" width="7.140625" style="792" customWidth="1"/>
    <col min="7696" max="7936" width="9.140625" style="792"/>
    <col min="7937" max="7937" width="3.42578125" style="792" customWidth="1"/>
    <col min="7938" max="7938" width="4" style="792" customWidth="1"/>
    <col min="7939" max="7939" width="27" style="792" customWidth="1"/>
    <col min="7940" max="7940" width="7" style="792" customWidth="1"/>
    <col min="7941" max="7941" width="6.42578125" style="792" customWidth="1"/>
    <col min="7942" max="7942" width="7" style="792" customWidth="1"/>
    <col min="7943" max="7943" width="6.5703125" style="792" bestFit="1" customWidth="1"/>
    <col min="7944" max="7944" width="7.5703125" style="792" customWidth="1"/>
    <col min="7945" max="7945" width="10.85546875" style="792" customWidth="1"/>
    <col min="7946" max="7946" width="9.5703125" style="792" customWidth="1"/>
    <col min="7947" max="7947" width="11.7109375" style="792" customWidth="1"/>
    <col min="7948" max="7948" width="8.5703125" style="792" customWidth="1"/>
    <col min="7949" max="7949" width="9.140625" style="792"/>
    <col min="7950" max="7950" width="8" style="792" customWidth="1"/>
    <col min="7951" max="7951" width="7.140625" style="792" customWidth="1"/>
    <col min="7952" max="8192" width="9.140625" style="792"/>
    <col min="8193" max="8193" width="3.42578125" style="792" customWidth="1"/>
    <col min="8194" max="8194" width="4" style="792" customWidth="1"/>
    <col min="8195" max="8195" width="27" style="792" customWidth="1"/>
    <col min="8196" max="8196" width="7" style="792" customWidth="1"/>
    <col min="8197" max="8197" width="6.42578125" style="792" customWidth="1"/>
    <col min="8198" max="8198" width="7" style="792" customWidth="1"/>
    <col min="8199" max="8199" width="6.5703125" style="792" bestFit="1" customWidth="1"/>
    <col min="8200" max="8200" width="7.5703125" style="792" customWidth="1"/>
    <col min="8201" max="8201" width="10.85546875" style="792" customWidth="1"/>
    <col min="8202" max="8202" width="9.5703125" style="792" customWidth="1"/>
    <col min="8203" max="8203" width="11.7109375" style="792" customWidth="1"/>
    <col min="8204" max="8204" width="8.5703125" style="792" customWidth="1"/>
    <col min="8205" max="8205" width="9.140625" style="792"/>
    <col min="8206" max="8206" width="8" style="792" customWidth="1"/>
    <col min="8207" max="8207" width="7.140625" style="792" customWidth="1"/>
    <col min="8208" max="8448" width="9.140625" style="792"/>
    <col min="8449" max="8449" width="3.42578125" style="792" customWidth="1"/>
    <col min="8450" max="8450" width="4" style="792" customWidth="1"/>
    <col min="8451" max="8451" width="27" style="792" customWidth="1"/>
    <col min="8452" max="8452" width="7" style="792" customWidth="1"/>
    <col min="8453" max="8453" width="6.42578125" style="792" customWidth="1"/>
    <col min="8454" max="8454" width="7" style="792" customWidth="1"/>
    <col min="8455" max="8455" width="6.5703125" style="792" bestFit="1" customWidth="1"/>
    <col min="8456" max="8456" width="7.5703125" style="792" customWidth="1"/>
    <col min="8457" max="8457" width="10.85546875" style="792" customWidth="1"/>
    <col min="8458" max="8458" width="9.5703125" style="792" customWidth="1"/>
    <col min="8459" max="8459" width="11.7109375" style="792" customWidth="1"/>
    <col min="8460" max="8460" width="8.5703125" style="792" customWidth="1"/>
    <col min="8461" max="8461" width="9.140625" style="792"/>
    <col min="8462" max="8462" width="8" style="792" customWidth="1"/>
    <col min="8463" max="8463" width="7.140625" style="792" customWidth="1"/>
    <col min="8464" max="8704" width="9.140625" style="792"/>
    <col min="8705" max="8705" width="3.42578125" style="792" customWidth="1"/>
    <col min="8706" max="8706" width="4" style="792" customWidth="1"/>
    <col min="8707" max="8707" width="27" style="792" customWidth="1"/>
    <col min="8708" max="8708" width="7" style="792" customWidth="1"/>
    <col min="8709" max="8709" width="6.42578125" style="792" customWidth="1"/>
    <col min="8710" max="8710" width="7" style="792" customWidth="1"/>
    <col min="8711" max="8711" width="6.5703125" style="792" bestFit="1" customWidth="1"/>
    <col min="8712" max="8712" width="7.5703125" style="792" customWidth="1"/>
    <col min="8713" max="8713" width="10.85546875" style="792" customWidth="1"/>
    <col min="8714" max="8714" width="9.5703125" style="792" customWidth="1"/>
    <col min="8715" max="8715" width="11.7109375" style="792" customWidth="1"/>
    <col min="8716" max="8716" width="8.5703125" style="792" customWidth="1"/>
    <col min="8717" max="8717" width="9.140625" style="792"/>
    <col min="8718" max="8718" width="8" style="792" customWidth="1"/>
    <col min="8719" max="8719" width="7.140625" style="792" customWidth="1"/>
    <col min="8720" max="8960" width="9.140625" style="792"/>
    <col min="8961" max="8961" width="3.42578125" style="792" customWidth="1"/>
    <col min="8962" max="8962" width="4" style="792" customWidth="1"/>
    <col min="8963" max="8963" width="27" style="792" customWidth="1"/>
    <col min="8964" max="8964" width="7" style="792" customWidth="1"/>
    <col min="8965" max="8965" width="6.42578125" style="792" customWidth="1"/>
    <col min="8966" max="8966" width="7" style="792" customWidth="1"/>
    <col min="8967" max="8967" width="6.5703125" style="792" bestFit="1" customWidth="1"/>
    <col min="8968" max="8968" width="7.5703125" style="792" customWidth="1"/>
    <col min="8969" max="8969" width="10.85546875" style="792" customWidth="1"/>
    <col min="8970" max="8970" width="9.5703125" style="792" customWidth="1"/>
    <col min="8971" max="8971" width="11.7109375" style="792" customWidth="1"/>
    <col min="8972" max="8972" width="8.5703125" style="792" customWidth="1"/>
    <col min="8973" max="8973" width="9.140625" style="792"/>
    <col min="8974" max="8974" width="8" style="792" customWidth="1"/>
    <col min="8975" max="8975" width="7.140625" style="792" customWidth="1"/>
    <col min="8976" max="9216" width="9.140625" style="792"/>
    <col min="9217" max="9217" width="3.42578125" style="792" customWidth="1"/>
    <col min="9218" max="9218" width="4" style="792" customWidth="1"/>
    <col min="9219" max="9219" width="27" style="792" customWidth="1"/>
    <col min="9220" max="9220" width="7" style="792" customWidth="1"/>
    <col min="9221" max="9221" width="6.42578125" style="792" customWidth="1"/>
    <col min="9222" max="9222" width="7" style="792" customWidth="1"/>
    <col min="9223" max="9223" width="6.5703125" style="792" bestFit="1" customWidth="1"/>
    <col min="9224" max="9224" width="7.5703125" style="792" customWidth="1"/>
    <col min="9225" max="9225" width="10.85546875" style="792" customWidth="1"/>
    <col min="9226" max="9226" width="9.5703125" style="792" customWidth="1"/>
    <col min="9227" max="9227" width="11.7109375" style="792" customWidth="1"/>
    <col min="9228" max="9228" width="8.5703125" style="792" customWidth="1"/>
    <col min="9229" max="9229" width="9.140625" style="792"/>
    <col min="9230" max="9230" width="8" style="792" customWidth="1"/>
    <col min="9231" max="9231" width="7.140625" style="792" customWidth="1"/>
    <col min="9232" max="9472" width="9.140625" style="792"/>
    <col min="9473" max="9473" width="3.42578125" style="792" customWidth="1"/>
    <col min="9474" max="9474" width="4" style="792" customWidth="1"/>
    <col min="9475" max="9475" width="27" style="792" customWidth="1"/>
    <col min="9476" max="9476" width="7" style="792" customWidth="1"/>
    <col min="9477" max="9477" width="6.42578125" style="792" customWidth="1"/>
    <col min="9478" max="9478" width="7" style="792" customWidth="1"/>
    <col min="9479" max="9479" width="6.5703125" style="792" bestFit="1" customWidth="1"/>
    <col min="9480" max="9480" width="7.5703125" style="792" customWidth="1"/>
    <col min="9481" max="9481" width="10.85546875" style="792" customWidth="1"/>
    <col min="9482" max="9482" width="9.5703125" style="792" customWidth="1"/>
    <col min="9483" max="9483" width="11.7109375" style="792" customWidth="1"/>
    <col min="9484" max="9484" width="8.5703125" style="792" customWidth="1"/>
    <col min="9485" max="9485" width="9.140625" style="792"/>
    <col min="9486" max="9486" width="8" style="792" customWidth="1"/>
    <col min="9487" max="9487" width="7.140625" style="792" customWidth="1"/>
    <col min="9488" max="9728" width="9.140625" style="792"/>
    <col min="9729" max="9729" width="3.42578125" style="792" customWidth="1"/>
    <col min="9730" max="9730" width="4" style="792" customWidth="1"/>
    <col min="9731" max="9731" width="27" style="792" customWidth="1"/>
    <col min="9732" max="9732" width="7" style="792" customWidth="1"/>
    <col min="9733" max="9733" width="6.42578125" style="792" customWidth="1"/>
    <col min="9734" max="9734" width="7" style="792" customWidth="1"/>
    <col min="9735" max="9735" width="6.5703125" style="792" bestFit="1" customWidth="1"/>
    <col min="9736" max="9736" width="7.5703125" style="792" customWidth="1"/>
    <col min="9737" max="9737" width="10.85546875" style="792" customWidth="1"/>
    <col min="9738" max="9738" width="9.5703125" style="792" customWidth="1"/>
    <col min="9739" max="9739" width="11.7109375" style="792" customWidth="1"/>
    <col min="9740" max="9740" width="8.5703125" style="792" customWidth="1"/>
    <col min="9741" max="9741" width="9.140625" style="792"/>
    <col min="9742" max="9742" width="8" style="792" customWidth="1"/>
    <col min="9743" max="9743" width="7.140625" style="792" customWidth="1"/>
    <col min="9744" max="9984" width="9.140625" style="792"/>
    <col min="9985" max="9985" width="3.42578125" style="792" customWidth="1"/>
    <col min="9986" max="9986" width="4" style="792" customWidth="1"/>
    <col min="9987" max="9987" width="27" style="792" customWidth="1"/>
    <col min="9988" max="9988" width="7" style="792" customWidth="1"/>
    <col min="9989" max="9989" width="6.42578125" style="792" customWidth="1"/>
    <col min="9990" max="9990" width="7" style="792" customWidth="1"/>
    <col min="9991" max="9991" width="6.5703125" style="792" bestFit="1" customWidth="1"/>
    <col min="9992" max="9992" width="7.5703125" style="792" customWidth="1"/>
    <col min="9993" max="9993" width="10.85546875" style="792" customWidth="1"/>
    <col min="9994" max="9994" width="9.5703125" style="792" customWidth="1"/>
    <col min="9995" max="9995" width="11.7109375" style="792" customWidth="1"/>
    <col min="9996" max="9996" width="8.5703125" style="792" customWidth="1"/>
    <col min="9997" max="9997" width="9.140625" style="792"/>
    <col min="9998" max="9998" width="8" style="792" customWidth="1"/>
    <col min="9999" max="9999" width="7.140625" style="792" customWidth="1"/>
    <col min="10000" max="10240" width="9.140625" style="792"/>
    <col min="10241" max="10241" width="3.42578125" style="792" customWidth="1"/>
    <col min="10242" max="10242" width="4" style="792" customWidth="1"/>
    <col min="10243" max="10243" width="27" style="792" customWidth="1"/>
    <col min="10244" max="10244" width="7" style="792" customWidth="1"/>
    <col min="10245" max="10245" width="6.42578125" style="792" customWidth="1"/>
    <col min="10246" max="10246" width="7" style="792" customWidth="1"/>
    <col min="10247" max="10247" width="6.5703125" style="792" bestFit="1" customWidth="1"/>
    <col min="10248" max="10248" width="7.5703125" style="792" customWidth="1"/>
    <col min="10249" max="10249" width="10.85546875" style="792" customWidth="1"/>
    <col min="10250" max="10250" width="9.5703125" style="792" customWidth="1"/>
    <col min="10251" max="10251" width="11.7109375" style="792" customWidth="1"/>
    <col min="10252" max="10252" width="8.5703125" style="792" customWidth="1"/>
    <col min="10253" max="10253" width="9.140625" style="792"/>
    <col min="10254" max="10254" width="8" style="792" customWidth="1"/>
    <col min="10255" max="10255" width="7.140625" style="792" customWidth="1"/>
    <col min="10256" max="10496" width="9.140625" style="792"/>
    <col min="10497" max="10497" width="3.42578125" style="792" customWidth="1"/>
    <col min="10498" max="10498" width="4" style="792" customWidth="1"/>
    <col min="10499" max="10499" width="27" style="792" customWidth="1"/>
    <col min="10500" max="10500" width="7" style="792" customWidth="1"/>
    <col min="10501" max="10501" width="6.42578125" style="792" customWidth="1"/>
    <col min="10502" max="10502" width="7" style="792" customWidth="1"/>
    <col min="10503" max="10503" width="6.5703125" style="792" bestFit="1" customWidth="1"/>
    <col min="10504" max="10504" width="7.5703125" style="792" customWidth="1"/>
    <col min="10505" max="10505" width="10.85546875" style="792" customWidth="1"/>
    <col min="10506" max="10506" width="9.5703125" style="792" customWidth="1"/>
    <col min="10507" max="10507" width="11.7109375" style="792" customWidth="1"/>
    <col min="10508" max="10508" width="8.5703125" style="792" customWidth="1"/>
    <col min="10509" max="10509" width="9.140625" style="792"/>
    <col min="10510" max="10510" width="8" style="792" customWidth="1"/>
    <col min="10511" max="10511" width="7.140625" style="792" customWidth="1"/>
    <col min="10512" max="10752" width="9.140625" style="792"/>
    <col min="10753" max="10753" width="3.42578125" style="792" customWidth="1"/>
    <col min="10754" max="10754" width="4" style="792" customWidth="1"/>
    <col min="10755" max="10755" width="27" style="792" customWidth="1"/>
    <col min="10756" max="10756" width="7" style="792" customWidth="1"/>
    <col min="10757" max="10757" width="6.42578125" style="792" customWidth="1"/>
    <col min="10758" max="10758" width="7" style="792" customWidth="1"/>
    <col min="10759" max="10759" width="6.5703125" style="792" bestFit="1" customWidth="1"/>
    <col min="10760" max="10760" width="7.5703125" style="792" customWidth="1"/>
    <col min="10761" max="10761" width="10.85546875" style="792" customWidth="1"/>
    <col min="10762" max="10762" width="9.5703125" style="792" customWidth="1"/>
    <col min="10763" max="10763" width="11.7109375" style="792" customWidth="1"/>
    <col min="10764" max="10764" width="8.5703125" style="792" customWidth="1"/>
    <col min="10765" max="10765" width="9.140625" style="792"/>
    <col min="10766" max="10766" width="8" style="792" customWidth="1"/>
    <col min="10767" max="10767" width="7.140625" style="792" customWidth="1"/>
    <col min="10768" max="11008" width="9.140625" style="792"/>
    <col min="11009" max="11009" width="3.42578125" style="792" customWidth="1"/>
    <col min="11010" max="11010" width="4" style="792" customWidth="1"/>
    <col min="11011" max="11011" width="27" style="792" customWidth="1"/>
    <col min="11012" max="11012" width="7" style="792" customWidth="1"/>
    <col min="11013" max="11013" width="6.42578125" style="792" customWidth="1"/>
    <col min="11014" max="11014" width="7" style="792" customWidth="1"/>
    <col min="11015" max="11015" width="6.5703125" style="792" bestFit="1" customWidth="1"/>
    <col min="11016" max="11016" width="7.5703125" style="792" customWidth="1"/>
    <col min="11017" max="11017" width="10.85546875" style="792" customWidth="1"/>
    <col min="11018" max="11018" width="9.5703125" style="792" customWidth="1"/>
    <col min="11019" max="11019" width="11.7109375" style="792" customWidth="1"/>
    <col min="11020" max="11020" width="8.5703125" style="792" customWidth="1"/>
    <col min="11021" max="11021" width="9.140625" style="792"/>
    <col min="11022" max="11022" width="8" style="792" customWidth="1"/>
    <col min="11023" max="11023" width="7.140625" style="792" customWidth="1"/>
    <col min="11024" max="11264" width="9.140625" style="792"/>
    <col min="11265" max="11265" width="3.42578125" style="792" customWidth="1"/>
    <col min="11266" max="11266" width="4" style="792" customWidth="1"/>
    <col min="11267" max="11267" width="27" style="792" customWidth="1"/>
    <col min="11268" max="11268" width="7" style="792" customWidth="1"/>
    <col min="11269" max="11269" width="6.42578125" style="792" customWidth="1"/>
    <col min="11270" max="11270" width="7" style="792" customWidth="1"/>
    <col min="11271" max="11271" width="6.5703125" style="792" bestFit="1" customWidth="1"/>
    <col min="11272" max="11272" width="7.5703125" style="792" customWidth="1"/>
    <col min="11273" max="11273" width="10.85546875" style="792" customWidth="1"/>
    <col min="11274" max="11274" width="9.5703125" style="792" customWidth="1"/>
    <col min="11275" max="11275" width="11.7109375" style="792" customWidth="1"/>
    <col min="11276" max="11276" width="8.5703125" style="792" customWidth="1"/>
    <col min="11277" max="11277" width="9.140625" style="792"/>
    <col min="11278" max="11278" width="8" style="792" customWidth="1"/>
    <col min="11279" max="11279" width="7.140625" style="792" customWidth="1"/>
    <col min="11280" max="11520" width="9.140625" style="792"/>
    <col min="11521" max="11521" width="3.42578125" style="792" customWidth="1"/>
    <col min="11522" max="11522" width="4" style="792" customWidth="1"/>
    <col min="11523" max="11523" width="27" style="792" customWidth="1"/>
    <col min="11524" max="11524" width="7" style="792" customWidth="1"/>
    <col min="11525" max="11525" width="6.42578125" style="792" customWidth="1"/>
    <col min="11526" max="11526" width="7" style="792" customWidth="1"/>
    <col min="11527" max="11527" width="6.5703125" style="792" bestFit="1" customWidth="1"/>
    <col min="11528" max="11528" width="7.5703125" style="792" customWidth="1"/>
    <col min="11529" max="11529" width="10.85546875" style="792" customWidth="1"/>
    <col min="11530" max="11530" width="9.5703125" style="792" customWidth="1"/>
    <col min="11531" max="11531" width="11.7109375" style="792" customWidth="1"/>
    <col min="11532" max="11532" width="8.5703125" style="792" customWidth="1"/>
    <col min="11533" max="11533" width="9.140625" style="792"/>
    <col min="11534" max="11534" width="8" style="792" customWidth="1"/>
    <col min="11535" max="11535" width="7.140625" style="792" customWidth="1"/>
    <col min="11536" max="11776" width="9.140625" style="792"/>
    <col min="11777" max="11777" width="3.42578125" style="792" customWidth="1"/>
    <col min="11778" max="11778" width="4" style="792" customWidth="1"/>
    <col min="11779" max="11779" width="27" style="792" customWidth="1"/>
    <col min="11780" max="11780" width="7" style="792" customWidth="1"/>
    <col min="11781" max="11781" width="6.42578125" style="792" customWidth="1"/>
    <col min="11782" max="11782" width="7" style="792" customWidth="1"/>
    <col min="11783" max="11783" width="6.5703125" style="792" bestFit="1" customWidth="1"/>
    <col min="11784" max="11784" width="7.5703125" style="792" customWidth="1"/>
    <col min="11785" max="11785" width="10.85546875" style="792" customWidth="1"/>
    <col min="11786" max="11786" width="9.5703125" style="792" customWidth="1"/>
    <col min="11787" max="11787" width="11.7109375" style="792" customWidth="1"/>
    <col min="11788" max="11788" width="8.5703125" style="792" customWidth="1"/>
    <col min="11789" max="11789" width="9.140625" style="792"/>
    <col min="11790" max="11790" width="8" style="792" customWidth="1"/>
    <col min="11791" max="11791" width="7.140625" style="792" customWidth="1"/>
    <col min="11792" max="12032" width="9.140625" style="792"/>
    <col min="12033" max="12033" width="3.42578125" style="792" customWidth="1"/>
    <col min="12034" max="12034" width="4" style="792" customWidth="1"/>
    <col min="12035" max="12035" width="27" style="792" customWidth="1"/>
    <col min="12036" max="12036" width="7" style="792" customWidth="1"/>
    <col min="12037" max="12037" width="6.42578125" style="792" customWidth="1"/>
    <col min="12038" max="12038" width="7" style="792" customWidth="1"/>
    <col min="12039" max="12039" width="6.5703125" style="792" bestFit="1" customWidth="1"/>
    <col min="12040" max="12040" width="7.5703125" style="792" customWidth="1"/>
    <col min="12041" max="12041" width="10.85546875" style="792" customWidth="1"/>
    <col min="12042" max="12042" width="9.5703125" style="792" customWidth="1"/>
    <col min="12043" max="12043" width="11.7109375" style="792" customWidth="1"/>
    <col min="12044" max="12044" width="8.5703125" style="792" customWidth="1"/>
    <col min="12045" max="12045" width="9.140625" style="792"/>
    <col min="12046" max="12046" width="8" style="792" customWidth="1"/>
    <col min="12047" max="12047" width="7.140625" style="792" customWidth="1"/>
    <col min="12048" max="12288" width="9.140625" style="792"/>
    <col min="12289" max="12289" width="3.42578125" style="792" customWidth="1"/>
    <col min="12290" max="12290" width="4" style="792" customWidth="1"/>
    <col min="12291" max="12291" width="27" style="792" customWidth="1"/>
    <col min="12292" max="12292" width="7" style="792" customWidth="1"/>
    <col min="12293" max="12293" width="6.42578125" style="792" customWidth="1"/>
    <col min="12294" max="12294" width="7" style="792" customWidth="1"/>
    <col min="12295" max="12295" width="6.5703125" style="792" bestFit="1" customWidth="1"/>
    <col min="12296" max="12296" width="7.5703125" style="792" customWidth="1"/>
    <col min="12297" max="12297" width="10.85546875" style="792" customWidth="1"/>
    <col min="12298" max="12298" width="9.5703125" style="792" customWidth="1"/>
    <col min="12299" max="12299" width="11.7109375" style="792" customWidth="1"/>
    <col min="12300" max="12300" width="8.5703125" style="792" customWidth="1"/>
    <col min="12301" max="12301" width="9.140625" style="792"/>
    <col min="12302" max="12302" width="8" style="792" customWidth="1"/>
    <col min="12303" max="12303" width="7.140625" style="792" customWidth="1"/>
    <col min="12304" max="12544" width="9.140625" style="792"/>
    <col min="12545" max="12545" width="3.42578125" style="792" customWidth="1"/>
    <col min="12546" max="12546" width="4" style="792" customWidth="1"/>
    <col min="12547" max="12547" width="27" style="792" customWidth="1"/>
    <col min="12548" max="12548" width="7" style="792" customWidth="1"/>
    <col min="12549" max="12549" width="6.42578125" style="792" customWidth="1"/>
    <col min="12550" max="12550" width="7" style="792" customWidth="1"/>
    <col min="12551" max="12551" width="6.5703125" style="792" bestFit="1" customWidth="1"/>
    <col min="12552" max="12552" width="7.5703125" style="792" customWidth="1"/>
    <col min="12553" max="12553" width="10.85546875" style="792" customWidth="1"/>
    <col min="12554" max="12554" width="9.5703125" style="792" customWidth="1"/>
    <col min="12555" max="12555" width="11.7109375" style="792" customWidth="1"/>
    <col min="12556" max="12556" width="8.5703125" style="792" customWidth="1"/>
    <col min="12557" max="12557" width="9.140625" style="792"/>
    <col min="12558" max="12558" width="8" style="792" customWidth="1"/>
    <col min="12559" max="12559" width="7.140625" style="792" customWidth="1"/>
    <col min="12560" max="12800" width="9.140625" style="792"/>
    <col min="12801" max="12801" width="3.42578125" style="792" customWidth="1"/>
    <col min="12802" max="12802" width="4" style="792" customWidth="1"/>
    <col min="12803" max="12803" width="27" style="792" customWidth="1"/>
    <col min="12804" max="12804" width="7" style="792" customWidth="1"/>
    <col min="12805" max="12805" width="6.42578125" style="792" customWidth="1"/>
    <col min="12806" max="12806" width="7" style="792" customWidth="1"/>
    <col min="12807" max="12807" width="6.5703125" style="792" bestFit="1" customWidth="1"/>
    <col min="12808" max="12808" width="7.5703125" style="792" customWidth="1"/>
    <col min="12809" max="12809" width="10.85546875" style="792" customWidth="1"/>
    <col min="12810" max="12810" width="9.5703125" style="792" customWidth="1"/>
    <col min="12811" max="12811" width="11.7109375" style="792" customWidth="1"/>
    <col min="12812" max="12812" width="8.5703125" style="792" customWidth="1"/>
    <col min="12813" max="12813" width="9.140625" style="792"/>
    <col min="12814" max="12814" width="8" style="792" customWidth="1"/>
    <col min="12815" max="12815" width="7.140625" style="792" customWidth="1"/>
    <col min="12816" max="13056" width="9.140625" style="792"/>
    <col min="13057" max="13057" width="3.42578125" style="792" customWidth="1"/>
    <col min="13058" max="13058" width="4" style="792" customWidth="1"/>
    <col min="13059" max="13059" width="27" style="792" customWidth="1"/>
    <col min="13060" max="13060" width="7" style="792" customWidth="1"/>
    <col min="13061" max="13061" width="6.42578125" style="792" customWidth="1"/>
    <col min="13062" max="13062" width="7" style="792" customWidth="1"/>
    <col min="13063" max="13063" width="6.5703125" style="792" bestFit="1" customWidth="1"/>
    <col min="13064" max="13064" width="7.5703125" style="792" customWidth="1"/>
    <col min="13065" max="13065" width="10.85546875" style="792" customWidth="1"/>
    <col min="13066" max="13066" width="9.5703125" style="792" customWidth="1"/>
    <col min="13067" max="13067" width="11.7109375" style="792" customWidth="1"/>
    <col min="13068" max="13068" width="8.5703125" style="792" customWidth="1"/>
    <col min="13069" max="13069" width="9.140625" style="792"/>
    <col min="13070" max="13070" width="8" style="792" customWidth="1"/>
    <col min="13071" max="13071" width="7.140625" style="792" customWidth="1"/>
    <col min="13072" max="13312" width="9.140625" style="792"/>
    <col min="13313" max="13313" width="3.42578125" style="792" customWidth="1"/>
    <col min="13314" max="13314" width="4" style="792" customWidth="1"/>
    <col min="13315" max="13315" width="27" style="792" customWidth="1"/>
    <col min="13316" max="13316" width="7" style="792" customWidth="1"/>
    <col min="13317" max="13317" width="6.42578125" style="792" customWidth="1"/>
    <col min="13318" max="13318" width="7" style="792" customWidth="1"/>
    <col min="13319" max="13319" width="6.5703125" style="792" bestFit="1" customWidth="1"/>
    <col min="13320" max="13320" width="7.5703125" style="792" customWidth="1"/>
    <col min="13321" max="13321" width="10.85546875" style="792" customWidth="1"/>
    <col min="13322" max="13322" width="9.5703125" style="792" customWidth="1"/>
    <col min="13323" max="13323" width="11.7109375" style="792" customWidth="1"/>
    <col min="13324" max="13324" width="8.5703125" style="792" customWidth="1"/>
    <col min="13325" max="13325" width="9.140625" style="792"/>
    <col min="13326" max="13326" width="8" style="792" customWidth="1"/>
    <col min="13327" max="13327" width="7.140625" style="792" customWidth="1"/>
    <col min="13328" max="13568" width="9.140625" style="792"/>
    <col min="13569" max="13569" width="3.42578125" style="792" customWidth="1"/>
    <col min="13570" max="13570" width="4" style="792" customWidth="1"/>
    <col min="13571" max="13571" width="27" style="792" customWidth="1"/>
    <col min="13572" max="13572" width="7" style="792" customWidth="1"/>
    <col min="13573" max="13573" width="6.42578125" style="792" customWidth="1"/>
    <col min="13574" max="13574" width="7" style="792" customWidth="1"/>
    <col min="13575" max="13575" width="6.5703125" style="792" bestFit="1" customWidth="1"/>
    <col min="13576" max="13576" width="7.5703125" style="792" customWidth="1"/>
    <col min="13577" max="13577" width="10.85546875" style="792" customWidth="1"/>
    <col min="13578" max="13578" width="9.5703125" style="792" customWidth="1"/>
    <col min="13579" max="13579" width="11.7109375" style="792" customWidth="1"/>
    <col min="13580" max="13580" width="8.5703125" style="792" customWidth="1"/>
    <col min="13581" max="13581" width="9.140625" style="792"/>
    <col min="13582" max="13582" width="8" style="792" customWidth="1"/>
    <col min="13583" max="13583" width="7.140625" style="792" customWidth="1"/>
    <col min="13584" max="13824" width="9.140625" style="792"/>
    <col min="13825" max="13825" width="3.42578125" style="792" customWidth="1"/>
    <col min="13826" max="13826" width="4" style="792" customWidth="1"/>
    <col min="13827" max="13827" width="27" style="792" customWidth="1"/>
    <col min="13828" max="13828" width="7" style="792" customWidth="1"/>
    <col min="13829" max="13829" width="6.42578125" style="792" customWidth="1"/>
    <col min="13830" max="13830" width="7" style="792" customWidth="1"/>
    <col min="13831" max="13831" width="6.5703125" style="792" bestFit="1" customWidth="1"/>
    <col min="13832" max="13832" width="7.5703125" style="792" customWidth="1"/>
    <col min="13833" max="13833" width="10.85546875" style="792" customWidth="1"/>
    <col min="13834" max="13834" width="9.5703125" style="792" customWidth="1"/>
    <col min="13835" max="13835" width="11.7109375" style="792" customWidth="1"/>
    <col min="13836" max="13836" width="8.5703125" style="792" customWidth="1"/>
    <col min="13837" max="13837" width="9.140625" style="792"/>
    <col min="13838" max="13838" width="8" style="792" customWidth="1"/>
    <col min="13839" max="13839" width="7.140625" style="792" customWidth="1"/>
    <col min="13840" max="14080" width="9.140625" style="792"/>
    <col min="14081" max="14081" width="3.42578125" style="792" customWidth="1"/>
    <col min="14082" max="14082" width="4" style="792" customWidth="1"/>
    <col min="14083" max="14083" width="27" style="792" customWidth="1"/>
    <col min="14084" max="14084" width="7" style="792" customWidth="1"/>
    <col min="14085" max="14085" width="6.42578125" style="792" customWidth="1"/>
    <col min="14086" max="14086" width="7" style="792" customWidth="1"/>
    <col min="14087" max="14087" width="6.5703125" style="792" bestFit="1" customWidth="1"/>
    <col min="14088" max="14088" width="7.5703125" style="792" customWidth="1"/>
    <col min="14089" max="14089" width="10.85546875" style="792" customWidth="1"/>
    <col min="14090" max="14090" width="9.5703125" style="792" customWidth="1"/>
    <col min="14091" max="14091" width="11.7109375" style="792" customWidth="1"/>
    <col min="14092" max="14092" width="8.5703125" style="792" customWidth="1"/>
    <col min="14093" max="14093" width="9.140625" style="792"/>
    <col min="14094" max="14094" width="8" style="792" customWidth="1"/>
    <col min="14095" max="14095" width="7.140625" style="792" customWidth="1"/>
    <col min="14096" max="14336" width="9.140625" style="792"/>
    <col min="14337" max="14337" width="3.42578125" style="792" customWidth="1"/>
    <col min="14338" max="14338" width="4" style="792" customWidth="1"/>
    <col min="14339" max="14339" width="27" style="792" customWidth="1"/>
    <col min="14340" max="14340" width="7" style="792" customWidth="1"/>
    <col min="14341" max="14341" width="6.42578125" style="792" customWidth="1"/>
    <col min="14342" max="14342" width="7" style="792" customWidth="1"/>
    <col min="14343" max="14343" width="6.5703125" style="792" bestFit="1" customWidth="1"/>
    <col min="14344" max="14344" width="7.5703125" style="792" customWidth="1"/>
    <col min="14345" max="14345" width="10.85546875" style="792" customWidth="1"/>
    <col min="14346" max="14346" width="9.5703125" style="792" customWidth="1"/>
    <col min="14347" max="14347" width="11.7109375" style="792" customWidth="1"/>
    <col min="14348" max="14348" width="8.5703125" style="792" customWidth="1"/>
    <col min="14349" max="14349" width="9.140625" style="792"/>
    <col min="14350" max="14350" width="8" style="792" customWidth="1"/>
    <col min="14351" max="14351" width="7.140625" style="792" customWidth="1"/>
    <col min="14352" max="14592" width="9.140625" style="792"/>
    <col min="14593" max="14593" width="3.42578125" style="792" customWidth="1"/>
    <col min="14594" max="14594" width="4" style="792" customWidth="1"/>
    <col min="14595" max="14595" width="27" style="792" customWidth="1"/>
    <col min="14596" max="14596" width="7" style="792" customWidth="1"/>
    <col min="14597" max="14597" width="6.42578125" style="792" customWidth="1"/>
    <col min="14598" max="14598" width="7" style="792" customWidth="1"/>
    <col min="14599" max="14599" width="6.5703125" style="792" bestFit="1" customWidth="1"/>
    <col min="14600" max="14600" width="7.5703125" style="792" customWidth="1"/>
    <col min="14601" max="14601" width="10.85546875" style="792" customWidth="1"/>
    <col min="14602" max="14602" width="9.5703125" style="792" customWidth="1"/>
    <col min="14603" max="14603" width="11.7109375" style="792" customWidth="1"/>
    <col min="14604" max="14604" width="8.5703125" style="792" customWidth="1"/>
    <col min="14605" max="14605" width="9.140625" style="792"/>
    <col min="14606" max="14606" width="8" style="792" customWidth="1"/>
    <col min="14607" max="14607" width="7.140625" style="792" customWidth="1"/>
    <col min="14608" max="14848" width="9.140625" style="792"/>
    <col min="14849" max="14849" width="3.42578125" style="792" customWidth="1"/>
    <col min="14850" max="14850" width="4" style="792" customWidth="1"/>
    <col min="14851" max="14851" width="27" style="792" customWidth="1"/>
    <col min="14852" max="14852" width="7" style="792" customWidth="1"/>
    <col min="14853" max="14853" width="6.42578125" style="792" customWidth="1"/>
    <col min="14854" max="14854" width="7" style="792" customWidth="1"/>
    <col min="14855" max="14855" width="6.5703125" style="792" bestFit="1" customWidth="1"/>
    <col min="14856" max="14856" width="7.5703125" style="792" customWidth="1"/>
    <col min="14857" max="14857" width="10.85546875" style="792" customWidth="1"/>
    <col min="14858" max="14858" width="9.5703125" style="792" customWidth="1"/>
    <col min="14859" max="14859" width="11.7109375" style="792" customWidth="1"/>
    <col min="14860" max="14860" width="8.5703125" style="792" customWidth="1"/>
    <col min="14861" max="14861" width="9.140625" style="792"/>
    <col min="14862" max="14862" width="8" style="792" customWidth="1"/>
    <col min="14863" max="14863" width="7.140625" style="792" customWidth="1"/>
    <col min="14864" max="15104" width="9.140625" style="792"/>
    <col min="15105" max="15105" width="3.42578125" style="792" customWidth="1"/>
    <col min="15106" max="15106" width="4" style="792" customWidth="1"/>
    <col min="15107" max="15107" width="27" style="792" customWidth="1"/>
    <col min="15108" max="15108" width="7" style="792" customWidth="1"/>
    <col min="15109" max="15109" width="6.42578125" style="792" customWidth="1"/>
    <col min="15110" max="15110" width="7" style="792" customWidth="1"/>
    <col min="15111" max="15111" width="6.5703125" style="792" bestFit="1" customWidth="1"/>
    <col min="15112" max="15112" width="7.5703125" style="792" customWidth="1"/>
    <col min="15113" max="15113" width="10.85546875" style="792" customWidth="1"/>
    <col min="15114" max="15114" width="9.5703125" style="792" customWidth="1"/>
    <col min="15115" max="15115" width="11.7109375" style="792" customWidth="1"/>
    <col min="15116" max="15116" width="8.5703125" style="792" customWidth="1"/>
    <col min="15117" max="15117" width="9.140625" style="792"/>
    <col min="15118" max="15118" width="8" style="792" customWidth="1"/>
    <col min="15119" max="15119" width="7.140625" style="792" customWidth="1"/>
    <col min="15120" max="15360" width="9.140625" style="792"/>
    <col min="15361" max="15361" width="3.42578125" style="792" customWidth="1"/>
    <col min="15362" max="15362" width="4" style="792" customWidth="1"/>
    <col min="15363" max="15363" width="27" style="792" customWidth="1"/>
    <col min="15364" max="15364" width="7" style="792" customWidth="1"/>
    <col min="15365" max="15365" width="6.42578125" style="792" customWidth="1"/>
    <col min="15366" max="15366" width="7" style="792" customWidth="1"/>
    <col min="15367" max="15367" width="6.5703125" style="792" bestFit="1" customWidth="1"/>
    <col min="15368" max="15368" width="7.5703125" style="792" customWidth="1"/>
    <col min="15369" max="15369" width="10.85546875" style="792" customWidth="1"/>
    <col min="15370" max="15370" width="9.5703125" style="792" customWidth="1"/>
    <col min="15371" max="15371" width="11.7109375" style="792" customWidth="1"/>
    <col min="15372" max="15372" width="8.5703125" style="792" customWidth="1"/>
    <col min="15373" max="15373" width="9.140625" style="792"/>
    <col min="15374" max="15374" width="8" style="792" customWidth="1"/>
    <col min="15375" max="15375" width="7.140625" style="792" customWidth="1"/>
    <col min="15376" max="15616" width="9.140625" style="792"/>
    <col min="15617" max="15617" width="3.42578125" style="792" customWidth="1"/>
    <col min="15618" max="15618" width="4" style="792" customWidth="1"/>
    <col min="15619" max="15619" width="27" style="792" customWidth="1"/>
    <col min="15620" max="15620" width="7" style="792" customWidth="1"/>
    <col min="15621" max="15621" width="6.42578125" style="792" customWidth="1"/>
    <col min="15622" max="15622" width="7" style="792" customWidth="1"/>
    <col min="15623" max="15623" width="6.5703125" style="792" bestFit="1" customWidth="1"/>
    <col min="15624" max="15624" width="7.5703125" style="792" customWidth="1"/>
    <col min="15625" max="15625" width="10.85546875" style="792" customWidth="1"/>
    <col min="15626" max="15626" width="9.5703125" style="792" customWidth="1"/>
    <col min="15627" max="15627" width="11.7109375" style="792" customWidth="1"/>
    <col min="15628" max="15628" width="8.5703125" style="792" customWidth="1"/>
    <col min="15629" max="15629" width="9.140625" style="792"/>
    <col min="15630" max="15630" width="8" style="792" customWidth="1"/>
    <col min="15631" max="15631" width="7.140625" style="792" customWidth="1"/>
    <col min="15632" max="15872" width="9.140625" style="792"/>
    <col min="15873" max="15873" width="3.42578125" style="792" customWidth="1"/>
    <col min="15874" max="15874" width="4" style="792" customWidth="1"/>
    <col min="15875" max="15875" width="27" style="792" customWidth="1"/>
    <col min="15876" max="15876" width="7" style="792" customWidth="1"/>
    <col min="15877" max="15877" width="6.42578125" style="792" customWidth="1"/>
    <col min="15878" max="15878" width="7" style="792" customWidth="1"/>
    <col min="15879" max="15879" width="6.5703125" style="792" bestFit="1" customWidth="1"/>
    <col min="15880" max="15880" width="7.5703125" style="792" customWidth="1"/>
    <col min="15881" max="15881" width="10.85546875" style="792" customWidth="1"/>
    <col min="15882" max="15882" width="9.5703125" style="792" customWidth="1"/>
    <col min="15883" max="15883" width="11.7109375" style="792" customWidth="1"/>
    <col min="15884" max="15884" width="8.5703125" style="792" customWidth="1"/>
    <col min="15885" max="15885" width="9.140625" style="792"/>
    <col min="15886" max="15886" width="8" style="792" customWidth="1"/>
    <col min="15887" max="15887" width="7.140625" style="792" customWidth="1"/>
    <col min="15888" max="16128" width="9.140625" style="792"/>
    <col min="16129" max="16129" width="3.42578125" style="792" customWidth="1"/>
    <col min="16130" max="16130" width="4" style="792" customWidth="1"/>
    <col min="16131" max="16131" width="27" style="792" customWidth="1"/>
    <col min="16132" max="16132" width="7" style="792" customWidth="1"/>
    <col min="16133" max="16133" width="6.42578125" style="792" customWidth="1"/>
    <col min="16134" max="16134" width="7" style="792" customWidth="1"/>
    <col min="16135" max="16135" width="6.5703125" style="792" bestFit="1" customWidth="1"/>
    <col min="16136" max="16136" width="7.5703125" style="792" customWidth="1"/>
    <col min="16137" max="16137" width="10.85546875" style="792" customWidth="1"/>
    <col min="16138" max="16138" width="9.5703125" style="792" customWidth="1"/>
    <col min="16139" max="16139" width="11.7109375" style="792" customWidth="1"/>
    <col min="16140" max="16140" width="8.5703125" style="792" customWidth="1"/>
    <col min="16141" max="16141" width="9.140625" style="792"/>
    <col min="16142" max="16142" width="8" style="792" customWidth="1"/>
    <col min="16143" max="16143" width="7.140625" style="792" customWidth="1"/>
    <col min="16144" max="16384" width="9.140625" style="792"/>
  </cols>
  <sheetData>
    <row r="1" spans="1:16" x14ac:dyDescent="0.25">
      <c r="A1" s="1220" t="s">
        <v>2</v>
      </c>
      <c r="B1" s="1222" t="s">
        <v>1304</v>
      </c>
      <c r="C1" s="1222" t="s">
        <v>1305</v>
      </c>
      <c r="D1" s="1222"/>
      <c r="E1" s="1222"/>
      <c r="F1" s="1222"/>
      <c r="G1" s="1222" t="s">
        <v>1306</v>
      </c>
      <c r="H1" s="1464" t="s">
        <v>1307</v>
      </c>
      <c r="I1" s="1456" t="s">
        <v>1308</v>
      </c>
      <c r="J1" s="1456" t="s">
        <v>1309</v>
      </c>
      <c r="K1" s="1461" t="s">
        <v>1310</v>
      </c>
      <c r="L1" s="791"/>
      <c r="M1" s="791"/>
      <c r="N1" s="791"/>
      <c r="O1" s="791"/>
      <c r="P1" s="791"/>
    </row>
    <row r="2" spans="1:16" ht="28.5" customHeight="1" x14ac:dyDescent="0.25">
      <c r="A2" s="1221"/>
      <c r="B2" s="1216"/>
      <c r="C2" s="1022" t="s">
        <v>1311</v>
      </c>
      <c r="D2" s="1022" t="s">
        <v>1312</v>
      </c>
      <c r="E2" s="1022" t="s">
        <v>1313</v>
      </c>
      <c r="F2" s="1022" t="s">
        <v>1314</v>
      </c>
      <c r="G2" s="1216"/>
      <c r="H2" s="1465"/>
      <c r="I2" s="1457"/>
      <c r="J2" s="1457"/>
      <c r="K2" s="1462"/>
      <c r="L2" s="791"/>
      <c r="M2" s="811" t="s">
        <v>611</v>
      </c>
      <c r="N2" s="791"/>
      <c r="O2" s="749"/>
      <c r="P2" s="791"/>
    </row>
    <row r="3" spans="1:16" x14ac:dyDescent="0.25">
      <c r="A3" s="734">
        <v>1</v>
      </c>
      <c r="B3" s="380">
        <v>1</v>
      </c>
      <c r="C3" s="375" t="s">
        <v>1315</v>
      </c>
      <c r="D3" s="380"/>
      <c r="E3" s="380"/>
      <c r="F3" s="793">
        <v>4400</v>
      </c>
      <c r="G3" s="380" t="s">
        <v>1316</v>
      </c>
      <c r="H3" s="380">
        <v>2</v>
      </c>
      <c r="I3" s="794">
        <v>10.11</v>
      </c>
      <c r="J3" s="795">
        <f>+F3/10^3*I3*H3</f>
        <v>88.968000000000004</v>
      </c>
      <c r="K3" s="735"/>
      <c r="L3" s="791"/>
      <c r="M3" s="749"/>
      <c r="N3" s="791"/>
      <c r="O3" s="749"/>
      <c r="P3" s="791"/>
    </row>
    <row r="4" spans="1:16" x14ac:dyDescent="0.25">
      <c r="A4" s="734" t="s">
        <v>1317</v>
      </c>
      <c r="B4" s="380" t="s">
        <v>1317</v>
      </c>
      <c r="C4" s="375" t="s">
        <v>1318</v>
      </c>
      <c r="D4" s="380"/>
      <c r="E4" s="380"/>
      <c r="F4" s="793">
        <v>4000</v>
      </c>
      <c r="G4" s="380" t="s">
        <v>1316</v>
      </c>
      <c r="H4" s="380">
        <v>2</v>
      </c>
      <c r="I4" s="794">
        <v>10.11</v>
      </c>
      <c r="J4" s="795">
        <f t="shared" ref="J4:J27" si="0">+F4/10^3*I4*H4</f>
        <v>80.88</v>
      </c>
      <c r="K4" s="735"/>
      <c r="L4" s="791"/>
      <c r="M4" s="749"/>
      <c r="N4" s="791"/>
      <c r="O4" s="749"/>
      <c r="P4" s="791"/>
    </row>
    <row r="5" spans="1:16" x14ac:dyDescent="0.25">
      <c r="A5" s="734">
        <v>2</v>
      </c>
      <c r="B5" s="380">
        <v>2</v>
      </c>
      <c r="C5" s="375" t="s">
        <v>1319</v>
      </c>
      <c r="D5" s="796"/>
      <c r="E5" s="796"/>
      <c r="F5" s="793">
        <v>5300</v>
      </c>
      <c r="G5" s="380" t="s">
        <v>1316</v>
      </c>
      <c r="H5" s="796">
        <v>2</v>
      </c>
      <c r="I5" s="794">
        <v>10.11</v>
      </c>
      <c r="J5" s="795">
        <f t="shared" si="0"/>
        <v>107.166</v>
      </c>
      <c r="K5" s="797"/>
      <c r="L5" s="791"/>
      <c r="M5" s="749"/>
      <c r="N5" s="798"/>
      <c r="O5" s="749"/>
      <c r="P5" s="791"/>
    </row>
    <row r="6" spans="1:16" x14ac:dyDescent="0.25">
      <c r="A6" s="734">
        <v>3</v>
      </c>
      <c r="B6" s="380">
        <v>3</v>
      </c>
      <c r="C6" s="799" t="s">
        <v>1320</v>
      </c>
      <c r="D6" s="796"/>
      <c r="E6" s="796"/>
      <c r="F6" s="796">
        <v>600</v>
      </c>
      <c r="G6" s="380" t="s">
        <v>1316</v>
      </c>
      <c r="H6" s="796">
        <v>50</v>
      </c>
      <c r="I6" s="795">
        <f>+HLOOKUP(M6,'[7]Bang tra'!$A$2:$L$4,3)</f>
        <v>2.4700000000000002</v>
      </c>
      <c r="J6" s="795">
        <f t="shared" si="0"/>
        <v>74.099999999999994</v>
      </c>
      <c r="K6" s="797"/>
      <c r="L6" s="798"/>
      <c r="M6" s="749">
        <v>20</v>
      </c>
      <c r="N6" s="791"/>
      <c r="O6" s="749"/>
      <c r="P6" s="791"/>
    </row>
    <row r="7" spans="1:16" x14ac:dyDescent="0.25">
      <c r="A7" s="734">
        <v>4</v>
      </c>
      <c r="B7" s="380">
        <v>4</v>
      </c>
      <c r="C7" s="799" t="s">
        <v>1321</v>
      </c>
      <c r="D7" s="796"/>
      <c r="E7" s="796"/>
      <c r="F7" s="796">
        <v>3000</v>
      </c>
      <c r="G7" s="380" t="s">
        <v>1316</v>
      </c>
      <c r="H7" s="796">
        <v>5</v>
      </c>
      <c r="I7" s="795">
        <f>+HLOOKUP(M7,'[7]Bang tra'!$A$2:$L$4,3)</f>
        <v>0.39500000000000002</v>
      </c>
      <c r="J7" s="795">
        <f t="shared" si="0"/>
        <v>5.9250000000000007</v>
      </c>
      <c r="K7" s="797"/>
      <c r="L7" s="798"/>
      <c r="M7" s="749">
        <v>8</v>
      </c>
      <c r="N7" s="791"/>
      <c r="O7" s="749"/>
      <c r="P7" s="791"/>
    </row>
    <row r="8" spans="1:16" x14ac:dyDescent="0.25">
      <c r="A8" s="734">
        <v>5</v>
      </c>
      <c r="B8" s="380">
        <v>5</v>
      </c>
      <c r="C8" s="799" t="s">
        <v>1322</v>
      </c>
      <c r="D8" s="796"/>
      <c r="E8" s="796"/>
      <c r="F8" s="796">
        <v>2588</v>
      </c>
      <c r="G8" s="380" t="s">
        <v>1316</v>
      </c>
      <c r="H8" s="796">
        <v>7</v>
      </c>
      <c r="I8" s="795">
        <f>+HLOOKUP(M8,'[7]Bang tra'!$A$2:$L$4,3)</f>
        <v>0.39500000000000002</v>
      </c>
      <c r="J8" s="795">
        <f t="shared" si="0"/>
        <v>7.1558200000000012</v>
      </c>
      <c r="K8" s="797"/>
      <c r="L8" s="798"/>
      <c r="M8" s="791">
        <v>8</v>
      </c>
      <c r="N8" s="791"/>
      <c r="O8" s="791"/>
      <c r="P8" s="791"/>
    </row>
    <row r="9" spans="1:16" x14ac:dyDescent="0.25">
      <c r="A9" s="734">
        <v>6</v>
      </c>
      <c r="B9" s="380">
        <v>6</v>
      </c>
      <c r="C9" s="799" t="s">
        <v>1323</v>
      </c>
      <c r="D9" s="796"/>
      <c r="E9" s="796"/>
      <c r="F9" s="796">
        <v>3431</v>
      </c>
      <c r="G9" s="380" t="s">
        <v>1316</v>
      </c>
      <c r="H9" s="796">
        <v>3</v>
      </c>
      <c r="I9" s="795">
        <v>9.36</v>
      </c>
      <c r="J9" s="795">
        <f t="shared" si="0"/>
        <v>96.342479999999995</v>
      </c>
      <c r="K9" s="797"/>
      <c r="L9" s="798"/>
      <c r="M9" s="791"/>
      <c r="N9" s="791"/>
      <c r="O9" s="791"/>
      <c r="P9" s="791"/>
    </row>
    <row r="10" spans="1:16" x14ac:dyDescent="0.25">
      <c r="A10" s="734">
        <v>7</v>
      </c>
      <c r="B10" s="380">
        <v>7</v>
      </c>
      <c r="C10" s="799" t="s">
        <v>1324</v>
      </c>
      <c r="D10" s="796"/>
      <c r="E10" s="796"/>
      <c r="F10" s="796">
        <v>2000</v>
      </c>
      <c r="G10" s="380" t="s">
        <v>1316</v>
      </c>
      <c r="H10" s="796">
        <v>3</v>
      </c>
      <c r="I10" s="795">
        <v>9.36</v>
      </c>
      <c r="J10" s="795">
        <f t="shared" si="0"/>
        <v>56.16</v>
      </c>
      <c r="K10" s="797"/>
      <c r="L10" s="798"/>
      <c r="M10" s="791"/>
      <c r="N10" s="791"/>
      <c r="O10" s="791"/>
      <c r="P10" s="791"/>
    </row>
    <row r="11" spans="1:16" x14ac:dyDescent="0.25">
      <c r="A11" s="734">
        <v>8</v>
      </c>
      <c r="B11" s="380">
        <v>8</v>
      </c>
      <c r="C11" s="799" t="s">
        <v>1325</v>
      </c>
      <c r="D11" s="796"/>
      <c r="E11" s="796"/>
      <c r="F11" s="796">
        <v>1799</v>
      </c>
      <c r="G11" s="380" t="s">
        <v>1316</v>
      </c>
      <c r="H11" s="796">
        <v>3</v>
      </c>
      <c r="I11" s="795">
        <v>9.36</v>
      </c>
      <c r="J11" s="795">
        <f t="shared" si="0"/>
        <v>50.515919999999994</v>
      </c>
      <c r="K11" s="797"/>
      <c r="L11" s="798"/>
      <c r="M11" s="791"/>
      <c r="N11" s="791"/>
      <c r="O11" s="791"/>
      <c r="P11" s="791"/>
    </row>
    <row r="12" spans="1:16" x14ac:dyDescent="0.25">
      <c r="A12" s="734">
        <v>9</v>
      </c>
      <c r="B12" s="380">
        <v>9</v>
      </c>
      <c r="C12" s="799" t="s">
        <v>1326</v>
      </c>
      <c r="D12" s="796"/>
      <c r="E12" s="796"/>
      <c r="F12" s="796">
        <v>1500</v>
      </c>
      <c r="G12" s="380" t="s">
        <v>1316</v>
      </c>
      <c r="H12" s="796">
        <v>5</v>
      </c>
      <c r="I12" s="794">
        <v>9.36</v>
      </c>
      <c r="J12" s="795">
        <f t="shared" si="0"/>
        <v>70.199999999999989</v>
      </c>
      <c r="K12" s="797"/>
      <c r="L12" s="791"/>
      <c r="P12" s="791"/>
    </row>
    <row r="13" spans="1:16" x14ac:dyDescent="0.25">
      <c r="A13" s="734">
        <v>10</v>
      </c>
      <c r="B13" s="380">
        <v>10</v>
      </c>
      <c r="C13" s="799" t="s">
        <v>1327</v>
      </c>
      <c r="D13" s="796"/>
      <c r="E13" s="796"/>
      <c r="F13" s="796">
        <v>1559</v>
      </c>
      <c r="G13" s="380" t="s">
        <v>1316</v>
      </c>
      <c r="H13" s="796">
        <v>3</v>
      </c>
      <c r="I13" s="794">
        <v>10.11</v>
      </c>
      <c r="J13" s="795">
        <f t="shared" si="0"/>
        <v>47.284469999999999</v>
      </c>
      <c r="K13" s="797"/>
      <c r="L13" s="791"/>
      <c r="P13" s="791"/>
    </row>
    <row r="14" spans="1:16" x14ac:dyDescent="0.25">
      <c r="A14" s="734">
        <v>11</v>
      </c>
      <c r="B14" s="380">
        <v>11</v>
      </c>
      <c r="C14" s="799" t="s">
        <v>1328</v>
      </c>
      <c r="D14" s="796"/>
      <c r="E14" s="796"/>
      <c r="F14" s="796">
        <v>950</v>
      </c>
      <c r="G14" s="380" t="s">
        <v>1316</v>
      </c>
      <c r="H14" s="796">
        <v>3</v>
      </c>
      <c r="I14" s="794">
        <v>10.11</v>
      </c>
      <c r="J14" s="795">
        <f t="shared" si="0"/>
        <v>28.813499999999998</v>
      </c>
      <c r="K14" s="797"/>
      <c r="L14" s="791"/>
      <c r="P14" s="791"/>
    </row>
    <row r="15" spans="1:16" x14ac:dyDescent="0.25">
      <c r="A15" s="734">
        <v>12</v>
      </c>
      <c r="B15" s="380">
        <v>12</v>
      </c>
      <c r="C15" s="799" t="s">
        <v>1329</v>
      </c>
      <c r="D15" s="796">
        <v>1500</v>
      </c>
      <c r="E15" s="796">
        <v>5</v>
      </c>
      <c r="F15" s="796">
        <v>3431</v>
      </c>
      <c r="G15" s="796" t="s">
        <v>1330</v>
      </c>
      <c r="H15" s="796">
        <v>1</v>
      </c>
      <c r="I15" s="795">
        <v>51.369863013698627</v>
      </c>
      <c r="J15" s="795">
        <f t="shared" si="0"/>
        <v>176.25</v>
      </c>
      <c r="K15" s="797"/>
      <c r="L15" s="798"/>
      <c r="P15" s="791"/>
    </row>
    <row r="16" spans="1:16" x14ac:dyDescent="0.25">
      <c r="A16" s="734">
        <v>13</v>
      </c>
      <c r="B16" s="380">
        <v>13</v>
      </c>
      <c r="C16" s="799" t="s">
        <v>1331</v>
      </c>
      <c r="D16" s="796">
        <v>45</v>
      </c>
      <c r="E16" s="796">
        <v>10</v>
      </c>
      <c r="F16" s="796">
        <v>150</v>
      </c>
      <c r="G16" s="796" t="s">
        <v>1330</v>
      </c>
      <c r="H16" s="796">
        <v>12</v>
      </c>
      <c r="I16" s="795">
        <v>3.5333333333333337</v>
      </c>
      <c r="J16" s="795">
        <f t="shared" si="0"/>
        <v>6.36</v>
      </c>
      <c r="K16" s="797"/>
      <c r="L16" s="798"/>
      <c r="P16" s="791"/>
    </row>
    <row r="17" spans="1:16" x14ac:dyDescent="0.25">
      <c r="A17" s="734">
        <v>14</v>
      </c>
      <c r="B17" s="380">
        <v>14</v>
      </c>
      <c r="C17" s="799" t="s">
        <v>1332</v>
      </c>
      <c r="D17" s="796">
        <v>400</v>
      </c>
      <c r="E17" s="796">
        <v>15</v>
      </c>
      <c r="F17" s="796">
        <v>400</v>
      </c>
      <c r="G17" s="796" t="s">
        <v>1330</v>
      </c>
      <c r="H17" s="796">
        <v>6</v>
      </c>
      <c r="I17" s="794">
        <v>47.099999999999994</v>
      </c>
      <c r="J17" s="795">
        <f t="shared" si="0"/>
        <v>113.03999999999999</v>
      </c>
      <c r="K17" s="797"/>
      <c r="L17" s="791"/>
      <c r="P17" s="791"/>
    </row>
    <row r="18" spans="1:16" x14ac:dyDescent="0.25">
      <c r="A18" s="734">
        <v>15</v>
      </c>
      <c r="B18" s="380">
        <v>15</v>
      </c>
      <c r="C18" s="799" t="s">
        <v>1333</v>
      </c>
      <c r="D18" s="796"/>
      <c r="E18" s="796"/>
      <c r="F18" s="796">
        <v>1100</v>
      </c>
      <c r="G18" s="796" t="s">
        <v>1316</v>
      </c>
      <c r="H18" s="796">
        <v>6</v>
      </c>
      <c r="I18" s="794">
        <v>10.11</v>
      </c>
      <c r="J18" s="795">
        <f t="shared" si="0"/>
        <v>66.725999999999999</v>
      </c>
      <c r="K18" s="797"/>
      <c r="L18" s="791"/>
      <c r="P18" s="791"/>
    </row>
    <row r="19" spans="1:16" x14ac:dyDescent="0.25">
      <c r="A19" s="734">
        <v>16</v>
      </c>
      <c r="B19" s="380">
        <v>16</v>
      </c>
      <c r="C19" s="799" t="s">
        <v>1334</v>
      </c>
      <c r="D19" s="796"/>
      <c r="E19" s="796"/>
      <c r="F19" s="796">
        <v>3220</v>
      </c>
      <c r="G19" s="796" t="s">
        <v>1316</v>
      </c>
      <c r="H19" s="796">
        <v>2</v>
      </c>
      <c r="I19" s="794">
        <v>10.11</v>
      </c>
      <c r="J19" s="795">
        <f t="shared" si="0"/>
        <v>65.108400000000003</v>
      </c>
      <c r="K19" s="797"/>
      <c r="L19" s="791"/>
      <c r="P19" s="791"/>
    </row>
    <row r="20" spans="1:16" x14ac:dyDescent="0.25">
      <c r="A20" s="734">
        <v>17</v>
      </c>
      <c r="B20" s="380">
        <v>17</v>
      </c>
      <c r="C20" s="799" t="s">
        <v>1335</v>
      </c>
      <c r="D20" s="796"/>
      <c r="E20" s="796"/>
      <c r="F20" s="796">
        <v>3190</v>
      </c>
      <c r="G20" s="796" t="s">
        <v>1316</v>
      </c>
      <c r="H20" s="796">
        <v>4</v>
      </c>
      <c r="I20" s="795">
        <f>+HLOOKUP(M20,'[7]Bang tra'!$A$2:$L$4,3)</f>
        <v>0.39500000000000002</v>
      </c>
      <c r="J20" s="795">
        <f t="shared" si="0"/>
        <v>5.0402000000000005</v>
      </c>
      <c r="K20" s="797"/>
      <c r="L20" s="798"/>
      <c r="M20" s="792">
        <v>8</v>
      </c>
      <c r="P20" s="791"/>
    </row>
    <row r="21" spans="1:16" x14ac:dyDescent="0.25">
      <c r="A21" s="734">
        <v>18</v>
      </c>
      <c r="B21" s="380">
        <v>18</v>
      </c>
      <c r="C21" s="375" t="s">
        <v>1336</v>
      </c>
      <c r="D21" s="380"/>
      <c r="E21" s="380"/>
      <c r="F21" s="380">
        <v>1500</v>
      </c>
      <c r="G21" s="796" t="s">
        <v>1316</v>
      </c>
      <c r="H21" s="380">
        <v>1</v>
      </c>
      <c r="I21" s="794">
        <v>10.11</v>
      </c>
      <c r="J21" s="795">
        <f t="shared" si="0"/>
        <v>15.164999999999999</v>
      </c>
      <c r="K21" s="735"/>
      <c r="L21" s="791"/>
      <c r="P21" s="791"/>
    </row>
    <row r="22" spans="1:16" x14ac:dyDescent="0.25">
      <c r="A22" s="734">
        <v>19</v>
      </c>
      <c r="B22" s="380">
        <v>19</v>
      </c>
      <c r="C22" s="375" t="s">
        <v>1337</v>
      </c>
      <c r="D22" s="380"/>
      <c r="E22" s="380"/>
      <c r="F22" s="380">
        <v>1390</v>
      </c>
      <c r="G22" s="796" t="s">
        <v>1316</v>
      </c>
      <c r="H22" s="380">
        <v>2</v>
      </c>
      <c r="I22" s="795">
        <f>+HLOOKUP(M22,'[7]Bang tra'!$A$2:$L$4,3)</f>
        <v>0.39500000000000002</v>
      </c>
      <c r="J22" s="795">
        <f t="shared" si="0"/>
        <v>1.0981000000000001</v>
      </c>
      <c r="K22" s="735"/>
      <c r="L22" s="798"/>
      <c r="M22" s="792">
        <v>8</v>
      </c>
      <c r="P22" s="791"/>
    </row>
    <row r="23" spans="1:16" x14ac:dyDescent="0.25">
      <c r="A23" s="734">
        <v>20</v>
      </c>
      <c r="B23" s="380">
        <v>20</v>
      </c>
      <c r="C23" s="799" t="s">
        <v>1338</v>
      </c>
      <c r="D23" s="380">
        <v>400</v>
      </c>
      <c r="E23" s="380">
        <v>10</v>
      </c>
      <c r="F23" s="380">
        <v>400</v>
      </c>
      <c r="G23" s="380" t="s">
        <v>1330</v>
      </c>
      <c r="H23" s="380">
        <v>6</v>
      </c>
      <c r="I23" s="794">
        <v>31.4</v>
      </c>
      <c r="J23" s="795">
        <f t="shared" si="0"/>
        <v>75.36</v>
      </c>
      <c r="K23" s="735"/>
      <c r="L23" s="791"/>
      <c r="P23" s="791"/>
    </row>
    <row r="24" spans="1:16" x14ac:dyDescent="0.25">
      <c r="A24" s="734">
        <v>21</v>
      </c>
      <c r="B24" s="380">
        <v>21</v>
      </c>
      <c r="C24" s="375" t="s">
        <v>1339</v>
      </c>
      <c r="D24" s="380"/>
      <c r="E24" s="380"/>
      <c r="F24" s="380">
        <v>958</v>
      </c>
      <c r="G24" s="380" t="s">
        <v>1340</v>
      </c>
      <c r="H24" s="380">
        <v>12</v>
      </c>
      <c r="I24" s="795">
        <v>2.463465553235908</v>
      </c>
      <c r="J24" s="795">
        <f t="shared" si="0"/>
        <v>28.32</v>
      </c>
      <c r="K24" s="735"/>
      <c r="L24" s="798"/>
      <c r="P24" s="791"/>
    </row>
    <row r="25" spans="1:16" x14ac:dyDescent="0.25">
      <c r="A25" s="734">
        <v>22</v>
      </c>
      <c r="B25" s="380" t="s">
        <v>1341</v>
      </c>
      <c r="C25" s="375" t="s">
        <v>1342</v>
      </c>
      <c r="D25" s="380"/>
      <c r="E25" s="380">
        <v>16</v>
      </c>
      <c r="F25" s="380"/>
      <c r="G25" s="380" t="s">
        <v>1340</v>
      </c>
      <c r="H25" s="380">
        <f>+H24*4</f>
        <v>48</v>
      </c>
      <c r="I25" s="380">
        <v>0.06</v>
      </c>
      <c r="J25" s="795">
        <f>I25*H25</f>
        <v>2.88</v>
      </c>
      <c r="K25" s="735"/>
      <c r="L25" s="791"/>
      <c r="P25" s="791"/>
    </row>
    <row r="26" spans="1:16" x14ac:dyDescent="0.25">
      <c r="A26" s="734">
        <v>23</v>
      </c>
      <c r="B26" s="380" t="s">
        <v>1343</v>
      </c>
      <c r="C26" s="375" t="s">
        <v>1344</v>
      </c>
      <c r="D26" s="380"/>
      <c r="E26" s="380">
        <v>4</v>
      </c>
      <c r="F26" s="380"/>
      <c r="G26" s="380" t="s">
        <v>1340</v>
      </c>
      <c r="H26" s="380">
        <f>+H24*2</f>
        <v>24</v>
      </c>
      <c r="I26" s="380">
        <v>0.01</v>
      </c>
      <c r="J26" s="795">
        <f>I26*H26</f>
        <v>0.24</v>
      </c>
      <c r="K26" s="735"/>
      <c r="L26" s="791"/>
      <c r="P26" s="791"/>
    </row>
    <row r="27" spans="1:16" ht="13.5" thickBot="1" x14ac:dyDescent="0.3">
      <c r="A27" s="741">
        <v>24</v>
      </c>
      <c r="B27" s="800">
        <v>22</v>
      </c>
      <c r="C27" s="801" t="s">
        <v>1345</v>
      </c>
      <c r="D27" s="800"/>
      <c r="E27" s="800"/>
      <c r="F27" s="800">
        <v>600</v>
      </c>
      <c r="G27" s="800" t="s">
        <v>1316</v>
      </c>
      <c r="H27" s="800">
        <f>6*2</f>
        <v>12</v>
      </c>
      <c r="I27" s="802">
        <v>10.11</v>
      </c>
      <c r="J27" s="803">
        <f t="shared" si="0"/>
        <v>72.792000000000002</v>
      </c>
      <c r="K27" s="804"/>
      <c r="L27" s="791"/>
      <c r="P27" s="791"/>
    </row>
    <row r="28" spans="1:16" x14ac:dyDescent="0.25">
      <c r="A28" s="1448" t="s">
        <v>1346</v>
      </c>
      <c r="B28" s="1449"/>
      <c r="C28" s="1463" t="s">
        <v>1347</v>
      </c>
      <c r="D28" s="1463"/>
      <c r="E28" s="1463"/>
      <c r="F28" s="1463"/>
      <c r="G28" s="1463"/>
      <c r="H28" s="1463"/>
      <c r="I28" s="1463"/>
      <c r="J28" s="1463"/>
      <c r="K28" s="1023">
        <f>J3+J4+J5+J9+J10+J11+J12+J13+J14+J18+J19+J21+J25+J26+J27</f>
        <v>849.24176999999986</v>
      </c>
      <c r="L28" s="791"/>
      <c r="P28" s="791"/>
    </row>
    <row r="29" spans="1:16" x14ac:dyDescent="0.25">
      <c r="A29" s="1431"/>
      <c r="B29" s="1432"/>
      <c r="C29" s="1459" t="s">
        <v>1348</v>
      </c>
      <c r="D29" s="1459"/>
      <c r="E29" s="1459"/>
      <c r="F29" s="1459"/>
      <c r="G29" s="1459"/>
      <c r="H29" s="1459"/>
      <c r="I29" s="1459"/>
      <c r="J29" s="1459"/>
      <c r="K29" s="1024">
        <f>+J15+J16+J17+J23</f>
        <v>371.01</v>
      </c>
      <c r="L29" s="791"/>
      <c r="P29" s="791"/>
    </row>
    <row r="30" spans="1:16" x14ac:dyDescent="0.25">
      <c r="A30" s="1431"/>
      <c r="B30" s="1432"/>
      <c r="C30" s="1459" t="s">
        <v>1349</v>
      </c>
      <c r="D30" s="1459"/>
      <c r="E30" s="1459"/>
      <c r="F30" s="1459"/>
      <c r="G30" s="1459"/>
      <c r="H30" s="1459"/>
      <c r="I30" s="1459"/>
      <c r="J30" s="1459"/>
      <c r="K30" s="1024">
        <f>+J7+J8+J22+J20</f>
        <v>19.219120000000004</v>
      </c>
      <c r="L30" s="791"/>
      <c r="P30" s="791"/>
    </row>
    <row r="31" spans="1:16" x14ac:dyDescent="0.25">
      <c r="A31" s="1431"/>
      <c r="B31" s="1432"/>
      <c r="C31" s="1459" t="s">
        <v>1350</v>
      </c>
      <c r="D31" s="1459"/>
      <c r="E31" s="1459"/>
      <c r="F31" s="1459"/>
      <c r="G31" s="1459"/>
      <c r="H31" s="1459"/>
      <c r="I31" s="1459"/>
      <c r="J31" s="1459"/>
      <c r="K31" s="1024">
        <f>+J6</f>
        <v>74.099999999999994</v>
      </c>
      <c r="L31" s="791"/>
      <c r="N31" s="805"/>
      <c r="P31" s="791"/>
    </row>
    <row r="32" spans="1:16" ht="13.5" thickBot="1" x14ac:dyDescent="0.3">
      <c r="A32" s="1433"/>
      <c r="B32" s="1434"/>
      <c r="C32" s="1460" t="s">
        <v>1351</v>
      </c>
      <c r="D32" s="1460"/>
      <c r="E32" s="1460"/>
      <c r="F32" s="1460"/>
      <c r="G32" s="1460"/>
      <c r="H32" s="1460"/>
      <c r="I32" s="1460"/>
      <c r="J32" s="1460"/>
      <c r="K32" s="1025" t="str">
        <f>+$H$24&amp;"/"&amp;$J$24</f>
        <v>12/28,32</v>
      </c>
      <c r="L32" s="791"/>
      <c r="P32" s="791"/>
    </row>
    <row r="33" spans="1:16" hidden="1" x14ac:dyDescent="0.25">
      <c r="A33" s="1431" t="s">
        <v>1352</v>
      </c>
      <c r="B33" s="1432"/>
      <c r="C33" s="1458" t="s">
        <v>1347</v>
      </c>
      <c r="D33" s="1458"/>
      <c r="E33" s="1458"/>
      <c r="F33" s="1458"/>
      <c r="G33" s="1458"/>
      <c r="H33" s="1458"/>
      <c r="I33" s="1458"/>
      <c r="J33" s="1458"/>
      <c r="K33" s="806">
        <f>K28*2</f>
        <v>1698.4835399999997</v>
      </c>
      <c r="L33" s="791"/>
      <c r="P33" s="791"/>
    </row>
    <row r="34" spans="1:16" hidden="1" x14ac:dyDescent="0.25">
      <c r="A34" s="1431"/>
      <c r="B34" s="1432"/>
      <c r="C34" s="1459" t="s">
        <v>1348</v>
      </c>
      <c r="D34" s="1459"/>
      <c r="E34" s="1459"/>
      <c r="F34" s="1459"/>
      <c r="G34" s="1459"/>
      <c r="H34" s="1459"/>
      <c r="I34" s="1459"/>
      <c r="J34" s="1459"/>
      <c r="K34" s="806">
        <f>K29*2</f>
        <v>742.02</v>
      </c>
      <c r="L34" s="791"/>
      <c r="P34" s="791"/>
    </row>
    <row r="35" spans="1:16" hidden="1" x14ac:dyDescent="0.25">
      <c r="A35" s="1431"/>
      <c r="B35" s="1432"/>
      <c r="C35" s="1459" t="s">
        <v>1349</v>
      </c>
      <c r="D35" s="1459"/>
      <c r="E35" s="1459"/>
      <c r="F35" s="1459"/>
      <c r="G35" s="1459"/>
      <c r="H35" s="1459"/>
      <c r="I35" s="1459"/>
      <c r="J35" s="1459"/>
      <c r="K35" s="806">
        <f>K30*2</f>
        <v>38.438240000000008</v>
      </c>
      <c r="L35" s="791"/>
      <c r="P35" s="791"/>
    </row>
    <row r="36" spans="1:16" hidden="1" x14ac:dyDescent="0.25">
      <c r="A36" s="1431"/>
      <c r="B36" s="1432"/>
      <c r="C36" s="1459" t="s">
        <v>1353</v>
      </c>
      <c r="D36" s="1459"/>
      <c r="E36" s="1459"/>
      <c r="F36" s="1459"/>
      <c r="G36" s="1459"/>
      <c r="H36" s="1459"/>
      <c r="I36" s="1459"/>
      <c r="J36" s="1459"/>
      <c r="K36" s="806">
        <f>K31*2</f>
        <v>148.19999999999999</v>
      </c>
      <c r="L36" s="798"/>
      <c r="P36" s="791"/>
    </row>
    <row r="37" spans="1:16" ht="13.5" hidden="1" thickBot="1" x14ac:dyDescent="0.3">
      <c r="A37" s="1433"/>
      <c r="B37" s="1434"/>
      <c r="C37" s="1460" t="s">
        <v>1351</v>
      </c>
      <c r="D37" s="1460"/>
      <c r="E37" s="1460"/>
      <c r="F37" s="1460"/>
      <c r="G37" s="1460"/>
      <c r="H37" s="1460"/>
      <c r="I37" s="1460"/>
      <c r="J37" s="1460"/>
      <c r="K37" s="747" t="str">
        <f>+$H$24*2&amp;"/"&amp;$J$24*2</f>
        <v>24/56,64</v>
      </c>
      <c r="L37" s="791"/>
      <c r="P37" s="791"/>
    </row>
    <row r="38" spans="1:16" x14ac:dyDescent="0.25">
      <c r="A38" s="791"/>
      <c r="B38" s="791"/>
      <c r="C38" s="791"/>
      <c r="D38" s="791"/>
      <c r="E38" s="791"/>
      <c r="F38" s="791"/>
      <c r="G38" s="791"/>
      <c r="H38" s="791"/>
      <c r="I38" s="791"/>
      <c r="J38" s="791"/>
      <c r="K38" s="791"/>
      <c r="L38" s="791"/>
      <c r="P38" s="791"/>
    </row>
    <row r="39" spans="1:16" x14ac:dyDescent="0.25">
      <c r="A39" s="791"/>
      <c r="B39" s="791"/>
      <c r="C39" s="791"/>
      <c r="D39" s="791"/>
      <c r="E39" s="791"/>
      <c r="F39" s="791"/>
      <c r="G39" s="791"/>
      <c r="H39" s="791"/>
      <c r="I39" s="791"/>
      <c r="J39" s="791"/>
      <c r="K39" s="791"/>
      <c r="L39" s="791"/>
      <c r="P39" s="791"/>
    </row>
    <row r="41" spans="1:16" ht="13.5" thickBot="1" x14ac:dyDescent="0.3"/>
    <row r="42" spans="1:16" ht="16.5" customHeight="1" x14ac:dyDescent="0.25">
      <c r="A42" s="1220" t="s">
        <v>2</v>
      </c>
      <c r="B42" s="1222" t="s">
        <v>1304</v>
      </c>
      <c r="C42" s="1222" t="s">
        <v>1305</v>
      </c>
      <c r="D42" s="1222"/>
      <c r="E42" s="1222"/>
      <c r="F42" s="1222"/>
      <c r="G42" s="1222" t="s">
        <v>1306</v>
      </c>
      <c r="H42" s="1456" t="s">
        <v>1307</v>
      </c>
      <c r="I42" s="1222" t="s">
        <v>1354</v>
      </c>
      <c r="J42" s="1222"/>
      <c r="K42" s="1446" t="s">
        <v>1310</v>
      </c>
    </row>
    <row r="43" spans="1:16" ht="22.5" customHeight="1" x14ac:dyDescent="0.25">
      <c r="A43" s="1221"/>
      <c r="B43" s="1216"/>
      <c r="C43" s="1022" t="s">
        <v>1311</v>
      </c>
      <c r="D43" s="1022" t="s">
        <v>1312</v>
      </c>
      <c r="E43" s="1022" t="s">
        <v>1313</v>
      </c>
      <c r="F43" s="1022" t="s">
        <v>1314</v>
      </c>
      <c r="G43" s="1216"/>
      <c r="H43" s="1457"/>
      <c r="I43" s="1022" t="s">
        <v>1306</v>
      </c>
      <c r="J43" s="1022" t="s">
        <v>693</v>
      </c>
      <c r="K43" s="1447"/>
    </row>
    <row r="44" spans="1:16" x14ac:dyDescent="0.25">
      <c r="A44" s="734">
        <v>1</v>
      </c>
      <c r="B44" s="380">
        <v>1</v>
      </c>
      <c r="C44" s="799" t="s">
        <v>1355</v>
      </c>
      <c r="D44" s="380"/>
      <c r="E44" s="380"/>
      <c r="F44" s="380">
        <v>2100</v>
      </c>
      <c r="G44" s="380" t="s">
        <v>1316</v>
      </c>
      <c r="H44" s="380">
        <v>2</v>
      </c>
      <c r="I44" s="380">
        <v>14.53</v>
      </c>
      <c r="J44" s="380">
        <f t="shared" ref="J44:J54" si="1">I44*H44</f>
        <v>29.06</v>
      </c>
      <c r="K44" s="735"/>
    </row>
    <row r="45" spans="1:16" x14ac:dyDescent="0.25">
      <c r="A45" s="734">
        <v>2</v>
      </c>
      <c r="B45" s="380">
        <v>2</v>
      </c>
      <c r="C45" s="375" t="s">
        <v>1356</v>
      </c>
      <c r="D45" s="796"/>
      <c r="E45" s="796"/>
      <c r="F45" s="796">
        <v>1080</v>
      </c>
      <c r="G45" s="380" t="s">
        <v>1316</v>
      </c>
      <c r="H45" s="796">
        <v>3</v>
      </c>
      <c r="I45" s="796">
        <v>4.75</v>
      </c>
      <c r="J45" s="380">
        <f t="shared" si="1"/>
        <v>14.25</v>
      </c>
      <c r="K45" s="797"/>
    </row>
    <row r="46" spans="1:16" x14ac:dyDescent="0.25">
      <c r="A46" s="734">
        <v>3</v>
      </c>
      <c r="B46" s="380">
        <v>3</v>
      </c>
      <c r="C46" s="799" t="s">
        <v>1357</v>
      </c>
      <c r="D46" s="796"/>
      <c r="E46" s="796"/>
      <c r="F46" s="796">
        <v>1080</v>
      </c>
      <c r="G46" s="380" t="s">
        <v>1316</v>
      </c>
      <c r="H46" s="796">
        <v>2</v>
      </c>
      <c r="I46" s="796">
        <v>15.34</v>
      </c>
      <c r="J46" s="380">
        <f t="shared" si="1"/>
        <v>30.68</v>
      </c>
      <c r="K46" s="797"/>
    </row>
    <row r="47" spans="1:16" x14ac:dyDescent="0.25">
      <c r="A47" s="734">
        <v>4</v>
      </c>
      <c r="B47" s="380">
        <v>4</v>
      </c>
      <c r="C47" s="799" t="s">
        <v>1358</v>
      </c>
      <c r="D47" s="796"/>
      <c r="E47" s="796"/>
      <c r="F47" s="796">
        <v>2100</v>
      </c>
      <c r="G47" s="380" t="s">
        <v>1316</v>
      </c>
      <c r="H47" s="796">
        <v>2</v>
      </c>
      <c r="I47" s="796">
        <v>29.82</v>
      </c>
      <c r="J47" s="380">
        <f t="shared" si="1"/>
        <v>59.64</v>
      </c>
      <c r="K47" s="797"/>
    </row>
    <row r="48" spans="1:16" x14ac:dyDescent="0.25">
      <c r="A48" s="734">
        <v>5</v>
      </c>
      <c r="B48" s="380">
        <v>5</v>
      </c>
      <c r="C48" s="799" t="s">
        <v>1359</v>
      </c>
      <c r="D48" s="796">
        <v>1050</v>
      </c>
      <c r="E48" s="796">
        <v>3</v>
      </c>
      <c r="F48" s="796">
        <v>1050</v>
      </c>
      <c r="G48" s="380" t="s">
        <v>1330</v>
      </c>
      <c r="H48" s="796">
        <v>1</v>
      </c>
      <c r="I48" s="796">
        <v>25.96</v>
      </c>
      <c r="J48" s="380">
        <f t="shared" si="1"/>
        <v>25.96</v>
      </c>
      <c r="K48" s="797"/>
    </row>
    <row r="49" spans="1:13" x14ac:dyDescent="0.25">
      <c r="A49" s="734">
        <v>6</v>
      </c>
      <c r="B49" s="380">
        <v>6</v>
      </c>
      <c r="C49" s="799" t="s">
        <v>1360</v>
      </c>
      <c r="D49" s="796"/>
      <c r="E49" s="796"/>
      <c r="F49" s="796">
        <v>950</v>
      </c>
      <c r="G49" s="380" t="s">
        <v>1316</v>
      </c>
      <c r="H49" s="796">
        <v>2</v>
      </c>
      <c r="I49" s="796">
        <v>4.18</v>
      </c>
      <c r="J49" s="380">
        <f t="shared" si="1"/>
        <v>8.36</v>
      </c>
      <c r="K49" s="797"/>
    </row>
    <row r="50" spans="1:13" x14ac:dyDescent="0.25">
      <c r="A50" s="734">
        <v>7</v>
      </c>
      <c r="B50" s="380">
        <v>7</v>
      </c>
      <c r="C50" s="799" t="s">
        <v>1361</v>
      </c>
      <c r="D50" s="796"/>
      <c r="E50" s="796"/>
      <c r="F50" s="796">
        <v>1050</v>
      </c>
      <c r="G50" s="380" t="s">
        <v>1316</v>
      </c>
      <c r="H50" s="796">
        <v>2</v>
      </c>
      <c r="I50" s="796">
        <v>4.62</v>
      </c>
      <c r="J50" s="380">
        <f t="shared" si="1"/>
        <v>9.24</v>
      </c>
      <c r="K50" s="797"/>
    </row>
    <row r="51" spans="1:13" x14ac:dyDescent="0.25">
      <c r="A51" s="734">
        <v>8</v>
      </c>
      <c r="B51" s="380">
        <v>8</v>
      </c>
      <c r="C51" s="799" t="s">
        <v>1360</v>
      </c>
      <c r="D51" s="796"/>
      <c r="E51" s="796"/>
      <c r="F51" s="796">
        <v>950</v>
      </c>
      <c r="G51" s="380" t="s">
        <v>1316</v>
      </c>
      <c r="H51" s="796">
        <v>1</v>
      </c>
      <c r="I51" s="796">
        <v>4.18</v>
      </c>
      <c r="J51" s="380">
        <f t="shared" si="1"/>
        <v>4.18</v>
      </c>
      <c r="K51" s="797"/>
    </row>
    <row r="52" spans="1:13" x14ac:dyDescent="0.25">
      <c r="A52" s="734">
        <v>9</v>
      </c>
      <c r="B52" s="380">
        <v>9</v>
      </c>
      <c r="C52" s="799" t="s">
        <v>1362</v>
      </c>
      <c r="D52" s="796"/>
      <c r="E52" s="796"/>
      <c r="F52" s="796">
        <v>950</v>
      </c>
      <c r="G52" s="380" t="s">
        <v>1316</v>
      </c>
      <c r="H52" s="796">
        <v>1</v>
      </c>
      <c r="I52" s="795">
        <f>+HLOOKUP(M52,'[7]Bang tra'!$A$2:$L$4,3)</f>
        <v>1.58</v>
      </c>
      <c r="J52" s="380">
        <f t="shared" si="1"/>
        <v>1.58</v>
      </c>
      <c r="K52" s="797"/>
      <c r="M52" s="792">
        <v>16</v>
      </c>
    </row>
    <row r="53" spans="1:13" x14ac:dyDescent="0.25">
      <c r="A53" s="734">
        <v>10</v>
      </c>
      <c r="B53" s="380">
        <v>10</v>
      </c>
      <c r="C53" s="799" t="s">
        <v>1363</v>
      </c>
      <c r="D53" s="796">
        <v>30</v>
      </c>
      <c r="E53" s="796">
        <v>2</v>
      </c>
      <c r="F53" s="796">
        <v>109</v>
      </c>
      <c r="G53" s="380" t="s">
        <v>1330</v>
      </c>
      <c r="H53" s="796">
        <v>10</v>
      </c>
      <c r="I53" s="796">
        <v>0.05</v>
      </c>
      <c r="J53" s="380">
        <f t="shared" si="1"/>
        <v>0.5</v>
      </c>
      <c r="K53" s="797"/>
    </row>
    <row r="54" spans="1:13" ht="13.5" thickBot="1" x14ac:dyDescent="0.3">
      <c r="A54" s="807">
        <v>11</v>
      </c>
      <c r="B54" s="800">
        <v>11</v>
      </c>
      <c r="C54" s="808" t="s">
        <v>1364</v>
      </c>
      <c r="D54" s="809"/>
      <c r="E54" s="809"/>
      <c r="F54" s="809">
        <v>565</v>
      </c>
      <c r="G54" s="800" t="s">
        <v>1316</v>
      </c>
      <c r="H54" s="809">
        <v>1</v>
      </c>
      <c r="I54" s="795">
        <f>+HLOOKUP(M54,'[7]Bang tra'!$A$2:$L$4,3)</f>
        <v>1.58</v>
      </c>
      <c r="J54" s="800">
        <f t="shared" si="1"/>
        <v>1.58</v>
      </c>
      <c r="K54" s="810" t="s">
        <v>1365</v>
      </c>
      <c r="M54" s="792">
        <v>16</v>
      </c>
    </row>
    <row r="55" spans="1:13" x14ac:dyDescent="0.25">
      <c r="A55" s="1448" t="s">
        <v>1366</v>
      </c>
      <c r="B55" s="1449"/>
      <c r="C55" s="1450" t="s">
        <v>1367</v>
      </c>
      <c r="D55" s="1451"/>
      <c r="E55" s="1451"/>
      <c r="F55" s="1452"/>
      <c r="G55" s="1453" t="s">
        <v>1368</v>
      </c>
      <c r="H55" s="1453"/>
      <c r="I55" s="1454">
        <f>J44+J45+J46+J47+J49+J50+J51</f>
        <v>155.41000000000003</v>
      </c>
      <c r="J55" s="1454"/>
      <c r="K55" s="1455"/>
    </row>
    <row r="56" spans="1:13" x14ac:dyDescent="0.25">
      <c r="A56" s="1431"/>
      <c r="B56" s="1432"/>
      <c r="C56" s="1419" t="s">
        <v>1369</v>
      </c>
      <c r="D56" s="1420"/>
      <c r="E56" s="1420"/>
      <c r="F56" s="1421"/>
      <c r="G56" s="1441" t="s">
        <v>1368</v>
      </c>
      <c r="H56" s="1442"/>
      <c r="I56" s="1443">
        <f>+J48+J53</f>
        <v>26.46</v>
      </c>
      <c r="J56" s="1444"/>
      <c r="K56" s="1445"/>
    </row>
    <row r="57" spans="1:13" x14ac:dyDescent="0.25">
      <c r="A57" s="1431"/>
      <c r="B57" s="1432"/>
      <c r="C57" s="1419" t="s">
        <v>1370</v>
      </c>
      <c r="D57" s="1420"/>
      <c r="E57" s="1420"/>
      <c r="F57" s="1421"/>
      <c r="G57" s="1441" t="s">
        <v>1368</v>
      </c>
      <c r="H57" s="1442"/>
      <c r="I57" s="1443">
        <f>J54+J52</f>
        <v>3.16</v>
      </c>
      <c r="J57" s="1444"/>
      <c r="K57" s="1445"/>
    </row>
    <row r="58" spans="1:13" x14ac:dyDescent="0.25">
      <c r="A58" s="1431"/>
      <c r="B58" s="1432"/>
      <c r="C58" s="1419" t="s">
        <v>1371</v>
      </c>
      <c r="D58" s="1420"/>
      <c r="E58" s="1420"/>
      <c r="F58" s="1421"/>
      <c r="G58" s="1422" t="s">
        <v>737</v>
      </c>
      <c r="H58" s="1422"/>
      <c r="I58" s="1423">
        <v>10</v>
      </c>
      <c r="J58" s="1423"/>
      <c r="K58" s="1424"/>
    </row>
    <row r="59" spans="1:13" x14ac:dyDescent="0.25">
      <c r="A59" s="1431"/>
      <c r="B59" s="1432"/>
      <c r="C59" s="1419" t="s">
        <v>1372</v>
      </c>
      <c r="D59" s="1420"/>
      <c r="E59" s="1420"/>
      <c r="F59" s="1421"/>
      <c r="G59" s="1422" t="s">
        <v>1373</v>
      </c>
      <c r="H59" s="1422"/>
      <c r="I59" s="1423" t="s">
        <v>1374</v>
      </c>
      <c r="J59" s="1423"/>
      <c r="K59" s="1424"/>
    </row>
    <row r="60" spans="1:13" x14ac:dyDescent="0.25">
      <c r="A60" s="1431"/>
      <c r="B60" s="1432"/>
      <c r="C60" s="1419" t="s">
        <v>1375</v>
      </c>
      <c r="D60" s="1420"/>
      <c r="E60" s="1420"/>
      <c r="F60" s="1421"/>
      <c r="G60" s="1422" t="s">
        <v>1376</v>
      </c>
      <c r="H60" s="1422"/>
      <c r="I60" s="1423">
        <v>1</v>
      </c>
      <c r="J60" s="1423"/>
      <c r="K60" s="1424"/>
    </row>
    <row r="61" spans="1:13" x14ac:dyDescent="0.25">
      <c r="A61" s="1431"/>
      <c r="B61" s="1432"/>
      <c r="C61" s="1419" t="s">
        <v>1377</v>
      </c>
      <c r="D61" s="1420"/>
      <c r="E61" s="1420"/>
      <c r="F61" s="1421"/>
      <c r="G61" s="1422" t="s">
        <v>737</v>
      </c>
      <c r="H61" s="1422"/>
      <c r="I61" s="1423">
        <v>10</v>
      </c>
      <c r="J61" s="1423"/>
      <c r="K61" s="1424"/>
    </row>
    <row r="62" spans="1:13" ht="13.5" thickBot="1" x14ac:dyDescent="0.3">
      <c r="A62" s="1433"/>
      <c r="B62" s="1434"/>
      <c r="C62" s="1425" t="s">
        <v>1378</v>
      </c>
      <c r="D62" s="1426"/>
      <c r="E62" s="1426"/>
      <c r="F62" s="1427"/>
      <c r="G62" s="1428" t="s">
        <v>1158</v>
      </c>
      <c r="H62" s="1428"/>
      <c r="I62" s="1429">
        <v>0.02</v>
      </c>
      <c r="J62" s="1429"/>
      <c r="K62" s="1430"/>
    </row>
    <row r="63" spans="1:13" ht="12.75" customHeight="1" x14ac:dyDescent="0.25">
      <c r="A63" s="1431" t="s">
        <v>1379</v>
      </c>
      <c r="B63" s="1432"/>
      <c r="C63" s="1435" t="s">
        <v>1367</v>
      </c>
      <c r="D63" s="1436"/>
      <c r="E63" s="1436"/>
      <c r="F63" s="1437"/>
      <c r="G63" s="1438" t="s">
        <v>1368</v>
      </c>
      <c r="H63" s="1438"/>
      <c r="I63" s="1439">
        <f>I55*2</f>
        <v>310.82000000000005</v>
      </c>
      <c r="J63" s="1439"/>
      <c r="K63" s="1440"/>
    </row>
    <row r="64" spans="1:13" x14ac:dyDescent="0.25">
      <c r="A64" s="1431"/>
      <c r="B64" s="1432"/>
      <c r="C64" s="1419" t="s">
        <v>1369</v>
      </c>
      <c r="D64" s="1420"/>
      <c r="E64" s="1420"/>
      <c r="F64" s="1421"/>
      <c r="G64" s="1441" t="s">
        <v>1368</v>
      </c>
      <c r="H64" s="1442"/>
      <c r="I64" s="1423">
        <f>I56*2</f>
        <v>52.92</v>
      </c>
      <c r="J64" s="1423"/>
      <c r="K64" s="1424"/>
    </row>
    <row r="65" spans="1:11" x14ac:dyDescent="0.25">
      <c r="A65" s="1431"/>
      <c r="B65" s="1432"/>
      <c r="C65" s="1419" t="s">
        <v>1380</v>
      </c>
      <c r="D65" s="1420"/>
      <c r="E65" s="1420"/>
      <c r="F65" s="1421"/>
      <c r="G65" s="1441" t="s">
        <v>1368</v>
      </c>
      <c r="H65" s="1442"/>
      <c r="I65" s="1423">
        <f>I57*2</f>
        <v>6.32</v>
      </c>
      <c r="J65" s="1423"/>
      <c r="K65" s="1424"/>
    </row>
    <row r="66" spans="1:11" x14ac:dyDescent="0.25">
      <c r="A66" s="1431"/>
      <c r="B66" s="1432"/>
      <c r="C66" s="1419" t="s">
        <v>1371</v>
      </c>
      <c r="D66" s="1420"/>
      <c r="E66" s="1420"/>
      <c r="F66" s="1421"/>
      <c r="G66" s="1422" t="s">
        <v>737</v>
      </c>
      <c r="H66" s="1422"/>
      <c r="I66" s="1423">
        <f>I58*2</f>
        <v>20</v>
      </c>
      <c r="J66" s="1423"/>
      <c r="K66" s="1424"/>
    </row>
    <row r="67" spans="1:11" x14ac:dyDescent="0.25">
      <c r="A67" s="1431"/>
      <c r="B67" s="1432"/>
      <c r="C67" s="1419" t="s">
        <v>1372</v>
      </c>
      <c r="D67" s="1420"/>
      <c r="E67" s="1420"/>
      <c r="F67" s="1421"/>
      <c r="G67" s="1422" t="s">
        <v>1373</v>
      </c>
      <c r="H67" s="1422"/>
      <c r="I67" s="1423" t="s">
        <v>1381</v>
      </c>
      <c r="J67" s="1423"/>
      <c r="K67" s="1424"/>
    </row>
    <row r="68" spans="1:11" x14ac:dyDescent="0.25">
      <c r="A68" s="1431"/>
      <c r="B68" s="1432"/>
      <c r="C68" s="1419" t="s">
        <v>1375</v>
      </c>
      <c r="D68" s="1420"/>
      <c r="E68" s="1420"/>
      <c r="F68" s="1421"/>
      <c r="G68" s="1422" t="s">
        <v>1376</v>
      </c>
      <c r="H68" s="1422"/>
      <c r="I68" s="1423">
        <f>I60*2</f>
        <v>2</v>
      </c>
      <c r="J68" s="1423"/>
      <c r="K68" s="1424"/>
    </row>
    <row r="69" spans="1:11" x14ac:dyDescent="0.25">
      <c r="A69" s="1431"/>
      <c r="B69" s="1432"/>
      <c r="C69" s="1419" t="s">
        <v>1377</v>
      </c>
      <c r="D69" s="1420"/>
      <c r="E69" s="1420"/>
      <c r="F69" s="1421"/>
      <c r="G69" s="1422" t="s">
        <v>737</v>
      </c>
      <c r="H69" s="1422"/>
      <c r="I69" s="1423">
        <f>I61*2</f>
        <v>20</v>
      </c>
      <c r="J69" s="1423"/>
      <c r="K69" s="1424"/>
    </row>
    <row r="70" spans="1:11" ht="13.5" thickBot="1" x14ac:dyDescent="0.3">
      <c r="A70" s="1433"/>
      <c r="B70" s="1434"/>
      <c r="C70" s="1425" t="s">
        <v>1378</v>
      </c>
      <c r="D70" s="1426"/>
      <c r="E70" s="1426"/>
      <c r="F70" s="1427"/>
      <c r="G70" s="1428" t="s">
        <v>1158</v>
      </c>
      <c r="H70" s="1428"/>
      <c r="I70" s="1429">
        <f>I62*2</f>
        <v>0.04</v>
      </c>
      <c r="J70" s="1429"/>
      <c r="K70" s="1430"/>
    </row>
    <row r="71" spans="1:11" x14ac:dyDescent="0.25">
      <c r="A71" s="1418"/>
      <c r="B71" s="1418"/>
      <c r="C71" s="1418"/>
      <c r="D71" s="1418"/>
      <c r="E71" s="1418"/>
      <c r="F71" s="1418"/>
      <c r="G71" s="1418"/>
      <c r="H71" s="1418"/>
      <c r="I71" s="1418"/>
      <c r="J71" s="1418"/>
      <c r="K71" s="1418"/>
    </row>
  </sheetData>
  <mergeCells count="79">
    <mergeCell ref="J1:J2"/>
    <mergeCell ref="K1:K2"/>
    <mergeCell ref="A28:B32"/>
    <mergeCell ref="C28:J28"/>
    <mergeCell ref="C29:J29"/>
    <mergeCell ref="C30:J30"/>
    <mergeCell ref="C31:J31"/>
    <mergeCell ref="C32:J32"/>
    <mergeCell ref="A1:A2"/>
    <mergeCell ref="B1:B2"/>
    <mergeCell ref="C1:F1"/>
    <mergeCell ref="G1:G2"/>
    <mergeCell ref="H1:H2"/>
    <mergeCell ref="I1:I2"/>
    <mergeCell ref="A33:B37"/>
    <mergeCell ref="C33:J33"/>
    <mergeCell ref="C34:J34"/>
    <mergeCell ref="C35:J35"/>
    <mergeCell ref="C36:J36"/>
    <mergeCell ref="C37:J37"/>
    <mergeCell ref="K42:K43"/>
    <mergeCell ref="A55:B62"/>
    <mergeCell ref="C55:F55"/>
    <mergeCell ref="G55:H55"/>
    <mergeCell ref="I55:K55"/>
    <mergeCell ref="C56:F56"/>
    <mergeCell ref="G56:H56"/>
    <mergeCell ref="I56:K56"/>
    <mergeCell ref="C57:F57"/>
    <mergeCell ref="G57:H57"/>
    <mergeCell ref="A42:A43"/>
    <mergeCell ref="B42:B43"/>
    <mergeCell ref="C42:F42"/>
    <mergeCell ref="G42:G43"/>
    <mergeCell ref="H42:H43"/>
    <mergeCell ref="I42:J42"/>
    <mergeCell ref="I57:K57"/>
    <mergeCell ref="C58:F58"/>
    <mergeCell ref="G58:H58"/>
    <mergeCell ref="I58:K58"/>
    <mergeCell ref="C59:F59"/>
    <mergeCell ref="G59:H59"/>
    <mergeCell ref="I59:K59"/>
    <mergeCell ref="C60:F60"/>
    <mergeCell ref="G60:H60"/>
    <mergeCell ref="I60:K60"/>
    <mergeCell ref="C61:F61"/>
    <mergeCell ref="G61:H61"/>
    <mergeCell ref="I61:K61"/>
    <mergeCell ref="C62:F62"/>
    <mergeCell ref="G62:H62"/>
    <mergeCell ref="I62:K62"/>
    <mergeCell ref="A63:B70"/>
    <mergeCell ref="C63:F63"/>
    <mergeCell ref="G63:H63"/>
    <mergeCell ref="I63:K63"/>
    <mergeCell ref="C64:F64"/>
    <mergeCell ref="G64:H64"/>
    <mergeCell ref="I64:K64"/>
    <mergeCell ref="C65:F65"/>
    <mergeCell ref="G65:H65"/>
    <mergeCell ref="I65:K65"/>
    <mergeCell ref="C66:F66"/>
    <mergeCell ref="G66:H66"/>
    <mergeCell ref="I66:K66"/>
    <mergeCell ref="C67:F67"/>
    <mergeCell ref="G67:H67"/>
    <mergeCell ref="I67:K67"/>
    <mergeCell ref="C68:F68"/>
    <mergeCell ref="G68:H68"/>
    <mergeCell ref="I68:K68"/>
    <mergeCell ref="A71:I71"/>
    <mergeCell ref="J71:K71"/>
    <mergeCell ref="C69:F69"/>
    <mergeCell ref="G69:H69"/>
    <mergeCell ref="I69:K69"/>
    <mergeCell ref="C70:F70"/>
    <mergeCell ref="G70:H70"/>
    <mergeCell ref="I70:K70"/>
  </mergeCells>
  <hyperlinks>
    <hyperlink ref="M2" location="'Bảng dien giai KL hoan cong'!A1" display="Quay lai"/>
  </hyperlinks>
  <pageMargins left="0.7" right="0.7" top="0.75" bottom="0.75" header="0.3" footer="0.3"/>
  <pageSetup paperSize="9" scale="86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9"/>
  <sheetViews>
    <sheetView showGridLines="0" topLeftCell="A13" workbookViewId="0"/>
  </sheetViews>
  <sheetFormatPr defaultRowHeight="15" x14ac:dyDescent="0.25"/>
  <cols>
    <col min="1" max="1" width="7.140625" customWidth="1"/>
    <col min="2" max="2" width="13.85546875" customWidth="1"/>
    <col min="3" max="3" width="12.7109375" customWidth="1"/>
    <col min="4" max="4" width="12.28515625" customWidth="1"/>
    <col min="5" max="5" width="11.85546875" customWidth="1"/>
    <col min="6" max="6" width="12" customWidth="1"/>
    <col min="7" max="7" width="12.7109375" customWidth="1"/>
    <col min="8" max="8" width="15.5703125" customWidth="1"/>
  </cols>
  <sheetData>
    <row r="2" spans="1:9" ht="15.75" x14ac:dyDescent="0.25">
      <c r="A2" s="1466" t="s">
        <v>1465</v>
      </c>
      <c r="B2" s="1466"/>
      <c r="C2" s="1466"/>
      <c r="D2" s="1466"/>
      <c r="E2" s="1466"/>
      <c r="F2" s="1466"/>
      <c r="G2" s="1466"/>
      <c r="H2" s="1466"/>
      <c r="I2" s="1466"/>
    </row>
    <row r="3" spans="1:9" ht="17.25" customHeight="1" x14ac:dyDescent="0.25">
      <c r="A3" s="1469" t="s">
        <v>1469</v>
      </c>
      <c r="B3" s="1469"/>
      <c r="C3" s="1469"/>
      <c r="D3" s="1469"/>
      <c r="E3" s="1469"/>
      <c r="F3" s="1469"/>
      <c r="G3" s="1469"/>
      <c r="H3" s="1469"/>
      <c r="I3" s="1469"/>
    </row>
    <row r="4" spans="1:9" x14ac:dyDescent="0.25">
      <c r="A4" s="1467" t="s">
        <v>377</v>
      </c>
      <c r="B4" s="1467" t="s">
        <v>1457</v>
      </c>
      <c r="C4" s="990" t="s">
        <v>378</v>
      </c>
      <c r="D4" s="990" t="s">
        <v>477</v>
      </c>
      <c r="E4" s="1467" t="s">
        <v>1261</v>
      </c>
      <c r="F4" s="1467" t="s">
        <v>380</v>
      </c>
      <c r="G4" s="990" t="s">
        <v>381</v>
      </c>
      <c r="H4" s="990" t="s">
        <v>515</v>
      </c>
      <c r="I4" s="1167" t="s">
        <v>0</v>
      </c>
    </row>
    <row r="5" spans="1:9" ht="21.75" customHeight="1" x14ac:dyDescent="0.25">
      <c r="A5" s="1467"/>
      <c r="B5" s="1467"/>
      <c r="C5" s="991" t="s">
        <v>556</v>
      </c>
      <c r="D5" s="991" t="s">
        <v>556</v>
      </c>
      <c r="E5" s="1467"/>
      <c r="F5" s="1467"/>
      <c r="G5" s="991" t="s">
        <v>416</v>
      </c>
      <c r="H5" s="991" t="s">
        <v>410</v>
      </c>
      <c r="I5" s="1172"/>
    </row>
    <row r="6" spans="1:9" ht="17.25" customHeight="1" x14ac:dyDescent="0.25">
      <c r="A6" s="1045">
        <v>1</v>
      </c>
      <c r="B6" s="1046" t="s">
        <v>357</v>
      </c>
      <c r="C6" s="1045">
        <v>20</v>
      </c>
      <c r="D6" s="1045">
        <v>4220</v>
      </c>
      <c r="E6" s="1042" t="s">
        <v>585</v>
      </c>
      <c r="F6" s="1045">
        <v>32</v>
      </c>
      <c r="G6" s="1046">
        <v>3.85</v>
      </c>
      <c r="H6" s="1047">
        <f>G6*D6*F6*10^-3</f>
        <v>519.904</v>
      </c>
      <c r="I6" s="1468" t="s">
        <v>1462</v>
      </c>
    </row>
    <row r="7" spans="1:9" ht="17.25" customHeight="1" x14ac:dyDescent="0.25">
      <c r="A7" s="207">
        <v>2</v>
      </c>
      <c r="B7" s="122" t="s">
        <v>358</v>
      </c>
      <c r="C7" s="207">
        <v>20</v>
      </c>
      <c r="D7" s="207">
        <v>3135</v>
      </c>
      <c r="E7" s="1007" t="s">
        <v>585</v>
      </c>
      <c r="F7" s="207">
        <v>2</v>
      </c>
      <c r="G7" s="122">
        <v>3.85</v>
      </c>
      <c r="H7" s="1040">
        <f t="shared" ref="H7:H10" si="0">G7*D7*F7*10^-3</f>
        <v>24.139500000000002</v>
      </c>
      <c r="I7" s="1468"/>
    </row>
    <row r="8" spans="1:9" ht="17.25" customHeight="1" x14ac:dyDescent="0.25">
      <c r="A8" s="207">
        <v>3</v>
      </c>
      <c r="B8" s="122" t="s">
        <v>361</v>
      </c>
      <c r="C8" s="207">
        <v>10</v>
      </c>
      <c r="D8" s="207">
        <v>330</v>
      </c>
      <c r="E8" s="1007" t="s">
        <v>585</v>
      </c>
      <c r="F8" s="207">
        <v>4</v>
      </c>
      <c r="G8" s="122">
        <f>VLOOKUP(C8,'CKN T4 '!$M$5:$N$19,2,0)</f>
        <v>0.61699999999999999</v>
      </c>
      <c r="H8" s="1040">
        <f t="shared" si="0"/>
        <v>0.81443999999999994</v>
      </c>
      <c r="I8" s="1468"/>
    </row>
    <row r="9" spans="1:9" ht="17.25" customHeight="1" x14ac:dyDescent="0.25">
      <c r="A9" s="207">
        <v>4</v>
      </c>
      <c r="B9" s="122" t="s">
        <v>363</v>
      </c>
      <c r="C9" s="207">
        <v>10</v>
      </c>
      <c r="D9" s="207">
        <v>72000</v>
      </c>
      <c r="E9" s="1007" t="s">
        <v>124</v>
      </c>
      <c r="F9" s="207">
        <v>1</v>
      </c>
      <c r="G9" s="122">
        <f>VLOOKUP(C9,'CKN T4 '!$M$5:$N$19,2,0)</f>
        <v>0.61699999999999999</v>
      </c>
      <c r="H9" s="1040">
        <f t="shared" si="0"/>
        <v>44.423999999999999</v>
      </c>
      <c r="I9" s="1468"/>
    </row>
    <row r="10" spans="1:9" ht="17.25" customHeight="1" x14ac:dyDescent="0.25">
      <c r="A10" s="207">
        <v>5</v>
      </c>
      <c r="B10" s="122" t="s">
        <v>1458</v>
      </c>
      <c r="C10" s="207">
        <v>10</v>
      </c>
      <c r="D10" s="207">
        <v>15188</v>
      </c>
      <c r="E10" s="1007" t="s">
        <v>124</v>
      </c>
      <c r="F10" s="207">
        <v>1</v>
      </c>
      <c r="G10" s="122">
        <f>VLOOKUP(C10,'CKN T4 '!$M$5:$N$19,2,0)</f>
        <v>0.61699999999999999</v>
      </c>
      <c r="H10" s="1040">
        <f t="shared" si="0"/>
        <v>9.3709959999999999</v>
      </c>
      <c r="I10" s="1468"/>
    </row>
    <row r="11" spans="1:9" ht="17.25" customHeight="1" x14ac:dyDescent="0.25">
      <c r="A11" s="1043"/>
      <c r="B11" s="1015" t="s">
        <v>1459</v>
      </c>
      <c r="C11" s="1048"/>
      <c r="D11" s="1049"/>
      <c r="E11" s="1050"/>
      <c r="F11" s="1049"/>
      <c r="G11" s="1051"/>
      <c r="H11" s="1041">
        <f>SUM(H6:H10)</f>
        <v>598.65293599999995</v>
      </c>
      <c r="I11" s="1468"/>
    </row>
    <row r="12" spans="1:9" ht="17.25" customHeight="1" x14ac:dyDescent="0.25">
      <c r="A12" s="1044"/>
      <c r="B12" s="1015" t="s">
        <v>489</v>
      </c>
      <c r="C12" s="1048"/>
      <c r="D12" s="1051"/>
      <c r="E12" s="121" t="s">
        <v>124</v>
      </c>
      <c r="F12" s="1048"/>
      <c r="G12" s="1051"/>
      <c r="H12" s="1015">
        <f>H13*3</f>
        <v>12.66</v>
      </c>
      <c r="I12" s="1468"/>
    </row>
    <row r="13" spans="1:9" ht="17.25" customHeight="1" x14ac:dyDescent="0.25">
      <c r="A13" s="1044"/>
      <c r="B13" s="1015" t="s">
        <v>1460</v>
      </c>
      <c r="C13" s="1048"/>
      <c r="D13" s="1051"/>
      <c r="E13" s="121" t="s">
        <v>124</v>
      </c>
      <c r="F13" s="1048"/>
      <c r="G13" s="1051"/>
      <c r="H13" s="1015">
        <v>4.22</v>
      </c>
      <c r="I13" s="1468"/>
    </row>
    <row r="14" spans="1:9" ht="17.25" customHeight="1" x14ac:dyDescent="0.25">
      <c r="A14" s="1045"/>
      <c r="B14" s="1015" t="s">
        <v>1461</v>
      </c>
      <c r="C14" s="1048"/>
      <c r="D14" s="1051"/>
      <c r="E14" s="121" t="s">
        <v>10</v>
      </c>
      <c r="F14" s="1048"/>
      <c r="G14" s="1051"/>
      <c r="H14" s="1015">
        <v>5.72</v>
      </c>
      <c r="I14" s="1238"/>
    </row>
    <row r="15" spans="1:9" ht="17.25" customHeight="1" x14ac:dyDescent="0.25">
      <c r="A15" s="207">
        <v>1</v>
      </c>
      <c r="B15" s="122" t="s">
        <v>357</v>
      </c>
      <c r="C15" s="207">
        <v>20</v>
      </c>
      <c r="D15" s="207">
        <v>3120</v>
      </c>
      <c r="E15" s="1007" t="s">
        <v>585</v>
      </c>
      <c r="F15" s="207">
        <v>32</v>
      </c>
      <c r="G15" s="122">
        <v>3.85</v>
      </c>
      <c r="H15" s="1040">
        <f>G15*D15*F15*10^-3</f>
        <v>384.38400000000001</v>
      </c>
      <c r="I15" s="1237" t="s">
        <v>1463</v>
      </c>
    </row>
    <row r="16" spans="1:9" ht="17.25" customHeight="1" x14ac:dyDescent="0.25">
      <c r="A16" s="207">
        <v>2</v>
      </c>
      <c r="B16" s="122" t="s">
        <v>358</v>
      </c>
      <c r="C16" s="207">
        <v>20</v>
      </c>
      <c r="D16" s="207">
        <v>3899</v>
      </c>
      <c r="E16" s="1007" t="s">
        <v>585</v>
      </c>
      <c r="F16" s="207">
        <v>2</v>
      </c>
      <c r="G16" s="122">
        <v>3.85</v>
      </c>
      <c r="H16" s="1040">
        <f t="shared" ref="H16:H19" si="1">G16*D16*F16*10^-3</f>
        <v>30.022300000000001</v>
      </c>
      <c r="I16" s="1468"/>
    </row>
    <row r="17" spans="1:9" ht="17.25" customHeight="1" x14ac:dyDescent="0.25">
      <c r="A17" s="207">
        <v>3</v>
      </c>
      <c r="B17" s="122" t="s">
        <v>361</v>
      </c>
      <c r="C17" s="207">
        <v>10</v>
      </c>
      <c r="D17" s="207">
        <v>330</v>
      </c>
      <c r="E17" s="1007" t="s">
        <v>585</v>
      </c>
      <c r="F17" s="207">
        <v>4</v>
      </c>
      <c r="G17" s="122">
        <f>VLOOKUP(C17,'CKN T4 '!$M$5:$N$19,2,0)</f>
        <v>0.61699999999999999</v>
      </c>
      <c r="H17" s="1040">
        <f t="shared" si="1"/>
        <v>0.81443999999999994</v>
      </c>
      <c r="I17" s="1468"/>
    </row>
    <row r="18" spans="1:9" ht="17.25" customHeight="1" x14ac:dyDescent="0.25">
      <c r="A18" s="207">
        <v>4</v>
      </c>
      <c r="B18" s="122" t="s">
        <v>363</v>
      </c>
      <c r="C18" s="207">
        <v>10</v>
      </c>
      <c r="D18" s="207">
        <v>69000</v>
      </c>
      <c r="E18" s="1007" t="s">
        <v>124</v>
      </c>
      <c r="F18" s="207">
        <v>1</v>
      </c>
      <c r="G18" s="122">
        <f>VLOOKUP(C18,'CKN T4 '!$M$5:$N$19,2,0)</f>
        <v>0.61699999999999999</v>
      </c>
      <c r="H18" s="1040">
        <f t="shared" si="1"/>
        <v>42.573</v>
      </c>
      <c r="I18" s="1468"/>
    </row>
    <row r="19" spans="1:9" ht="17.25" customHeight="1" x14ac:dyDescent="0.25">
      <c r="A19" s="207">
        <v>5</v>
      </c>
      <c r="B19" s="122" t="s">
        <v>1458</v>
      </c>
      <c r="C19" s="207">
        <v>10</v>
      </c>
      <c r="D19" s="207">
        <v>24764</v>
      </c>
      <c r="E19" s="1007" t="s">
        <v>124</v>
      </c>
      <c r="F19" s="207">
        <v>1</v>
      </c>
      <c r="G19" s="122">
        <f>VLOOKUP(C19,'CKN T4 '!$M$5:$N$19,2,0)</f>
        <v>0.61699999999999999</v>
      </c>
      <c r="H19" s="1040">
        <f t="shared" si="1"/>
        <v>15.279387999999999</v>
      </c>
      <c r="I19" s="1468"/>
    </row>
    <row r="20" spans="1:9" ht="17.25" customHeight="1" x14ac:dyDescent="0.25">
      <c r="A20" s="1043"/>
      <c r="B20" s="1048" t="s">
        <v>1459</v>
      </c>
      <c r="C20" s="1049"/>
      <c r="D20" s="1049"/>
      <c r="E20" s="1050"/>
      <c r="F20" s="1049"/>
      <c r="G20" s="1051"/>
      <c r="H20" s="1041">
        <f>SUM(H15:H19)</f>
        <v>473.07312799999994</v>
      </c>
      <c r="I20" s="1468"/>
    </row>
    <row r="21" spans="1:9" ht="17.25" customHeight="1" x14ac:dyDescent="0.25">
      <c r="A21" s="1044"/>
      <c r="B21" s="1015" t="s">
        <v>489</v>
      </c>
      <c r="C21" s="1048"/>
      <c r="D21" s="1051"/>
      <c r="E21" s="121" t="s">
        <v>124</v>
      </c>
      <c r="F21" s="1048"/>
      <c r="G21" s="1051"/>
      <c r="H21" s="1015">
        <f>H22*3</f>
        <v>9.36</v>
      </c>
      <c r="I21" s="1468"/>
    </row>
    <row r="22" spans="1:9" ht="17.25" customHeight="1" x14ac:dyDescent="0.25">
      <c r="A22" s="1044"/>
      <c r="B22" s="1015" t="s">
        <v>1460</v>
      </c>
      <c r="C22" s="1048"/>
      <c r="D22" s="1051"/>
      <c r="E22" s="121" t="s">
        <v>124</v>
      </c>
      <c r="F22" s="1048"/>
      <c r="G22" s="1051"/>
      <c r="H22" s="1015">
        <v>3.12</v>
      </c>
      <c r="I22" s="1468"/>
    </row>
    <row r="23" spans="1:9" ht="17.25" customHeight="1" x14ac:dyDescent="0.25">
      <c r="A23" s="1045"/>
      <c r="B23" s="1015" t="s">
        <v>1461</v>
      </c>
      <c r="C23" s="1048"/>
      <c r="D23" s="1051"/>
      <c r="E23" s="121" t="s">
        <v>10</v>
      </c>
      <c r="F23" s="1048"/>
      <c r="G23" s="1051"/>
      <c r="H23" s="1015">
        <v>6.57</v>
      </c>
      <c r="I23" s="1238"/>
    </row>
    <row r="24" spans="1:9" ht="17.25" customHeight="1" x14ac:dyDescent="0.25">
      <c r="A24" s="207">
        <v>1</v>
      </c>
      <c r="B24" s="122" t="s">
        <v>357</v>
      </c>
      <c r="C24" s="207">
        <v>20</v>
      </c>
      <c r="D24" s="207">
        <v>6430</v>
      </c>
      <c r="E24" s="1007" t="s">
        <v>585</v>
      </c>
      <c r="F24" s="207">
        <v>32</v>
      </c>
      <c r="G24" s="122">
        <v>3.85</v>
      </c>
      <c r="H24" s="1040">
        <f>G24*D24*F24*10^-3</f>
        <v>792.17600000000004</v>
      </c>
      <c r="I24" s="1237" t="s">
        <v>1464</v>
      </c>
    </row>
    <row r="25" spans="1:9" ht="17.25" customHeight="1" x14ac:dyDescent="0.25">
      <c r="A25" s="207">
        <v>2</v>
      </c>
      <c r="B25" s="122" t="s">
        <v>358</v>
      </c>
      <c r="C25" s="207">
        <v>20</v>
      </c>
      <c r="D25" s="207">
        <v>3707</v>
      </c>
      <c r="E25" s="1007" t="s">
        <v>585</v>
      </c>
      <c r="F25" s="207">
        <v>2</v>
      </c>
      <c r="G25" s="122">
        <v>3.85</v>
      </c>
      <c r="H25" s="1040">
        <f t="shared" ref="H25:H28" si="2">G25*D25*F25*10^-3</f>
        <v>28.543900000000001</v>
      </c>
      <c r="I25" s="1468"/>
    </row>
    <row r="26" spans="1:9" ht="17.25" customHeight="1" x14ac:dyDescent="0.25">
      <c r="A26" s="207">
        <v>3</v>
      </c>
      <c r="B26" s="122" t="s">
        <v>361</v>
      </c>
      <c r="C26" s="207">
        <v>10</v>
      </c>
      <c r="D26" s="207">
        <v>330</v>
      </c>
      <c r="E26" s="1007" t="s">
        <v>585</v>
      </c>
      <c r="F26" s="207">
        <v>4</v>
      </c>
      <c r="G26" s="122">
        <f>VLOOKUP(C26,'CKN T4 '!$M$5:$N$19,2,0)</f>
        <v>0.61699999999999999</v>
      </c>
      <c r="H26" s="1040">
        <f t="shared" si="2"/>
        <v>0.81443999999999994</v>
      </c>
      <c r="I26" s="1468"/>
    </row>
    <row r="27" spans="1:9" ht="17.25" customHeight="1" x14ac:dyDescent="0.25">
      <c r="A27" s="207">
        <v>4</v>
      </c>
      <c r="B27" s="122" t="s">
        <v>363</v>
      </c>
      <c r="C27" s="207">
        <v>10</v>
      </c>
      <c r="D27" s="207">
        <v>142000</v>
      </c>
      <c r="E27" s="1007" t="s">
        <v>124</v>
      </c>
      <c r="F27" s="207">
        <v>1</v>
      </c>
      <c r="G27" s="122">
        <f>VLOOKUP(C27,'CKN T4 '!$M$5:$N$19,2,0)</f>
        <v>0.61699999999999999</v>
      </c>
      <c r="H27" s="1040">
        <f t="shared" si="2"/>
        <v>87.614000000000004</v>
      </c>
      <c r="I27" s="1468"/>
    </row>
    <row r="28" spans="1:9" ht="17.25" customHeight="1" x14ac:dyDescent="0.25">
      <c r="A28" s="207">
        <v>5</v>
      </c>
      <c r="B28" s="122" t="s">
        <v>1458</v>
      </c>
      <c r="C28" s="207">
        <v>10</v>
      </c>
      <c r="D28" s="207">
        <v>24764</v>
      </c>
      <c r="E28" s="1007" t="s">
        <v>124</v>
      </c>
      <c r="F28" s="207">
        <v>1</v>
      </c>
      <c r="G28" s="122">
        <f>VLOOKUP(C28,'CKN T4 '!$M$5:$N$19,2,0)</f>
        <v>0.61699999999999999</v>
      </c>
      <c r="H28" s="1040">
        <f t="shared" si="2"/>
        <v>15.279387999999999</v>
      </c>
      <c r="I28" s="1468"/>
    </row>
    <row r="29" spans="1:9" ht="17.25" customHeight="1" x14ac:dyDescent="0.25">
      <c r="A29" s="1043"/>
      <c r="B29" s="1015" t="s">
        <v>1459</v>
      </c>
      <c r="C29" s="1048"/>
      <c r="D29" s="1049"/>
      <c r="E29" s="1050"/>
      <c r="F29" s="1049"/>
      <c r="G29" s="1051"/>
      <c r="H29" s="1041">
        <f>SUM(H24:H28)</f>
        <v>924.42772800000012</v>
      </c>
      <c r="I29" s="1468"/>
    </row>
    <row r="30" spans="1:9" ht="17.25" customHeight="1" x14ac:dyDescent="0.25">
      <c r="A30" s="1044"/>
      <c r="B30" s="1015" t="s">
        <v>489</v>
      </c>
      <c r="C30" s="1048"/>
      <c r="D30" s="1051"/>
      <c r="E30" s="121" t="s">
        <v>124</v>
      </c>
      <c r="F30" s="1048"/>
      <c r="G30" s="1051"/>
      <c r="H30" s="1015">
        <f>H31*3</f>
        <v>19.29</v>
      </c>
      <c r="I30" s="1468"/>
    </row>
    <row r="31" spans="1:9" ht="17.25" customHeight="1" x14ac:dyDescent="0.25">
      <c r="A31" s="1044"/>
      <c r="B31" s="1015" t="s">
        <v>1460</v>
      </c>
      <c r="C31" s="1048"/>
      <c r="D31" s="1051"/>
      <c r="E31" s="121" t="s">
        <v>124</v>
      </c>
      <c r="F31" s="1048"/>
      <c r="G31" s="1051"/>
      <c r="H31" s="1015">
        <v>6.43</v>
      </c>
      <c r="I31" s="1468"/>
    </row>
    <row r="32" spans="1:9" ht="17.25" customHeight="1" x14ac:dyDescent="0.25">
      <c r="A32" s="1045"/>
      <c r="B32" s="1015" t="s">
        <v>1461</v>
      </c>
      <c r="C32" s="1048"/>
      <c r="D32" s="1051"/>
      <c r="E32" s="121" t="s">
        <v>10</v>
      </c>
      <c r="F32" s="1048"/>
      <c r="G32" s="1051"/>
      <c r="H32" s="1015">
        <v>13.09</v>
      </c>
      <c r="I32" s="1238"/>
    </row>
    <row r="34" spans="1:9" ht="9" customHeight="1" x14ac:dyDescent="0.25"/>
    <row r="35" spans="1:9" ht="15.75" x14ac:dyDescent="0.25">
      <c r="A35" s="1466" t="s">
        <v>1470</v>
      </c>
      <c r="B35" s="1466"/>
      <c r="C35" s="1466"/>
      <c r="D35" s="1466"/>
      <c r="E35" s="1466"/>
      <c r="F35" s="1466"/>
      <c r="G35" s="1466"/>
      <c r="H35" s="1466"/>
      <c r="I35" s="1466"/>
    </row>
    <row r="37" spans="1:9" ht="18" customHeight="1" x14ac:dyDescent="0.25">
      <c r="A37" s="1467" t="s">
        <v>377</v>
      </c>
      <c r="B37" s="1467" t="s">
        <v>1457</v>
      </c>
      <c r="C37" s="990" t="s">
        <v>378</v>
      </c>
      <c r="D37" s="990" t="s">
        <v>477</v>
      </c>
      <c r="E37" s="1467" t="s">
        <v>1261</v>
      </c>
      <c r="F37" s="1467" t="s">
        <v>380</v>
      </c>
      <c r="G37" s="990" t="s">
        <v>381</v>
      </c>
      <c r="H37" s="990" t="s">
        <v>515</v>
      </c>
      <c r="I37" s="1167" t="s">
        <v>0</v>
      </c>
    </row>
    <row r="38" spans="1:9" ht="18.75" customHeight="1" x14ac:dyDescent="0.25">
      <c r="A38" s="1467"/>
      <c r="B38" s="1467"/>
      <c r="C38" s="991" t="s">
        <v>556</v>
      </c>
      <c r="D38" s="991" t="s">
        <v>556</v>
      </c>
      <c r="E38" s="1467"/>
      <c r="F38" s="1467"/>
      <c r="G38" s="991" t="s">
        <v>416</v>
      </c>
      <c r="H38" s="991" t="s">
        <v>410</v>
      </c>
      <c r="I38" s="1172"/>
    </row>
    <row r="39" spans="1:9" ht="20.25" customHeight="1" x14ac:dyDescent="0.25">
      <c r="A39" s="1045">
        <v>1</v>
      </c>
      <c r="B39" s="1046" t="s">
        <v>357</v>
      </c>
      <c r="C39" s="1045">
        <v>20</v>
      </c>
      <c r="D39" s="1045">
        <v>1910</v>
      </c>
      <c r="E39" s="1042" t="s">
        <v>585</v>
      </c>
      <c r="F39" s="1045">
        <v>6</v>
      </c>
      <c r="G39" s="1046">
        <v>3.85</v>
      </c>
      <c r="H39" s="1047">
        <f>G39*D39*F39*10^-3</f>
        <v>44.121000000000002</v>
      </c>
      <c r="I39" s="1237" t="s">
        <v>1467</v>
      </c>
    </row>
    <row r="40" spans="1:9" ht="20.25" customHeight="1" x14ac:dyDescent="0.25">
      <c r="A40" s="207">
        <v>2</v>
      </c>
      <c r="B40" s="122" t="s">
        <v>358</v>
      </c>
      <c r="C40" s="207">
        <v>20</v>
      </c>
      <c r="D40" s="207">
        <v>3135</v>
      </c>
      <c r="E40" s="1007" t="s">
        <v>585</v>
      </c>
      <c r="F40" s="207">
        <v>1</v>
      </c>
      <c r="G40" s="122">
        <v>3.85</v>
      </c>
      <c r="H40" s="1040">
        <f t="shared" ref="H40:H41" si="3">G40*D40*F40*10^-3</f>
        <v>12.069750000000001</v>
      </c>
      <c r="I40" s="1468"/>
    </row>
    <row r="41" spans="1:9" ht="20.25" customHeight="1" x14ac:dyDescent="0.25">
      <c r="A41" s="207">
        <v>3</v>
      </c>
      <c r="B41" s="122" t="s">
        <v>361</v>
      </c>
      <c r="C41" s="207">
        <v>10</v>
      </c>
      <c r="D41" s="207">
        <v>330</v>
      </c>
      <c r="E41" s="1007" t="s">
        <v>585</v>
      </c>
      <c r="F41" s="207">
        <v>4</v>
      </c>
      <c r="G41" s="122">
        <f>VLOOKUP(C41,'CKN T4 '!$M$5:$N$19,2,0)</f>
        <v>0.61699999999999999</v>
      </c>
      <c r="H41" s="1040">
        <f t="shared" si="3"/>
        <v>0.81443999999999994</v>
      </c>
      <c r="I41" s="1468"/>
    </row>
    <row r="42" spans="1:9" ht="20.25" customHeight="1" x14ac:dyDescent="0.25">
      <c r="A42" s="1043"/>
      <c r="B42" s="1015" t="s">
        <v>1459</v>
      </c>
      <c r="C42" s="1048"/>
      <c r="D42" s="1049"/>
      <c r="E42" s="1050"/>
      <c r="F42" s="1049"/>
      <c r="G42" s="1051"/>
      <c r="H42" s="1041">
        <f>SUM(H39:H41)</f>
        <v>57.005189999999999</v>
      </c>
      <c r="I42" s="1468"/>
    </row>
    <row r="43" spans="1:9" ht="20.25" customHeight="1" x14ac:dyDescent="0.25">
      <c r="A43" s="1044"/>
      <c r="B43" s="1015" t="s">
        <v>489</v>
      </c>
      <c r="C43" s="1048"/>
      <c r="D43" s="1051"/>
      <c r="E43" s="121" t="s">
        <v>124</v>
      </c>
      <c r="F43" s="1048"/>
      <c r="G43" s="1051"/>
      <c r="H43" s="1015">
        <f>H44*3</f>
        <v>4.2299999999999995</v>
      </c>
      <c r="I43" s="1468"/>
    </row>
    <row r="44" spans="1:9" ht="20.25" customHeight="1" x14ac:dyDescent="0.25">
      <c r="A44" s="1044"/>
      <c r="B44" s="1015" t="s">
        <v>1460</v>
      </c>
      <c r="C44" s="1048"/>
      <c r="D44" s="1051"/>
      <c r="E44" s="121" t="s">
        <v>124</v>
      </c>
      <c r="F44" s="1048"/>
      <c r="G44" s="1051"/>
      <c r="H44" s="1015">
        <v>1.41</v>
      </c>
      <c r="I44" s="1468"/>
    </row>
    <row r="45" spans="1:9" ht="20.25" customHeight="1" x14ac:dyDescent="0.25">
      <c r="A45" s="1045"/>
      <c r="B45" s="1015" t="s">
        <v>1466</v>
      </c>
      <c r="C45" s="1048"/>
      <c r="D45" s="1051"/>
      <c r="E45" s="121" t="s">
        <v>78</v>
      </c>
      <c r="F45" s="1048"/>
      <c r="G45" s="1051"/>
      <c r="H45" s="1015">
        <v>18</v>
      </c>
      <c r="I45" s="1238"/>
    </row>
    <row r="46" spans="1:9" ht="20.25" customHeight="1" x14ac:dyDescent="0.25">
      <c r="A46" s="1045">
        <v>1</v>
      </c>
      <c r="B46" s="1046" t="s">
        <v>357</v>
      </c>
      <c r="C46" s="1045">
        <v>20</v>
      </c>
      <c r="D46" s="1045">
        <v>3620</v>
      </c>
      <c r="E46" s="1042" t="s">
        <v>585</v>
      </c>
      <c r="F46" s="1045">
        <v>6</v>
      </c>
      <c r="G46" s="1046">
        <v>3.85</v>
      </c>
      <c r="H46" s="1047">
        <f>G46*D46*F46*10^-3</f>
        <v>83.622</v>
      </c>
      <c r="I46" s="1237" t="s">
        <v>1463</v>
      </c>
    </row>
    <row r="47" spans="1:9" ht="20.25" customHeight="1" x14ac:dyDescent="0.25">
      <c r="A47" s="207">
        <v>2</v>
      </c>
      <c r="B47" s="122" t="s">
        <v>358</v>
      </c>
      <c r="C47" s="207">
        <v>20</v>
      </c>
      <c r="D47" s="207">
        <v>3899</v>
      </c>
      <c r="E47" s="1007" t="s">
        <v>585</v>
      </c>
      <c r="F47" s="207">
        <v>2</v>
      </c>
      <c r="G47" s="122">
        <v>3.85</v>
      </c>
      <c r="H47" s="1040">
        <f t="shared" ref="H47:H48" si="4">G47*D47*F47*10^-3</f>
        <v>30.022300000000001</v>
      </c>
      <c r="I47" s="1468"/>
    </row>
    <row r="48" spans="1:9" ht="20.25" customHeight="1" x14ac:dyDescent="0.25">
      <c r="A48" s="207">
        <v>3</v>
      </c>
      <c r="B48" s="122" t="s">
        <v>361</v>
      </c>
      <c r="C48" s="207">
        <v>10</v>
      </c>
      <c r="D48" s="207">
        <v>330</v>
      </c>
      <c r="E48" s="1007" t="s">
        <v>585</v>
      </c>
      <c r="F48" s="207">
        <v>8</v>
      </c>
      <c r="G48" s="122">
        <f>VLOOKUP(C48,'CKN T4 '!$M$5:$N$19,2,0)</f>
        <v>0.61699999999999999</v>
      </c>
      <c r="H48" s="1040">
        <f t="shared" si="4"/>
        <v>1.6288799999999999</v>
      </c>
      <c r="I48" s="1468"/>
    </row>
    <row r="49" spans="1:9" ht="20.25" customHeight="1" x14ac:dyDescent="0.25">
      <c r="A49" s="1043"/>
      <c r="B49" s="1015" t="s">
        <v>1459</v>
      </c>
      <c r="C49" s="1048"/>
      <c r="D49" s="1049"/>
      <c r="E49" s="1050"/>
      <c r="F49" s="1049"/>
      <c r="G49" s="1051"/>
      <c r="H49" s="1041">
        <f>SUM(H46:H48)</f>
        <v>115.27318</v>
      </c>
      <c r="I49" s="1468"/>
    </row>
    <row r="50" spans="1:9" ht="20.25" customHeight="1" x14ac:dyDescent="0.25">
      <c r="A50" s="1044"/>
      <c r="B50" s="1015" t="s">
        <v>489</v>
      </c>
      <c r="C50" s="1048"/>
      <c r="D50" s="1051"/>
      <c r="E50" s="121" t="s">
        <v>124</v>
      </c>
      <c r="F50" s="1048"/>
      <c r="G50" s="1051"/>
      <c r="H50" s="1015">
        <f>H51*3</f>
        <v>9.36</v>
      </c>
      <c r="I50" s="1468"/>
    </row>
    <row r="51" spans="1:9" ht="20.25" customHeight="1" x14ac:dyDescent="0.25">
      <c r="A51" s="1044"/>
      <c r="B51" s="1015" t="s">
        <v>1460</v>
      </c>
      <c r="C51" s="1048"/>
      <c r="D51" s="1051"/>
      <c r="E51" s="121" t="s">
        <v>124</v>
      </c>
      <c r="F51" s="1048"/>
      <c r="G51" s="1051"/>
      <c r="H51" s="1015">
        <v>3.12</v>
      </c>
      <c r="I51" s="1468"/>
    </row>
    <row r="52" spans="1:9" ht="20.25" customHeight="1" x14ac:dyDescent="0.25">
      <c r="A52" s="1045"/>
      <c r="B52" s="1015" t="s">
        <v>1466</v>
      </c>
      <c r="C52" s="1048"/>
      <c r="D52" s="1051"/>
      <c r="E52" s="121" t="s">
        <v>78</v>
      </c>
      <c r="F52" s="1048"/>
      <c r="G52" s="1051"/>
      <c r="H52" s="1015">
        <v>18</v>
      </c>
      <c r="I52" s="1238"/>
    </row>
    <row r="53" spans="1:9" ht="20.25" customHeight="1" x14ac:dyDescent="0.25">
      <c r="A53" s="1045">
        <v>1</v>
      </c>
      <c r="B53" s="1046" t="s">
        <v>357</v>
      </c>
      <c r="C53" s="1045">
        <v>20</v>
      </c>
      <c r="D53" s="1045">
        <v>6620</v>
      </c>
      <c r="E53" s="1042" t="s">
        <v>585</v>
      </c>
      <c r="F53" s="1045">
        <v>6</v>
      </c>
      <c r="G53" s="1046">
        <v>3.85</v>
      </c>
      <c r="H53" s="1047">
        <f>G53*D53*F53*10^-3</f>
        <v>152.922</v>
      </c>
      <c r="I53" s="1468" t="s">
        <v>1464</v>
      </c>
    </row>
    <row r="54" spans="1:9" ht="20.25" customHeight="1" x14ac:dyDescent="0.25">
      <c r="A54" s="207">
        <v>2</v>
      </c>
      <c r="B54" s="122" t="s">
        <v>358</v>
      </c>
      <c r="C54" s="207">
        <v>20</v>
      </c>
      <c r="D54" s="207">
        <v>3707</v>
      </c>
      <c r="E54" s="1007" t="s">
        <v>585</v>
      </c>
      <c r="F54" s="207">
        <v>2</v>
      </c>
      <c r="G54" s="122">
        <v>3.85</v>
      </c>
      <c r="H54" s="1040">
        <f t="shared" ref="H54:H55" si="5">G54*D54*F54*10^-3</f>
        <v>28.543900000000001</v>
      </c>
      <c r="I54" s="1468"/>
    </row>
    <row r="55" spans="1:9" ht="20.25" customHeight="1" x14ac:dyDescent="0.25">
      <c r="A55" s="207">
        <v>3</v>
      </c>
      <c r="B55" s="122" t="s">
        <v>361</v>
      </c>
      <c r="C55" s="207">
        <v>10</v>
      </c>
      <c r="D55" s="207">
        <v>330</v>
      </c>
      <c r="E55" s="1007" t="s">
        <v>585</v>
      </c>
      <c r="F55" s="207">
        <v>8</v>
      </c>
      <c r="G55" s="122">
        <f>VLOOKUP(C55,'CKN T4 '!$M$5:$N$19,2,0)</f>
        <v>0.61699999999999999</v>
      </c>
      <c r="H55" s="1040">
        <f t="shared" si="5"/>
        <v>1.6288799999999999</v>
      </c>
      <c r="I55" s="1468"/>
    </row>
    <row r="56" spans="1:9" ht="20.25" customHeight="1" x14ac:dyDescent="0.25">
      <c r="A56" s="1043"/>
      <c r="B56" s="1015" t="s">
        <v>1459</v>
      </c>
      <c r="C56" s="1048"/>
      <c r="D56" s="1049"/>
      <c r="E56" s="1050"/>
      <c r="F56" s="1049"/>
      <c r="G56" s="1051"/>
      <c r="H56" s="1041">
        <f>SUM(H53:H55)</f>
        <v>183.09478000000001</v>
      </c>
      <c r="I56" s="1468"/>
    </row>
    <row r="57" spans="1:9" ht="20.25" customHeight="1" x14ac:dyDescent="0.25">
      <c r="A57" s="1044"/>
      <c r="B57" s="1015" t="s">
        <v>489</v>
      </c>
      <c r="C57" s="1048"/>
      <c r="D57" s="1051"/>
      <c r="E57" s="121" t="s">
        <v>124</v>
      </c>
      <c r="F57" s="1048"/>
      <c r="G57" s="1051"/>
      <c r="H57" s="1015">
        <f>H58*3</f>
        <v>18.36</v>
      </c>
      <c r="I57" s="1468"/>
    </row>
    <row r="58" spans="1:9" ht="20.25" customHeight="1" x14ac:dyDescent="0.25">
      <c r="A58" s="1044"/>
      <c r="B58" s="1015" t="s">
        <v>1460</v>
      </c>
      <c r="C58" s="1048"/>
      <c r="D58" s="1051"/>
      <c r="E58" s="121" t="s">
        <v>124</v>
      </c>
      <c r="F58" s="1048"/>
      <c r="G58" s="1051"/>
      <c r="H58" s="1015">
        <v>6.12</v>
      </c>
      <c r="I58" s="1468"/>
    </row>
    <row r="59" spans="1:9" ht="20.25" customHeight="1" x14ac:dyDescent="0.25">
      <c r="A59" s="1045"/>
      <c r="B59" s="1015" t="s">
        <v>1466</v>
      </c>
      <c r="C59" s="1048"/>
      <c r="D59" s="1051"/>
      <c r="E59" s="121" t="s">
        <v>78</v>
      </c>
      <c r="F59" s="1048"/>
      <c r="G59" s="1051"/>
      <c r="H59" s="1015">
        <v>18</v>
      </c>
      <c r="I59" s="1238"/>
    </row>
  </sheetData>
  <mergeCells count="19">
    <mergeCell ref="I39:I45"/>
    <mergeCell ref="I46:I52"/>
    <mergeCell ref="I53:I59"/>
    <mergeCell ref="A35:I35"/>
    <mergeCell ref="A3:I3"/>
    <mergeCell ref="A2:I2"/>
    <mergeCell ref="A37:A38"/>
    <mergeCell ref="B37:B38"/>
    <mergeCell ref="E37:E38"/>
    <mergeCell ref="F37:F38"/>
    <mergeCell ref="I37:I38"/>
    <mergeCell ref="I15:I23"/>
    <mergeCell ref="I24:I32"/>
    <mergeCell ref="A4:A5"/>
    <mergeCell ref="B4:B5"/>
    <mergeCell ref="E4:E5"/>
    <mergeCell ref="F4:F5"/>
    <mergeCell ref="I6:I14"/>
    <mergeCell ref="I4:I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14</vt:i4>
      </vt:variant>
    </vt:vector>
  </HeadingPairs>
  <TitlesOfParts>
    <vt:vector size="36" baseType="lpstr">
      <vt:lpstr>bia</vt:lpstr>
      <vt:lpstr>Bảng TH KL hoan cong</vt:lpstr>
      <vt:lpstr>Bảng dien giai KL hoan cong</vt:lpstr>
      <vt:lpstr>CKN T4 </vt:lpstr>
      <vt:lpstr>TC T4</vt:lpstr>
      <vt:lpstr>CKN M0</vt:lpstr>
      <vt:lpstr>TC mo M0</vt:lpstr>
      <vt:lpstr>CKN T1-T3</vt:lpstr>
      <vt:lpstr>CKN T5</vt:lpstr>
      <vt:lpstr>CKN T5(KC)</vt:lpstr>
      <vt:lpstr>TC T1-T3</vt:lpstr>
      <vt:lpstr>TruT4</vt:lpstr>
      <vt:lpstr>Mo M0</vt:lpstr>
      <vt:lpstr>Tru T1-T3</vt:lpstr>
      <vt:lpstr>Dam I35</vt:lpstr>
      <vt:lpstr>Khoichongchuyenvi</vt:lpstr>
      <vt:lpstr>Golancan_Tayvin</vt:lpstr>
      <vt:lpstr>Caucongvu</vt:lpstr>
      <vt:lpstr>Monho</vt:lpstr>
      <vt:lpstr>Thicongnhip</vt:lpstr>
      <vt:lpstr>Thanglendam</vt:lpstr>
      <vt:lpstr>Phatsinh</vt:lpstr>
      <vt:lpstr>'Bảng dien giai KL hoan cong'!Print_Area</vt:lpstr>
      <vt:lpstr>'Bảng TH KL hoan cong'!Print_Area</vt:lpstr>
      <vt:lpstr>'CKN T1-T3'!Print_Area</vt:lpstr>
      <vt:lpstr>'CKN T4 '!Print_Area</vt:lpstr>
      <vt:lpstr>'CKN T5(KC)'!Print_Area</vt:lpstr>
      <vt:lpstr>Khoichongchuyenvi!Print_Area</vt:lpstr>
      <vt:lpstr>'Mo M0'!Print_Area</vt:lpstr>
      <vt:lpstr>'TC T1-T3'!Print_Area</vt:lpstr>
      <vt:lpstr>'TC T4'!Print_Area</vt:lpstr>
      <vt:lpstr>Thanglendam!Print_Area</vt:lpstr>
      <vt:lpstr>'Tru T1-T3'!Print_Area</vt:lpstr>
      <vt:lpstr>TruT4!Print_Area</vt:lpstr>
      <vt:lpstr>'Bảng dien giai KL hoan cong'!Print_Titles</vt:lpstr>
      <vt:lpstr>'Bảng TH KL hoan cong'!Print_Titles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Quan</dc:creator>
  <cp:lastModifiedBy>DungNguyen</cp:lastModifiedBy>
  <cp:lastPrinted>2018-02-01T10:19:31Z</cp:lastPrinted>
  <dcterms:created xsi:type="dcterms:W3CDTF">2014-05-27T08:29:44Z</dcterms:created>
  <dcterms:modified xsi:type="dcterms:W3CDTF">2018-03-09T02:21:07Z</dcterms:modified>
</cp:coreProperties>
</file>