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1.xml" ContentType="application/vnd.openxmlformats-officedocument.spreadsheetml.comments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 codeName="{320AAD7A-AEEB-3B57-35EE-6C7AAB037B02}"/>
  <workbookPr codeName="SổlàmviệcNày" defaultThemeVersion="124226"/>
  <mc:AlternateContent xmlns:mc="http://schemas.openxmlformats.org/markup-compatibility/2006">
    <mc:Choice Requires="x15">
      <x15ac:absPath xmlns:x15ac="http://schemas.microsoft.com/office/spreadsheetml/2010/11/ac" url="C:\Users\HAU\Documents\"/>
    </mc:Choice>
  </mc:AlternateContent>
  <bookViews>
    <workbookView xWindow="0" yWindow="0" windowWidth="20490" windowHeight="7665" tabRatio="894" activeTab="3"/>
  </bookViews>
  <sheets>
    <sheet name="Menu" sheetId="34" r:id="rId1"/>
    <sheet name="Nhap lieu" sheetId="27" r:id="rId2"/>
    <sheet name="In Giay RDT" sheetId="43" state="hidden" r:id="rId3"/>
    <sheet name="BC Du toan" sheetId="28" r:id="rId4"/>
    <sheet name="Bang ke" sheetId="61" state="hidden" r:id="rId5"/>
    <sheet name="BC TT Cong trinh" sheetId="49" state="hidden" r:id="rId6"/>
    <sheet name="Nguon" sheetId="45" r:id="rId7"/>
    <sheet name="Quyet toan KP" sheetId="39" state="hidden" r:id="rId8"/>
    <sheet name="DS Chi" sheetId="56" state="hidden" r:id="rId9"/>
    <sheet name="Phieu chi" sheetId="59" state="hidden" r:id="rId10"/>
    <sheet name="BC Thu Chi" sheetId="57" state="hidden" r:id="rId11"/>
    <sheet name="XL" sheetId="58" state="hidden" r:id="rId12"/>
    <sheet name="TH Quy TM" sheetId="60" state="hidden" r:id="rId13"/>
    <sheet name="Mau 01" sheetId="50" state="hidden" r:id="rId14"/>
    <sheet name="Mau 02" sheetId="54" state="hidden" r:id="rId15"/>
    <sheet name="Giao  du toan" sheetId="29" state="hidden" r:id="rId16"/>
    <sheet name="ĐVHT" sheetId="44" r:id="rId17"/>
    <sheet name="Danh muc DA" sheetId="46" r:id="rId18"/>
  </sheets>
  <functionGroups builtInGroupCount="19"/>
  <definedNames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Fill" localSheetId="14" hidden="1">#REF!</definedName>
    <definedName name="_Fill" hidden="1">#REF!</definedName>
    <definedName name="_xlnm._FilterDatabase" localSheetId="3" hidden="1">'BC Du toan'!$A$9:$AN$99</definedName>
    <definedName name="_xlnm._FilterDatabase" localSheetId="5" hidden="1">'BC TT Cong trinh'!$C$10:$F$10</definedName>
    <definedName name="_xlnm._FilterDatabase" localSheetId="2" hidden="1">'In Giay RDT'!$A$14:$A$22</definedName>
    <definedName name="_xlnm._FilterDatabase" localSheetId="1" hidden="1">'Nhap lieu'!$J$1:$J$200</definedName>
    <definedName name="_Key1" localSheetId="5" hidden="1">#REF!</definedName>
    <definedName name="_Key1" localSheetId="14" hidden="1">#REF!</definedName>
    <definedName name="_Key1" hidden="1">#REF!</definedName>
    <definedName name="_Key2" localSheetId="5" hidden="1">#REF!</definedName>
    <definedName name="_Key2" localSheetId="14" hidden="1">#REF!</definedName>
    <definedName name="_Key2" hidden="1">#REF!</definedName>
    <definedName name="_Order1" hidden="1">255</definedName>
    <definedName name="_Order2" hidden="1">255</definedName>
    <definedName name="_Sort" localSheetId="5" hidden="1">#REF!</definedName>
    <definedName name="_Sort" localSheetId="14" hidden="1">#REF!</definedName>
    <definedName name="_Sort" hidden="1">#REF!</definedName>
    <definedName name="a129_xoa" hidden="1">{"Offgrid",#N/A,FALSE,"OFFGRID";"Region",#N/A,FALSE,"REGION";"Offgrid -2",#N/A,FALSE,"OFFGRID";"WTP",#N/A,FALSE,"WTP";"WTP -2",#N/A,FALSE,"WTP";"Project",#N/A,FALSE,"PROJECT";"Summary -2",#N/A,FALSE,"SUMMARY"}</definedName>
    <definedName name="a129_xoaxoa" hidden="1">{"Offgrid",#N/A,FALSE,"OFFGRID";"Region",#N/A,FALSE,"REGION";"Offgrid -2",#N/A,FALSE,"OFFGRID";"WTP",#N/A,FALSE,"WTP";"WTP -2",#N/A,FALSE,"WTP";"Project",#N/A,FALSE,"PROJECT";"Summary -2",#N/A,FALSE,"SUMMARY"}</definedName>
    <definedName name="a130_xoa" hidden="1">{"Offgrid",#N/A,FALSE,"OFFGRID";"Region",#N/A,FALSE,"REGION";"Offgrid -2",#N/A,FALSE,"OFFGRID";"WTP",#N/A,FALSE,"WTP";"WTP -2",#N/A,FALSE,"WTP";"Project",#N/A,FALSE,"PROJECT";"Summary -2",#N/A,FALSE,"SUMMARY"}</definedName>
    <definedName name="a130_xoaxoa" hidden="1">{"Offgrid",#N/A,FALSE,"OFFGRID";"Region",#N/A,FALSE,"REGION";"Offgrid -2",#N/A,FALSE,"OFFGRID";"WTP",#N/A,FALSE,"WTP";"WTP -2",#N/A,FALSE,"WTP";"Project",#N/A,FALSE,"PROJECT";"Summary -2",#N/A,FALSE,"SUMMARY"}</definedName>
    <definedName name="Bangke">'Nhap lieu'!$H$8:$AN$200</definedName>
    <definedName name="BCChi">'DS Chi'!$A$7:$J$105</definedName>
    <definedName name="CONGTRINH">'Nhap lieu'!$G$9:$AN$200</definedName>
    <definedName name="Danhsach">'Nhap lieu'!$K$9:$AO$200</definedName>
    <definedName name="dfg" hidden="1">{"'Sheet1'!$L$16"}</definedName>
    <definedName name="DMDA">'Danh muc DA'!$B$7:$H$61</definedName>
    <definedName name="DSCT">OFFSET('Danh muc DA'!$B$7,0,0,COUNTA('Danh muc DA'!$B:$B)-3,1)</definedName>
    <definedName name="DSChi">'DS Chi'!$C$7:$J$105</definedName>
    <definedName name="DSDVHT">ĐVHT!$B$5:$G$33</definedName>
    <definedName name="DSM1K">'Nhap lieu'!$C$9:$C$200</definedName>
    <definedName name="DSM1L">'Nhap lieu'!$D$9:$D$200</definedName>
    <definedName name="DSM2K">'Nhap lieu'!$E$9:$E$200</definedName>
    <definedName name="DSM2L">'Nhap lieu'!$F$9:$F$200</definedName>
    <definedName name="DSNNT">ĐVHT!$J$5:$M$9</definedName>
    <definedName name="DSNV">Nguon!$G$3:$H$10</definedName>
    <definedName name="DSThu">'Nhap lieu'!$B$9:$AN$201</definedName>
    <definedName name="DVHT">ĐVHT!$B$5:$B$33</definedName>
    <definedName name="GRDT">'Nhap lieu'!$K$9:$K$201</definedName>
    <definedName name="GTNDKT">'Nhap lieu'!$AK$9:$AK$200</definedName>
    <definedName name="GTNDKT1">'Nhap lieu'!$R$9:$R$200</definedName>
    <definedName name="GTNDKT2">'Nhap lieu'!$U$9:$U$200</definedName>
    <definedName name="GTNDKT3">'Nhap lieu'!$X$9:$X$200</definedName>
    <definedName name="GTNDKT4">'Nhap lieu'!$AA$9:$AA$200</definedName>
    <definedName name="GTNDKT5">'Nhap lieu'!$AD$9:$AD$200</definedName>
    <definedName name="GTNDKT6">'Nhap lieu'!$AG$9:$AG$200</definedName>
    <definedName name="GTNDKT7">'Nhap lieu'!$AJ$9:$AJ$200</definedName>
    <definedName name="h" hidden="1">{"'Sheet1'!$L$16"}</definedName>
    <definedName name="h_xoa" hidden="1">{"'Sheet1'!$L$16"}</definedName>
    <definedName name="h_xoa2" hidden="1">{"'Sheet1'!$L$16"}</definedName>
    <definedName name="HTML_CodePage" hidden="1">950</definedName>
    <definedName name="HTML_Control" hidden="1">{"'Sheet1'!$L$16"}</definedName>
    <definedName name="html_control_xoa2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huy_xoa" hidden="1">{"'Sheet1'!$L$16"}</definedName>
    <definedName name="huy_xoa2" hidden="1">{"'Sheet1'!$L$16"}</definedName>
    <definedName name="k" hidden="1">{"Offgrid",#N/A,FALSE,"OFFGRID";"Region",#N/A,FALSE,"REGION";"Offgrid -2",#N/A,FALSE,"OFFGRID";"WTP",#N/A,FALSE,"WTP";"WTP -2",#N/A,FALSE,"WTP";"Project",#N/A,FALSE,"PROJECT";"Summary -2",#N/A,FALSE,"SUMMARY"}</definedName>
    <definedName name="k_xoa" hidden="1">{"Offgrid",#N/A,FALSE,"OFFGRID";"Region",#N/A,FALSE,"REGION";"Offgrid -2",#N/A,FALSE,"OFFGRID";"WTP",#N/A,FALSE,"WTP";"WTP -2",#N/A,FALSE,"WTP";"Project",#N/A,FALSE,"PROJECT";"Summary -2",#N/A,FALSE,"SUMMARY"}</definedName>
    <definedName name="k_xoa2" hidden="1">{"Offgrid",#N/A,FALSE,"OFFGRID";"Region",#N/A,FALSE,"REGION";"Offgrid -2",#N/A,FALSE,"OFFGRID";"WTP",#N/A,FALSE,"WTP";"WTP -2",#N/A,FALSE,"WTP";"Project",#N/A,FALSE,"PROJECT";"Summary -2",#N/A,FALSE,"SUMMARY"}</definedName>
    <definedName name="M1K">'Nhap lieu'!$C$1</definedName>
    <definedName name="M1L">'Nhap lieu'!$D$1</definedName>
    <definedName name="M2K">'Nhap lieu'!$E$1</definedName>
    <definedName name="M2L">'Nhap lieu'!$F$1</definedName>
    <definedName name="MaBCChi">'BC Thu Chi'!$A$2</definedName>
    <definedName name="MaNDKT1">'Nhap lieu'!$P$9:$P$200</definedName>
    <definedName name="MaNDKT2">'Nhap lieu'!$S$9:$S$200</definedName>
    <definedName name="MaNDKT3">'Nhap lieu'!$V$9:$V$200</definedName>
    <definedName name="MaNDKT4">'Nhap lieu'!$Y$9:$Y$200</definedName>
    <definedName name="MaNDKT5">'Nhap lieu'!$AB$9:$AB$200</definedName>
    <definedName name="MaNDKT6">'Nhap lieu'!$AE$9:$AE$200</definedName>
    <definedName name="MaNDKT7">'Nhap lieu'!$AH$9:$AH$200</definedName>
    <definedName name="MaNV">Nguon!$G$3:$G$10</definedName>
    <definedName name="Manguon">'Giao  du toan'!$B$5:$H$39</definedName>
    <definedName name="Matonghop">'BC Du toan'!$A$3</definedName>
    <definedName name="MLNS">Nguon!$C$6:$D$360</definedName>
    <definedName name="MUC">'Nhap lieu'!$A$9:$A$200</definedName>
    <definedName name="MUCP">'Nhap lieu'!$J$9:$J$200</definedName>
    <definedName name="NDKT">Nguon!$L$3:$L$39</definedName>
    <definedName name="NNT">ĐVHT!$J$5:$J$9</definedName>
    <definedName name="Nguon102">Nguon!$F$26:$I$30</definedName>
    <definedName name="Nguon194">Nguon!$F$31:$I$35</definedName>
    <definedName name="Nguon223">Nguon!$F$36:$I$40</definedName>
    <definedName name="Nguon373">Nguon!$F$41:$I$45</definedName>
    <definedName name="Nguon432">Nguon!$F$46:$I$50</definedName>
    <definedName name="_xlnm.Print_Area" localSheetId="4">'Bang ke'!$A$1:$K$31</definedName>
    <definedName name="_xlnm.Print_Area" localSheetId="10">'BC Thu Chi'!$A$1:$I$66</definedName>
    <definedName name="_xlnm.Print_Area" localSheetId="2">'In Giay RDT'!$B$1:$Q$45</definedName>
    <definedName name="_xlnm.Print_Area" localSheetId="13">'Mau 01'!$A$1:$O$33</definedName>
    <definedName name="_xlnm.Print_Area" localSheetId="14">'Mau 02'!$A$1:$K$84</definedName>
    <definedName name="_xlnm.Print_Area" localSheetId="9">'Phieu chi'!$B$1:$K$24</definedName>
    <definedName name="_xlnm.Print_Area" localSheetId="7">'Quyet toan KP'!$A$1:$L$123</definedName>
    <definedName name="_xlnm.Print_Area" localSheetId="12">'TH Quy TM'!$A$1:$G$19</definedName>
    <definedName name="_xlnm.Print_Titles" localSheetId="3">'BC Du toan'!$6:$7</definedName>
    <definedName name="_xlnm.Print_Titles" localSheetId="5">'BC TT Cong trinh'!$6:$7</definedName>
    <definedName name="_xlnm.Print_Titles" localSheetId="14">'Mau 02'!$11:$11</definedName>
    <definedName name="_xlnm.Print_Titles" localSheetId="7">'Quyet toan KP'!$5:$5</definedName>
    <definedName name="QUY">Nguon!$F$17:$F$21</definedName>
    <definedName name="Quynam">Nguon!$F$17:$I$21</definedName>
    <definedName name="re" hidden="1">{"'Sheet1'!$L$16"}</definedName>
    <definedName name="SoPC">'DS Chi'!$C$7:$C$105</definedName>
    <definedName name="ThuChi">XL!$B$5:$K$74</definedName>
    <definedName name="wrn.chi._.tiÆt." hidden="1">{#N/A,#N/A,FALSE,"Chi tiÆt"}</definedName>
    <definedName name="wrn.re_xoa2" hidden="1">{"Offgrid",#N/A,FALSE,"OFFGRID";"Region",#N/A,FALSE,"REGION";"Offgrid -2",#N/A,FALSE,"OFFGRID";"WTP",#N/A,FALSE,"WTP";"WTP -2",#N/A,FALSE,"WTP";"Project",#N/A,FALSE,"PROJECT";"Summary -2",#N/A,FALSE,"SUMMARY"}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_xoa2" hidden="1">{#N/A,#N/A,FALSE,"Chi tiÆt"}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wrnf_xoa2" hidden="1">{"Offgrid",#N/A,FALSE,"OFFGRID";"Region",#N/A,FALSE,"REGION";"Offgrid -2",#N/A,FALSE,"OFFGRID";"WTP",#N/A,FALSE,"WTP";"WTP -2",#N/A,FALSE,"WTP";"Project",#N/A,FALSE,"PROJECT";"Summary -2",#N/A,FALSE,"SUMMARY"}</definedName>
    <definedName name="xoa1" hidden="1">{"'Sheet1'!$L$16"}</definedName>
    <definedName name="xoa2" hidden="1">{#N/A,#N/A,FALSE,"Chi tiÆt"}</definedName>
    <definedName name="xoa3" hidden="1">{"Offgrid",#N/A,FALSE,"OFFGRID";"Region",#N/A,FALSE,"REGION";"Offgrid -2",#N/A,FALSE,"OFFGRID";"WTP",#N/A,FALSE,"WTP";"WTP -2",#N/A,FALSE,"WTP";"Project",#N/A,FALSE,"PROJECT";"Summary -2",#N/A,FALSE,"SUMMARY"}</definedName>
    <definedName name="xoa4" hidden="1">{"Offgrid",#N/A,FALSE,"OFFGRID";"Region",#N/A,FALSE,"REGION";"Offgrid -2",#N/A,FALSE,"OFFGRID";"WTP",#N/A,FALSE,"WTP";"WTP -2",#N/A,FALSE,"WTP";"Project",#N/A,FALSE,"PROJECT";"Summary -2",#N/A,FALSE,"SUMMARY"}</definedName>
  </definedNames>
  <calcPr calcId="162913"/>
  <fileRecoveryPr autoRecover="0"/>
</workbook>
</file>

<file path=xl/calcChain.xml><?xml version="1.0" encoding="utf-8"?>
<calcChain xmlns="http://schemas.openxmlformats.org/spreadsheetml/2006/main">
  <c r="X10" i="28" l="1"/>
  <c r="G17" i="29" l="1"/>
  <c r="E11" i="46" l="1"/>
  <c r="F8" i="49" s="1"/>
  <c r="O123" i="27" l="1"/>
  <c r="AK11" i="27" l="1"/>
  <c r="AK12" i="27"/>
  <c r="AK13" i="27"/>
  <c r="AK14" i="27"/>
  <c r="AK15" i="27"/>
  <c r="AK16" i="27"/>
  <c r="AK17" i="27"/>
  <c r="AK18" i="27"/>
  <c r="AK19" i="27"/>
  <c r="AK20" i="27"/>
  <c r="AK21" i="27"/>
  <c r="AK22" i="27"/>
  <c r="AK23" i="27"/>
  <c r="AK24" i="27"/>
  <c r="AK25" i="27"/>
  <c r="AK26" i="27"/>
  <c r="AK27" i="27"/>
  <c r="AK28" i="27"/>
  <c r="AK29" i="27"/>
  <c r="AK30" i="27"/>
  <c r="AK31" i="27"/>
  <c r="AK32" i="27"/>
  <c r="AK33" i="27"/>
  <c r="AK34" i="27"/>
  <c r="AK35" i="27"/>
  <c r="AK36" i="27"/>
  <c r="AK37" i="27"/>
  <c r="AK38" i="27"/>
  <c r="AK39" i="27"/>
  <c r="AK40" i="27"/>
  <c r="AK41" i="27"/>
  <c r="AK42" i="27"/>
  <c r="AK43" i="27"/>
  <c r="AK44" i="27"/>
  <c r="AK45" i="27"/>
  <c r="AK46" i="27"/>
  <c r="AK47" i="27"/>
  <c r="AK48" i="27"/>
  <c r="AK49" i="27"/>
  <c r="AK50" i="27"/>
  <c r="AK51" i="27"/>
  <c r="AK52" i="27"/>
  <c r="AK53" i="27"/>
  <c r="AK54" i="27"/>
  <c r="AK55" i="27"/>
  <c r="AK56" i="27"/>
  <c r="AK57" i="27"/>
  <c r="AK58" i="27"/>
  <c r="AK59" i="27"/>
  <c r="AK60" i="27"/>
  <c r="AK61" i="27"/>
  <c r="AK62" i="27"/>
  <c r="AK63" i="27"/>
  <c r="AK64" i="27"/>
  <c r="AK65" i="27"/>
  <c r="AK66" i="27"/>
  <c r="AK67" i="27"/>
  <c r="AK68" i="27"/>
  <c r="AK69" i="27"/>
  <c r="AK70" i="27"/>
  <c r="AK71" i="27"/>
  <c r="AK72" i="27"/>
  <c r="AK73" i="27"/>
  <c r="AK74" i="27"/>
  <c r="AK75" i="27"/>
  <c r="AK76" i="27"/>
  <c r="AK77" i="27"/>
  <c r="AK78" i="27"/>
  <c r="AK79" i="27"/>
  <c r="AK80" i="27"/>
  <c r="AK81" i="27"/>
  <c r="AK82" i="27"/>
  <c r="AK83" i="27"/>
  <c r="AK84" i="27"/>
  <c r="AK85" i="27"/>
  <c r="AK86" i="27"/>
  <c r="AK87" i="27"/>
  <c r="AK88" i="27"/>
  <c r="AK89" i="27"/>
  <c r="AK90" i="27"/>
  <c r="AK91" i="27"/>
  <c r="AK92" i="27"/>
  <c r="AK93" i="27"/>
  <c r="AK94" i="27"/>
  <c r="AK95" i="27"/>
  <c r="AK96" i="27"/>
  <c r="AK97" i="27"/>
  <c r="AK98" i="27"/>
  <c r="AK99" i="27"/>
  <c r="AK100" i="27"/>
  <c r="AK101" i="27"/>
  <c r="AK102" i="27"/>
  <c r="AK103" i="27"/>
  <c r="AK104" i="27"/>
  <c r="AK105" i="27"/>
  <c r="AK106" i="27"/>
  <c r="AK107" i="27"/>
  <c r="AK108" i="27"/>
  <c r="AK109" i="27"/>
  <c r="AK110" i="27"/>
  <c r="AK111" i="27"/>
  <c r="AK112" i="27"/>
  <c r="AK113" i="27"/>
  <c r="AK114" i="27"/>
  <c r="AK115" i="27"/>
  <c r="AK116" i="27"/>
  <c r="AK117" i="27"/>
  <c r="AK118" i="27"/>
  <c r="AK119" i="27"/>
  <c r="AK120" i="27"/>
  <c r="AK121" i="27"/>
  <c r="AK122" i="27"/>
  <c r="AK123" i="27"/>
  <c r="AK124" i="27"/>
  <c r="AK125" i="27"/>
  <c r="AK126" i="27"/>
  <c r="AK127" i="27"/>
  <c r="AK128" i="27"/>
  <c r="AK129" i="27"/>
  <c r="AK130" i="27"/>
  <c r="AK131" i="27"/>
  <c r="AK132" i="27"/>
  <c r="AK133" i="27"/>
  <c r="AK134" i="27"/>
  <c r="AK135" i="27"/>
  <c r="AK136" i="27"/>
  <c r="AK137" i="27"/>
  <c r="AK138" i="27"/>
  <c r="AK139" i="27"/>
  <c r="AK140" i="27"/>
  <c r="AK141" i="27"/>
  <c r="AK142" i="27"/>
  <c r="AK143" i="27"/>
  <c r="AK144" i="27"/>
  <c r="AK145" i="27"/>
  <c r="AK146" i="27"/>
  <c r="AK147" i="27"/>
  <c r="AK148" i="27"/>
  <c r="AK149" i="27"/>
  <c r="AK150" i="27"/>
  <c r="AK151" i="27"/>
  <c r="AK152" i="27"/>
  <c r="AK153" i="27"/>
  <c r="AK154" i="27"/>
  <c r="AK155" i="27"/>
  <c r="AK156" i="27"/>
  <c r="AK157" i="27"/>
  <c r="AK158" i="27"/>
  <c r="AK159" i="27"/>
  <c r="AK160" i="27"/>
  <c r="AK161" i="27"/>
  <c r="AK162" i="27"/>
  <c r="AK163" i="27"/>
  <c r="AK164" i="27"/>
  <c r="AK165" i="27"/>
  <c r="AK166" i="27"/>
  <c r="AK167" i="27"/>
  <c r="AK168" i="27"/>
  <c r="AK169" i="27"/>
  <c r="AK170" i="27"/>
  <c r="AK171" i="27"/>
  <c r="AK172" i="27"/>
  <c r="AK173" i="27"/>
  <c r="AK174" i="27"/>
  <c r="AK175" i="27"/>
  <c r="AK176" i="27"/>
  <c r="AK177" i="27"/>
  <c r="AK178" i="27"/>
  <c r="AK179" i="27"/>
  <c r="AK180" i="27"/>
  <c r="AK181" i="27"/>
  <c r="AK182" i="27"/>
  <c r="AK183" i="27"/>
  <c r="AK184" i="27"/>
  <c r="AK185" i="27"/>
  <c r="AK186" i="27"/>
  <c r="AK187" i="27"/>
  <c r="AK188" i="27"/>
  <c r="AK189" i="27"/>
  <c r="AK190" i="27"/>
  <c r="AK191" i="27"/>
  <c r="AK192" i="27"/>
  <c r="AK193" i="27"/>
  <c r="AK194" i="27"/>
  <c r="AK195" i="27"/>
  <c r="AK196" i="27"/>
  <c r="AK197" i="27"/>
  <c r="AK198" i="27"/>
  <c r="AK199" i="27"/>
  <c r="AK200" i="27"/>
  <c r="AK201" i="27"/>
  <c r="AK10" i="27"/>
  <c r="AK9" i="27"/>
  <c r="F1" i="56"/>
  <c r="A1" i="39"/>
  <c r="N2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A25" i="27"/>
  <c r="A26" i="27"/>
  <c r="A27" i="27"/>
  <c r="A28" i="27"/>
  <c r="A29" i="27"/>
  <c r="A30" i="27"/>
  <c r="A31" i="27"/>
  <c r="A32" i="27"/>
  <c r="A33" i="27"/>
  <c r="A34" i="27"/>
  <c r="A35" i="27"/>
  <c r="A36" i="27"/>
  <c r="A37" i="27"/>
  <c r="A38" i="27"/>
  <c r="A39" i="27"/>
  <c r="A40" i="27"/>
  <c r="A41" i="27"/>
  <c r="A42" i="27"/>
  <c r="A43" i="27"/>
  <c r="A44" i="27"/>
  <c r="A45" i="27"/>
  <c r="A46" i="27"/>
  <c r="A47" i="27"/>
  <c r="A48" i="27"/>
  <c r="A49" i="27"/>
  <c r="A50" i="27"/>
  <c r="A51" i="27"/>
  <c r="A52" i="27"/>
  <c r="A53" i="27"/>
  <c r="A54" i="27"/>
  <c r="A55" i="27"/>
  <c r="A56" i="27"/>
  <c r="A57" i="27"/>
  <c r="A58" i="27"/>
  <c r="A59" i="27"/>
  <c r="A60" i="27"/>
  <c r="A61" i="27"/>
  <c r="A62" i="27"/>
  <c r="A63" i="27"/>
  <c r="A64" i="27"/>
  <c r="A65" i="27"/>
  <c r="A66" i="27"/>
  <c r="A67" i="27"/>
  <c r="A68" i="27"/>
  <c r="A69" i="27"/>
  <c r="A70" i="27"/>
  <c r="A71" i="27"/>
  <c r="A72" i="27"/>
  <c r="C72" i="27"/>
  <c r="D72" i="27"/>
  <c r="E72" i="27"/>
  <c r="F72" i="27"/>
  <c r="A73" i="27"/>
  <c r="C73" i="27"/>
  <c r="D73" i="27"/>
  <c r="E73" i="27"/>
  <c r="F73" i="27"/>
  <c r="A74" i="27"/>
  <c r="C74" i="27"/>
  <c r="D74" i="27"/>
  <c r="E74" i="27"/>
  <c r="F74" i="27"/>
  <c r="A75" i="27"/>
  <c r="C75" i="27"/>
  <c r="D75" i="27"/>
  <c r="E75" i="27"/>
  <c r="F75" i="27"/>
  <c r="A76" i="27"/>
  <c r="C76" i="27"/>
  <c r="D76" i="27"/>
  <c r="E76" i="27"/>
  <c r="F76" i="27"/>
  <c r="A77" i="27"/>
  <c r="C77" i="27"/>
  <c r="D77" i="27"/>
  <c r="E77" i="27"/>
  <c r="F77" i="27"/>
  <c r="A78" i="27"/>
  <c r="C78" i="27"/>
  <c r="D78" i="27"/>
  <c r="E78" i="27"/>
  <c r="F78" i="27"/>
  <c r="A79" i="27"/>
  <c r="C79" i="27"/>
  <c r="D79" i="27"/>
  <c r="E79" i="27"/>
  <c r="F79" i="27"/>
  <c r="A80" i="27"/>
  <c r="C80" i="27"/>
  <c r="D80" i="27"/>
  <c r="E80" i="27"/>
  <c r="F80" i="27"/>
  <c r="A81" i="27"/>
  <c r="C81" i="27"/>
  <c r="D81" i="27"/>
  <c r="E81" i="27"/>
  <c r="F81" i="27"/>
  <c r="A82" i="27"/>
  <c r="C82" i="27"/>
  <c r="D82" i="27"/>
  <c r="E82" i="27"/>
  <c r="F82" i="27"/>
  <c r="A83" i="27"/>
  <c r="C83" i="27"/>
  <c r="D83" i="27"/>
  <c r="E83" i="27"/>
  <c r="F83" i="27"/>
  <c r="A84" i="27"/>
  <c r="C84" i="27"/>
  <c r="D84" i="27"/>
  <c r="E84" i="27"/>
  <c r="F84" i="27"/>
  <c r="A85" i="27"/>
  <c r="C85" i="27"/>
  <c r="D85" i="27"/>
  <c r="E85" i="27"/>
  <c r="F85" i="27"/>
  <c r="A86" i="27"/>
  <c r="C86" i="27"/>
  <c r="D86" i="27"/>
  <c r="E86" i="27"/>
  <c r="F86" i="27"/>
  <c r="A87" i="27"/>
  <c r="C87" i="27"/>
  <c r="D87" i="27"/>
  <c r="E87" i="27"/>
  <c r="F87" i="27"/>
  <c r="A88" i="27"/>
  <c r="C88" i="27"/>
  <c r="D88" i="27"/>
  <c r="E88" i="27"/>
  <c r="F88" i="27"/>
  <c r="A89" i="27"/>
  <c r="C89" i="27"/>
  <c r="D89" i="27"/>
  <c r="E89" i="27"/>
  <c r="F89" i="27"/>
  <c r="A90" i="27"/>
  <c r="C90" i="27"/>
  <c r="D90" i="27"/>
  <c r="E90" i="27"/>
  <c r="F90" i="27"/>
  <c r="A91" i="27"/>
  <c r="C91" i="27"/>
  <c r="D91" i="27"/>
  <c r="E91" i="27"/>
  <c r="F91" i="27"/>
  <c r="A92" i="27"/>
  <c r="C92" i="27"/>
  <c r="D92" i="27"/>
  <c r="E92" i="27"/>
  <c r="F92" i="27"/>
  <c r="A93" i="27"/>
  <c r="C93" i="27"/>
  <c r="D93" i="27"/>
  <c r="E93" i="27"/>
  <c r="F93" i="27"/>
  <c r="A94" i="27"/>
  <c r="C94" i="27"/>
  <c r="D94" i="27"/>
  <c r="E94" i="27"/>
  <c r="F94" i="27"/>
  <c r="A95" i="27"/>
  <c r="C95" i="27"/>
  <c r="D95" i="27"/>
  <c r="E95" i="27"/>
  <c r="F95" i="27"/>
  <c r="A96" i="27"/>
  <c r="C96" i="27"/>
  <c r="D96" i="27"/>
  <c r="E96" i="27"/>
  <c r="F96" i="27"/>
  <c r="A97" i="27"/>
  <c r="C97" i="27"/>
  <c r="D97" i="27"/>
  <c r="E97" i="27"/>
  <c r="F97" i="27"/>
  <c r="A98" i="27"/>
  <c r="C98" i="27"/>
  <c r="D98" i="27"/>
  <c r="E98" i="27"/>
  <c r="F98" i="27"/>
  <c r="A99" i="27"/>
  <c r="C99" i="27"/>
  <c r="D99" i="27"/>
  <c r="E99" i="27"/>
  <c r="F99" i="27"/>
  <c r="A100" i="27"/>
  <c r="C100" i="27"/>
  <c r="D100" i="27"/>
  <c r="E100" i="27"/>
  <c r="F100" i="27"/>
  <c r="A101" i="27"/>
  <c r="C101" i="27"/>
  <c r="D101" i="27"/>
  <c r="E101" i="27"/>
  <c r="F101" i="27"/>
  <c r="A102" i="27"/>
  <c r="C102" i="27"/>
  <c r="D102" i="27"/>
  <c r="E102" i="27"/>
  <c r="F102" i="27"/>
  <c r="A103" i="27"/>
  <c r="C103" i="27"/>
  <c r="D103" i="27"/>
  <c r="E103" i="27"/>
  <c r="F103" i="27"/>
  <c r="A104" i="27"/>
  <c r="C104" i="27"/>
  <c r="D104" i="27"/>
  <c r="E104" i="27"/>
  <c r="F104" i="27"/>
  <c r="A105" i="27"/>
  <c r="C105" i="27"/>
  <c r="D105" i="27"/>
  <c r="E105" i="27"/>
  <c r="F105" i="27"/>
  <c r="A106" i="27"/>
  <c r="C106" i="27"/>
  <c r="D106" i="27"/>
  <c r="E106" i="27"/>
  <c r="F106" i="27"/>
  <c r="A107" i="27"/>
  <c r="C107" i="27"/>
  <c r="D107" i="27"/>
  <c r="E107" i="27"/>
  <c r="F107" i="27"/>
  <c r="A108" i="27"/>
  <c r="C108" i="27"/>
  <c r="D108" i="27"/>
  <c r="E108" i="27"/>
  <c r="F108" i="27"/>
  <c r="A109" i="27"/>
  <c r="C109" i="27"/>
  <c r="D109" i="27"/>
  <c r="E109" i="27"/>
  <c r="F109" i="27"/>
  <c r="A110" i="27"/>
  <c r="C110" i="27"/>
  <c r="D110" i="27"/>
  <c r="E110" i="27"/>
  <c r="F110" i="27"/>
  <c r="A111" i="27"/>
  <c r="C111" i="27"/>
  <c r="D111" i="27"/>
  <c r="E111" i="27"/>
  <c r="F111" i="27"/>
  <c r="A112" i="27"/>
  <c r="C112" i="27"/>
  <c r="D112" i="27"/>
  <c r="E112" i="27"/>
  <c r="F112" i="27"/>
  <c r="A113" i="27"/>
  <c r="C113" i="27"/>
  <c r="D113" i="27"/>
  <c r="E113" i="27"/>
  <c r="F113" i="27"/>
  <c r="A114" i="27"/>
  <c r="C114" i="27"/>
  <c r="D114" i="27"/>
  <c r="E114" i="27"/>
  <c r="F114" i="27"/>
  <c r="A115" i="27"/>
  <c r="C115" i="27"/>
  <c r="D115" i="27"/>
  <c r="E115" i="27"/>
  <c r="F115" i="27"/>
  <c r="A116" i="27"/>
  <c r="C116" i="27"/>
  <c r="D116" i="27"/>
  <c r="E116" i="27"/>
  <c r="F116" i="27"/>
  <c r="A117" i="27"/>
  <c r="C117" i="27"/>
  <c r="D117" i="27"/>
  <c r="E117" i="27"/>
  <c r="F117" i="27"/>
  <c r="A118" i="27"/>
  <c r="C118" i="27"/>
  <c r="D118" i="27"/>
  <c r="E118" i="27"/>
  <c r="F118" i="27"/>
  <c r="A119" i="27"/>
  <c r="C119" i="27"/>
  <c r="D119" i="27"/>
  <c r="E119" i="27"/>
  <c r="F119" i="27"/>
  <c r="A120" i="27"/>
  <c r="C120" i="27"/>
  <c r="D120" i="27"/>
  <c r="E120" i="27"/>
  <c r="F120" i="27"/>
  <c r="A121" i="27"/>
  <c r="C121" i="27"/>
  <c r="D121" i="27"/>
  <c r="E121" i="27"/>
  <c r="F121" i="27"/>
  <c r="A122" i="27"/>
  <c r="C122" i="27"/>
  <c r="D122" i="27"/>
  <c r="E122" i="27"/>
  <c r="F122" i="27"/>
  <c r="A123" i="27"/>
  <c r="C123" i="27"/>
  <c r="D123" i="27"/>
  <c r="E123" i="27"/>
  <c r="F123" i="27"/>
  <c r="A124" i="27"/>
  <c r="C124" i="27"/>
  <c r="D124" i="27"/>
  <c r="E124" i="27"/>
  <c r="F124" i="27"/>
  <c r="A125" i="27"/>
  <c r="C125" i="27"/>
  <c r="D125" i="27"/>
  <c r="E125" i="27"/>
  <c r="F125" i="27"/>
  <c r="A126" i="27"/>
  <c r="C126" i="27"/>
  <c r="D126" i="27"/>
  <c r="E126" i="27"/>
  <c r="F126" i="27"/>
  <c r="A127" i="27"/>
  <c r="C127" i="27"/>
  <c r="D127" i="27"/>
  <c r="E127" i="27"/>
  <c r="F127" i="27"/>
  <c r="A128" i="27"/>
  <c r="C128" i="27"/>
  <c r="D128" i="27"/>
  <c r="E128" i="27"/>
  <c r="F128" i="27"/>
  <c r="A129" i="27"/>
  <c r="C129" i="27"/>
  <c r="D129" i="27"/>
  <c r="E129" i="27"/>
  <c r="F129" i="27"/>
  <c r="A130" i="27"/>
  <c r="C130" i="27"/>
  <c r="D130" i="27"/>
  <c r="E130" i="27"/>
  <c r="F130" i="27"/>
  <c r="A131" i="27"/>
  <c r="C131" i="27"/>
  <c r="D131" i="27"/>
  <c r="E131" i="27"/>
  <c r="F131" i="27"/>
  <c r="A132" i="27"/>
  <c r="C132" i="27"/>
  <c r="D132" i="27"/>
  <c r="E132" i="27"/>
  <c r="F132" i="27"/>
  <c r="A133" i="27"/>
  <c r="C133" i="27"/>
  <c r="D133" i="27"/>
  <c r="E133" i="27"/>
  <c r="F133" i="27"/>
  <c r="A134" i="27"/>
  <c r="C134" i="27"/>
  <c r="D134" i="27"/>
  <c r="E134" i="27"/>
  <c r="F134" i="27"/>
  <c r="A135" i="27"/>
  <c r="C135" i="27"/>
  <c r="D135" i="27"/>
  <c r="E135" i="27"/>
  <c r="F135" i="27"/>
  <c r="A136" i="27"/>
  <c r="C136" i="27"/>
  <c r="D136" i="27"/>
  <c r="E136" i="27"/>
  <c r="F136" i="27"/>
  <c r="A137" i="27"/>
  <c r="C137" i="27"/>
  <c r="D137" i="27"/>
  <c r="E137" i="27"/>
  <c r="F137" i="27"/>
  <c r="A138" i="27"/>
  <c r="C138" i="27"/>
  <c r="D138" i="27"/>
  <c r="E138" i="27"/>
  <c r="F138" i="27"/>
  <c r="A139" i="27"/>
  <c r="C139" i="27"/>
  <c r="D139" i="27"/>
  <c r="E139" i="27"/>
  <c r="F139" i="27"/>
  <c r="A140" i="27"/>
  <c r="C140" i="27"/>
  <c r="D140" i="27"/>
  <c r="E140" i="27"/>
  <c r="F140" i="27"/>
  <c r="A141" i="27"/>
  <c r="C141" i="27"/>
  <c r="D141" i="27"/>
  <c r="E141" i="27"/>
  <c r="F141" i="27"/>
  <c r="A142" i="27"/>
  <c r="C142" i="27"/>
  <c r="D142" i="27"/>
  <c r="E142" i="27"/>
  <c r="F142" i="27"/>
  <c r="A143" i="27"/>
  <c r="C143" i="27"/>
  <c r="D143" i="27"/>
  <c r="E143" i="27"/>
  <c r="F143" i="27"/>
  <c r="A144" i="27"/>
  <c r="C144" i="27"/>
  <c r="D144" i="27"/>
  <c r="E144" i="27"/>
  <c r="F144" i="27"/>
  <c r="A145" i="27"/>
  <c r="C145" i="27"/>
  <c r="D145" i="27"/>
  <c r="E145" i="27"/>
  <c r="F145" i="27"/>
  <c r="A146" i="27"/>
  <c r="C146" i="27"/>
  <c r="D146" i="27"/>
  <c r="E146" i="27"/>
  <c r="F146" i="27"/>
  <c r="A147" i="27"/>
  <c r="C147" i="27"/>
  <c r="D147" i="27"/>
  <c r="E147" i="27"/>
  <c r="F147" i="27"/>
  <c r="A148" i="27"/>
  <c r="C148" i="27"/>
  <c r="D148" i="27"/>
  <c r="E148" i="27"/>
  <c r="F148" i="27"/>
  <c r="A149" i="27"/>
  <c r="C149" i="27"/>
  <c r="D149" i="27"/>
  <c r="E149" i="27"/>
  <c r="F149" i="27"/>
  <c r="A150" i="27"/>
  <c r="C150" i="27"/>
  <c r="D150" i="27"/>
  <c r="E150" i="27"/>
  <c r="F150" i="27"/>
  <c r="A151" i="27"/>
  <c r="C151" i="27"/>
  <c r="D151" i="27"/>
  <c r="E151" i="27"/>
  <c r="F151" i="27"/>
  <c r="A152" i="27"/>
  <c r="C152" i="27"/>
  <c r="D152" i="27"/>
  <c r="E152" i="27"/>
  <c r="F152" i="27"/>
  <c r="A153" i="27"/>
  <c r="C153" i="27"/>
  <c r="D153" i="27"/>
  <c r="E153" i="27"/>
  <c r="F153" i="27"/>
  <c r="A154" i="27"/>
  <c r="C154" i="27"/>
  <c r="D154" i="27"/>
  <c r="E154" i="27"/>
  <c r="F154" i="27"/>
  <c r="A155" i="27"/>
  <c r="C155" i="27"/>
  <c r="D155" i="27"/>
  <c r="E155" i="27"/>
  <c r="F155" i="27"/>
  <c r="A156" i="27"/>
  <c r="C156" i="27"/>
  <c r="D156" i="27"/>
  <c r="E156" i="27"/>
  <c r="F156" i="27"/>
  <c r="A157" i="27"/>
  <c r="C157" i="27"/>
  <c r="D157" i="27"/>
  <c r="E157" i="27"/>
  <c r="F157" i="27"/>
  <c r="A158" i="27"/>
  <c r="C158" i="27"/>
  <c r="D158" i="27"/>
  <c r="E158" i="27"/>
  <c r="F158" i="27"/>
  <c r="A159" i="27"/>
  <c r="C159" i="27"/>
  <c r="D159" i="27"/>
  <c r="E159" i="27"/>
  <c r="F159" i="27"/>
  <c r="A160" i="27"/>
  <c r="C160" i="27"/>
  <c r="D160" i="27"/>
  <c r="E160" i="27"/>
  <c r="F160" i="27"/>
  <c r="A161" i="27"/>
  <c r="C161" i="27"/>
  <c r="D161" i="27"/>
  <c r="E161" i="27"/>
  <c r="F161" i="27"/>
  <c r="A162" i="27"/>
  <c r="C162" i="27"/>
  <c r="D162" i="27"/>
  <c r="E162" i="27"/>
  <c r="F162" i="27"/>
  <c r="A163" i="27"/>
  <c r="C163" i="27"/>
  <c r="D163" i="27"/>
  <c r="E163" i="27"/>
  <c r="F163" i="27"/>
  <c r="A164" i="27"/>
  <c r="C164" i="27"/>
  <c r="D164" i="27"/>
  <c r="E164" i="27"/>
  <c r="F164" i="27"/>
  <c r="A165" i="27"/>
  <c r="C165" i="27"/>
  <c r="D165" i="27"/>
  <c r="E165" i="27"/>
  <c r="F165" i="27"/>
  <c r="A166" i="27"/>
  <c r="C166" i="27"/>
  <c r="D166" i="27"/>
  <c r="E166" i="27"/>
  <c r="F166" i="27"/>
  <c r="A167" i="27"/>
  <c r="C167" i="27"/>
  <c r="D167" i="27"/>
  <c r="E167" i="27"/>
  <c r="F167" i="27"/>
  <c r="A168" i="27"/>
  <c r="C168" i="27"/>
  <c r="D168" i="27"/>
  <c r="E168" i="27"/>
  <c r="F168" i="27"/>
  <c r="A169" i="27"/>
  <c r="C169" i="27"/>
  <c r="D169" i="27"/>
  <c r="E169" i="27"/>
  <c r="F169" i="27"/>
  <c r="A170" i="27"/>
  <c r="C170" i="27"/>
  <c r="D170" i="27"/>
  <c r="E170" i="27"/>
  <c r="F170" i="27"/>
  <c r="A171" i="27"/>
  <c r="C171" i="27"/>
  <c r="D171" i="27"/>
  <c r="E171" i="27"/>
  <c r="F171" i="27"/>
  <c r="A172" i="27"/>
  <c r="C172" i="27"/>
  <c r="D172" i="27"/>
  <c r="E172" i="27"/>
  <c r="F172" i="27"/>
  <c r="A173" i="27"/>
  <c r="C173" i="27"/>
  <c r="D173" i="27"/>
  <c r="E173" i="27"/>
  <c r="F173" i="27"/>
  <c r="A174" i="27"/>
  <c r="C174" i="27"/>
  <c r="D174" i="27"/>
  <c r="E174" i="27"/>
  <c r="F174" i="27"/>
  <c r="A175" i="27"/>
  <c r="C175" i="27"/>
  <c r="D175" i="27"/>
  <c r="E175" i="27"/>
  <c r="F175" i="27"/>
  <c r="A176" i="27"/>
  <c r="C176" i="27"/>
  <c r="D176" i="27"/>
  <c r="E176" i="27"/>
  <c r="F176" i="27"/>
  <c r="A177" i="27"/>
  <c r="C177" i="27"/>
  <c r="D177" i="27"/>
  <c r="E177" i="27"/>
  <c r="F177" i="27"/>
  <c r="A178" i="27"/>
  <c r="C178" i="27"/>
  <c r="D178" i="27"/>
  <c r="E178" i="27"/>
  <c r="F178" i="27"/>
  <c r="A179" i="27"/>
  <c r="C179" i="27"/>
  <c r="D179" i="27"/>
  <c r="E179" i="27"/>
  <c r="F179" i="27"/>
  <c r="A180" i="27"/>
  <c r="C180" i="27"/>
  <c r="D180" i="27"/>
  <c r="E180" i="27"/>
  <c r="F180" i="27"/>
  <c r="A181" i="27"/>
  <c r="C181" i="27"/>
  <c r="D181" i="27"/>
  <c r="E181" i="27"/>
  <c r="F181" i="27"/>
  <c r="A182" i="27"/>
  <c r="C182" i="27"/>
  <c r="D182" i="27"/>
  <c r="E182" i="27"/>
  <c r="F182" i="27"/>
  <c r="A183" i="27"/>
  <c r="C183" i="27"/>
  <c r="D183" i="27"/>
  <c r="E183" i="27"/>
  <c r="F183" i="27"/>
  <c r="A184" i="27"/>
  <c r="C184" i="27"/>
  <c r="D184" i="27"/>
  <c r="E184" i="27"/>
  <c r="F184" i="27"/>
  <c r="A185" i="27"/>
  <c r="C185" i="27"/>
  <c r="D185" i="27"/>
  <c r="E185" i="27"/>
  <c r="F185" i="27"/>
  <c r="A186" i="27"/>
  <c r="C186" i="27"/>
  <c r="D186" i="27"/>
  <c r="E186" i="27"/>
  <c r="F186" i="27"/>
  <c r="A187" i="27"/>
  <c r="C187" i="27"/>
  <c r="D187" i="27"/>
  <c r="E187" i="27"/>
  <c r="F187" i="27"/>
  <c r="A188" i="27"/>
  <c r="C188" i="27"/>
  <c r="D188" i="27"/>
  <c r="E188" i="27"/>
  <c r="F188" i="27"/>
  <c r="A189" i="27"/>
  <c r="C189" i="27"/>
  <c r="D189" i="27"/>
  <c r="E189" i="27"/>
  <c r="F189" i="27"/>
  <c r="A190" i="27"/>
  <c r="C190" i="27"/>
  <c r="D190" i="27"/>
  <c r="E190" i="27"/>
  <c r="F190" i="27"/>
  <c r="A191" i="27"/>
  <c r="C191" i="27"/>
  <c r="D191" i="27"/>
  <c r="E191" i="27"/>
  <c r="F191" i="27"/>
  <c r="A192" i="27"/>
  <c r="C192" i="27"/>
  <c r="D192" i="27"/>
  <c r="E192" i="27"/>
  <c r="F192" i="27"/>
  <c r="A193" i="27"/>
  <c r="C193" i="27"/>
  <c r="D193" i="27"/>
  <c r="E193" i="27"/>
  <c r="F193" i="27"/>
  <c r="A194" i="27"/>
  <c r="C194" i="27"/>
  <c r="D194" i="27"/>
  <c r="E194" i="27"/>
  <c r="F194" i="27"/>
  <c r="A195" i="27"/>
  <c r="C195" i="27"/>
  <c r="D195" i="27"/>
  <c r="E195" i="27"/>
  <c r="F195" i="27"/>
  <c r="A196" i="27"/>
  <c r="C196" i="27"/>
  <c r="D196" i="27"/>
  <c r="E196" i="27"/>
  <c r="F196" i="27"/>
  <c r="A197" i="27"/>
  <c r="C197" i="27"/>
  <c r="D197" i="27"/>
  <c r="E197" i="27"/>
  <c r="F197" i="27"/>
  <c r="A198" i="27"/>
  <c r="C198" i="27"/>
  <c r="D198" i="27"/>
  <c r="E198" i="27"/>
  <c r="F198" i="27"/>
  <c r="A199" i="27"/>
  <c r="C199" i="27"/>
  <c r="D199" i="27"/>
  <c r="E199" i="27"/>
  <c r="F199" i="27"/>
  <c r="A200" i="27"/>
  <c r="C200" i="27"/>
  <c r="D200" i="27"/>
  <c r="E200" i="27"/>
  <c r="F200" i="27"/>
  <c r="A201" i="27"/>
  <c r="C201" i="27"/>
  <c r="D201" i="27"/>
  <c r="E201" i="27"/>
  <c r="F201" i="27"/>
  <c r="G16" i="45"/>
  <c r="Q5" i="43" l="1"/>
  <c r="O10" i="27" l="1"/>
  <c r="O11" i="27"/>
  <c r="O12" i="27"/>
  <c r="O13" i="27"/>
  <c r="O14" i="27"/>
  <c r="O15" i="27"/>
  <c r="O16" i="27"/>
  <c r="O17" i="27"/>
  <c r="O18" i="27"/>
  <c r="O19" i="27"/>
  <c r="O20" i="27"/>
  <c r="O21" i="27"/>
  <c r="O22" i="27"/>
  <c r="O23" i="27"/>
  <c r="O24" i="27"/>
  <c r="O25" i="27"/>
  <c r="O26" i="27"/>
  <c r="O27" i="27"/>
  <c r="O28" i="27"/>
  <c r="O29" i="27"/>
  <c r="O30" i="27"/>
  <c r="O31" i="27"/>
  <c r="O32" i="27"/>
  <c r="O33" i="27"/>
  <c r="O34" i="27"/>
  <c r="O35" i="27"/>
  <c r="O36" i="27"/>
  <c r="O37" i="27"/>
  <c r="O38" i="27"/>
  <c r="O39" i="27"/>
  <c r="O40" i="27"/>
  <c r="O41" i="27"/>
  <c r="O42" i="27"/>
  <c r="O43" i="27"/>
  <c r="O44" i="27"/>
  <c r="O45" i="27"/>
  <c r="O46" i="27"/>
  <c r="O47" i="27"/>
  <c r="O48" i="27"/>
  <c r="O49" i="27"/>
  <c r="O50" i="27"/>
  <c r="O51" i="27"/>
  <c r="O52" i="27"/>
  <c r="O53" i="27"/>
  <c r="O54" i="27"/>
  <c r="O55" i="27"/>
  <c r="O56" i="27"/>
  <c r="O57" i="27"/>
  <c r="O58" i="27"/>
  <c r="O59" i="27"/>
  <c r="O60" i="27"/>
  <c r="O61" i="27"/>
  <c r="O62" i="27"/>
  <c r="O63" i="27"/>
  <c r="O64" i="27"/>
  <c r="O65" i="27"/>
  <c r="O66" i="27"/>
  <c r="O67" i="27"/>
  <c r="O68" i="27"/>
  <c r="O69" i="27"/>
  <c r="O70" i="27"/>
  <c r="O71" i="27"/>
  <c r="O72" i="27"/>
  <c r="O73" i="27"/>
  <c r="O74" i="27"/>
  <c r="O75" i="27"/>
  <c r="O76" i="27"/>
  <c r="O77" i="27"/>
  <c r="O78" i="27"/>
  <c r="O79" i="27"/>
  <c r="O80" i="27"/>
  <c r="O81" i="27"/>
  <c r="O82" i="27"/>
  <c r="O83" i="27"/>
  <c r="O84" i="27"/>
  <c r="O85" i="27"/>
  <c r="O86" i="27"/>
  <c r="O87" i="27"/>
  <c r="O88" i="27"/>
  <c r="O89" i="27"/>
  <c r="O90" i="27"/>
  <c r="O91" i="27"/>
  <c r="O92" i="27"/>
  <c r="O93" i="27"/>
  <c r="O94" i="27"/>
  <c r="O95" i="27"/>
  <c r="O96" i="27"/>
  <c r="O97" i="27"/>
  <c r="O98" i="27"/>
  <c r="O99" i="27"/>
  <c r="O100" i="27"/>
  <c r="O101" i="27"/>
  <c r="O102" i="27"/>
  <c r="O103" i="27"/>
  <c r="O104" i="27"/>
  <c r="O105" i="27"/>
  <c r="O106" i="27"/>
  <c r="O107" i="27"/>
  <c r="O108" i="27"/>
  <c r="O109" i="27"/>
  <c r="O110" i="27"/>
  <c r="O111" i="27"/>
  <c r="O112" i="27"/>
  <c r="O113" i="27"/>
  <c r="O114" i="27"/>
  <c r="O115" i="27"/>
  <c r="O116" i="27"/>
  <c r="O117" i="27"/>
  <c r="O118" i="27"/>
  <c r="O119" i="27"/>
  <c r="O120" i="27"/>
  <c r="O121" i="27"/>
  <c r="O122" i="27"/>
  <c r="O124" i="27"/>
  <c r="O125" i="27"/>
  <c r="O126" i="27"/>
  <c r="O127" i="27"/>
  <c r="O128" i="27"/>
  <c r="O129" i="27"/>
  <c r="O130" i="27"/>
  <c r="O131" i="27"/>
  <c r="O132" i="27"/>
  <c r="O133" i="27"/>
  <c r="O134" i="27"/>
  <c r="O135" i="27"/>
  <c r="O136" i="27"/>
  <c r="O137" i="27"/>
  <c r="O138" i="27"/>
  <c r="O139" i="27"/>
  <c r="O140" i="27"/>
  <c r="O141" i="27"/>
  <c r="O142" i="27"/>
  <c r="O143" i="27"/>
  <c r="O144" i="27"/>
  <c r="O145" i="27"/>
  <c r="O146" i="27"/>
  <c r="O147" i="27"/>
  <c r="O148" i="27"/>
  <c r="O149" i="27"/>
  <c r="O150" i="27"/>
  <c r="O151" i="27"/>
  <c r="O152" i="27"/>
  <c r="O153" i="27"/>
  <c r="O154" i="27"/>
  <c r="O155" i="27"/>
  <c r="O156" i="27"/>
  <c r="O157" i="27"/>
  <c r="O158" i="27"/>
  <c r="O159" i="27"/>
  <c r="O160" i="27"/>
  <c r="O161" i="27"/>
  <c r="O162" i="27"/>
  <c r="O163" i="27"/>
  <c r="O164" i="27"/>
  <c r="O165" i="27"/>
  <c r="O166" i="27"/>
  <c r="O167" i="27"/>
  <c r="O168" i="27"/>
  <c r="O169" i="27"/>
  <c r="O170" i="27"/>
  <c r="O171" i="27"/>
  <c r="O172" i="27"/>
  <c r="O173" i="27"/>
  <c r="O174" i="27"/>
  <c r="O175" i="27"/>
  <c r="O176" i="27"/>
  <c r="O177" i="27"/>
  <c r="O178" i="27"/>
  <c r="O179" i="27"/>
  <c r="O180" i="27"/>
  <c r="O181" i="27"/>
  <c r="O182" i="27"/>
  <c r="O183" i="27"/>
  <c r="O184" i="27"/>
  <c r="O185" i="27"/>
  <c r="O186" i="27"/>
  <c r="O187" i="27"/>
  <c r="O188" i="27"/>
  <c r="O189" i="27"/>
  <c r="O190" i="27"/>
  <c r="O191" i="27"/>
  <c r="O192" i="27"/>
  <c r="O193" i="27"/>
  <c r="O194" i="27"/>
  <c r="O195" i="27"/>
  <c r="O196" i="27"/>
  <c r="O197" i="27"/>
  <c r="O198" i="27"/>
  <c r="O199" i="27"/>
  <c r="O200" i="27"/>
  <c r="O201" i="27"/>
  <c r="J17" i="61" l="1"/>
  <c r="I72" i="27" l="1"/>
  <c r="K72" i="27" s="1"/>
  <c r="I71" i="27"/>
  <c r="K71" i="27" s="1"/>
  <c r="I70" i="27"/>
  <c r="K70" i="27" s="1"/>
  <c r="I69" i="27"/>
  <c r="K69" i="27" s="1"/>
  <c r="I68" i="27"/>
  <c r="K68" i="27" s="1"/>
  <c r="I67" i="27"/>
  <c r="K67" i="27" s="1"/>
  <c r="I66" i="27"/>
  <c r="K66" i="27" s="1"/>
  <c r="I65" i="27"/>
  <c r="K65" i="27" s="1"/>
  <c r="I64" i="27"/>
  <c r="K64" i="27" s="1"/>
  <c r="I63" i="27"/>
  <c r="K63" i="27" s="1"/>
  <c r="I62" i="27"/>
  <c r="K62" i="27" s="1"/>
  <c r="I61" i="27"/>
  <c r="K61" i="27" s="1"/>
  <c r="I60" i="27"/>
  <c r="K60" i="27" s="1"/>
  <c r="I59" i="27"/>
  <c r="K59" i="27" s="1"/>
  <c r="I58" i="27"/>
  <c r="K58" i="27" s="1"/>
  <c r="I57" i="27"/>
  <c r="K57" i="27" s="1"/>
  <c r="J18" i="61" l="1"/>
  <c r="J19" i="61"/>
  <c r="J20" i="61"/>
  <c r="J21" i="61"/>
  <c r="J22" i="61"/>
  <c r="A54" i="54" l="1"/>
  <c r="A55" i="54"/>
  <c r="A42" i="54"/>
  <c r="A41" i="54"/>
  <c r="A13" i="54"/>
  <c r="J10" i="29" l="1"/>
  <c r="I48" i="27" l="1"/>
  <c r="K48" i="27" s="1"/>
  <c r="I51" i="27" l="1"/>
  <c r="K51" i="27" s="1"/>
  <c r="I50" i="27"/>
  <c r="K50" i="27" s="1"/>
  <c r="G11" i="46" l="1"/>
  <c r="H11" i="46" l="1"/>
  <c r="E10" i="46"/>
  <c r="F65" i="46"/>
  <c r="F66" i="46"/>
  <c r="F67" i="46"/>
  <c r="F68" i="46"/>
  <c r="F69" i="46"/>
  <c r="F70" i="46"/>
  <c r="F71" i="46"/>
  <c r="F72" i="46"/>
  <c r="F73" i="46"/>
  <c r="F74" i="46"/>
  <c r="F75" i="46"/>
  <c r="F76" i="46"/>
  <c r="F77" i="46"/>
  <c r="F78" i="46"/>
  <c r="F79" i="46"/>
  <c r="F80" i="46"/>
  <c r="F81" i="46"/>
  <c r="F82" i="46"/>
  <c r="F83" i="46"/>
  <c r="F84" i="46"/>
  <c r="F85" i="46"/>
  <c r="F86" i="46"/>
  <c r="F87" i="46"/>
  <c r="F88" i="46"/>
  <c r="F89" i="46"/>
  <c r="F90" i="46"/>
  <c r="F91" i="46"/>
  <c r="F92" i="46"/>
  <c r="F93" i="46"/>
  <c r="F94" i="46"/>
  <c r="F95" i="46"/>
  <c r="F96" i="46"/>
  <c r="F97" i="46"/>
  <c r="F98" i="46"/>
  <c r="F99" i="46"/>
  <c r="F100" i="46"/>
  <c r="F101" i="46"/>
  <c r="F102" i="46"/>
  <c r="F103" i="46"/>
  <c r="F104" i="46"/>
  <c r="F105" i="46"/>
  <c r="F106" i="46"/>
  <c r="F107" i="46"/>
  <c r="F108" i="46"/>
  <c r="F109" i="46"/>
  <c r="F110" i="46"/>
  <c r="F111" i="46"/>
  <c r="F112" i="46"/>
  <c r="F113" i="46"/>
  <c r="F114" i="46"/>
  <c r="F115" i="46"/>
  <c r="F116" i="46"/>
  <c r="F117" i="46"/>
  <c r="F118" i="46"/>
  <c r="F119" i="46"/>
  <c r="F120" i="46"/>
  <c r="F121" i="46"/>
  <c r="F122" i="46"/>
  <c r="AN153" i="27" l="1"/>
  <c r="AN154" i="27"/>
  <c r="AN155" i="27"/>
  <c r="AN156" i="27"/>
  <c r="AN157" i="27"/>
  <c r="AN158" i="27"/>
  <c r="AN159" i="27"/>
  <c r="AN160" i="27"/>
  <c r="AN161" i="27"/>
  <c r="AN162" i="27"/>
  <c r="AN163" i="27"/>
  <c r="AN164" i="27"/>
  <c r="AN165" i="27"/>
  <c r="AN166" i="27"/>
  <c r="AN167" i="27"/>
  <c r="AN168" i="27"/>
  <c r="AN169" i="27"/>
  <c r="AN170" i="27"/>
  <c r="AN171" i="27"/>
  <c r="AN172" i="27"/>
  <c r="AN173" i="27"/>
  <c r="AN174" i="27"/>
  <c r="AN175" i="27"/>
  <c r="AN176" i="27"/>
  <c r="AN177" i="27"/>
  <c r="AN178" i="27"/>
  <c r="AN179" i="27"/>
  <c r="AN180" i="27"/>
  <c r="AN181" i="27"/>
  <c r="AN182" i="27"/>
  <c r="AN183" i="27"/>
  <c r="AN184" i="27"/>
  <c r="AN185" i="27"/>
  <c r="AN186" i="27"/>
  <c r="AN187" i="27"/>
  <c r="AN188" i="27"/>
  <c r="AN189" i="27"/>
  <c r="AN190" i="27"/>
  <c r="AN191" i="27"/>
  <c r="AN192" i="27"/>
  <c r="AN193" i="27"/>
  <c r="AN194" i="27"/>
  <c r="AN195" i="27"/>
  <c r="AN196" i="27"/>
  <c r="AN197" i="27"/>
  <c r="AN198" i="27"/>
  <c r="AN199" i="27"/>
  <c r="AN200" i="27"/>
  <c r="G19" i="29" l="1"/>
  <c r="F19" i="29"/>
  <c r="H9" i="29"/>
  <c r="G9" i="29"/>
  <c r="F9" i="29"/>
  <c r="E9" i="29"/>
  <c r="D8" i="29"/>
  <c r="D7" i="29"/>
  <c r="D6" i="29"/>
  <c r="I52" i="27"/>
  <c r="K52" i="27" s="1"/>
  <c r="I53" i="27"/>
  <c r="K53" i="27" s="1"/>
  <c r="I54" i="27"/>
  <c r="K54" i="27" s="1"/>
  <c r="I55" i="27"/>
  <c r="K55" i="27" s="1"/>
  <c r="I56" i="27"/>
  <c r="K56" i="27" s="1"/>
  <c r="I73" i="27"/>
  <c r="K73" i="27" s="1"/>
  <c r="I74" i="27"/>
  <c r="K74" i="27" s="1"/>
  <c r="I75" i="27"/>
  <c r="K75" i="27" s="1"/>
  <c r="I76" i="27"/>
  <c r="K76" i="27" s="1"/>
  <c r="I77" i="27"/>
  <c r="K77" i="27" s="1"/>
  <c r="I78" i="27"/>
  <c r="K78" i="27" s="1"/>
  <c r="I79" i="27"/>
  <c r="K79" i="27" s="1"/>
  <c r="I80" i="27"/>
  <c r="K80" i="27" s="1"/>
  <c r="I81" i="27"/>
  <c r="K81" i="27" s="1"/>
  <c r="I82" i="27"/>
  <c r="K82" i="27" s="1"/>
  <c r="I83" i="27"/>
  <c r="K83" i="27" s="1"/>
  <c r="I84" i="27"/>
  <c r="K84" i="27" s="1"/>
  <c r="I85" i="27"/>
  <c r="K85" i="27" s="1"/>
  <c r="I86" i="27"/>
  <c r="K86" i="27" s="1"/>
  <c r="I87" i="27"/>
  <c r="K87" i="27" s="1"/>
  <c r="I88" i="27"/>
  <c r="K88" i="27" s="1"/>
  <c r="I89" i="27"/>
  <c r="K89" i="27" s="1"/>
  <c r="I90" i="27"/>
  <c r="K90" i="27" s="1"/>
  <c r="I91" i="27"/>
  <c r="K91" i="27" s="1"/>
  <c r="I92" i="27"/>
  <c r="K92" i="27" s="1"/>
  <c r="I93" i="27"/>
  <c r="K93" i="27" s="1"/>
  <c r="I94" i="27"/>
  <c r="K94" i="27" s="1"/>
  <c r="I95" i="27"/>
  <c r="K95" i="27" s="1"/>
  <c r="I96" i="27"/>
  <c r="K96" i="27" s="1"/>
  <c r="I97" i="27"/>
  <c r="K97" i="27" s="1"/>
  <c r="I98" i="27"/>
  <c r="K98" i="27" s="1"/>
  <c r="I99" i="27"/>
  <c r="K99" i="27" s="1"/>
  <c r="I100" i="27"/>
  <c r="K100" i="27" s="1"/>
  <c r="I101" i="27"/>
  <c r="K101" i="27" s="1"/>
  <c r="I102" i="27"/>
  <c r="K102" i="27" s="1"/>
  <c r="I103" i="27"/>
  <c r="K103" i="27" s="1"/>
  <c r="I104" i="27"/>
  <c r="K104" i="27" s="1"/>
  <c r="I105" i="27"/>
  <c r="K105" i="27" s="1"/>
  <c r="I106" i="27"/>
  <c r="K106" i="27" s="1"/>
  <c r="I107" i="27"/>
  <c r="K107" i="27" s="1"/>
  <c r="I108" i="27"/>
  <c r="K108" i="27" s="1"/>
  <c r="I109" i="27"/>
  <c r="K109" i="27" s="1"/>
  <c r="I110" i="27"/>
  <c r="K110" i="27" s="1"/>
  <c r="I111" i="27"/>
  <c r="K111" i="27" s="1"/>
  <c r="I112" i="27"/>
  <c r="K112" i="27" s="1"/>
  <c r="I113" i="27"/>
  <c r="K113" i="27" s="1"/>
  <c r="I114" i="27"/>
  <c r="K114" i="27" s="1"/>
  <c r="I115" i="27"/>
  <c r="K115" i="27" s="1"/>
  <c r="I116" i="27"/>
  <c r="K116" i="27" s="1"/>
  <c r="I117" i="27"/>
  <c r="K117" i="27" s="1"/>
  <c r="I118" i="27"/>
  <c r="K118" i="27" s="1"/>
  <c r="I119" i="27"/>
  <c r="K119" i="27" s="1"/>
  <c r="I120" i="27"/>
  <c r="K120" i="27" s="1"/>
  <c r="I121" i="27"/>
  <c r="K121" i="27" s="1"/>
  <c r="I122" i="27"/>
  <c r="K122" i="27" s="1"/>
  <c r="I123" i="27"/>
  <c r="K123" i="27" s="1"/>
  <c r="I124" i="27"/>
  <c r="K124" i="27" s="1"/>
  <c r="I125" i="27"/>
  <c r="K125" i="27" s="1"/>
  <c r="I126" i="27"/>
  <c r="K126" i="27" s="1"/>
  <c r="I127" i="27"/>
  <c r="K127" i="27" s="1"/>
  <c r="I128" i="27"/>
  <c r="K128" i="27" s="1"/>
  <c r="I129" i="27"/>
  <c r="K129" i="27" s="1"/>
  <c r="I130" i="27"/>
  <c r="K130" i="27" s="1"/>
  <c r="I131" i="27"/>
  <c r="K131" i="27" s="1"/>
  <c r="I132" i="27"/>
  <c r="K132" i="27" s="1"/>
  <c r="I133" i="27"/>
  <c r="K133" i="27" s="1"/>
  <c r="I134" i="27"/>
  <c r="K134" i="27" s="1"/>
  <c r="I135" i="27"/>
  <c r="K135" i="27" s="1"/>
  <c r="I136" i="27"/>
  <c r="K136" i="27" s="1"/>
  <c r="I137" i="27"/>
  <c r="K137" i="27" s="1"/>
  <c r="I138" i="27"/>
  <c r="K138" i="27" s="1"/>
  <c r="I139" i="27"/>
  <c r="K139" i="27" s="1"/>
  <c r="I140" i="27"/>
  <c r="K140" i="27" s="1"/>
  <c r="I141" i="27"/>
  <c r="K141" i="27" s="1"/>
  <c r="I142" i="27"/>
  <c r="K142" i="27" s="1"/>
  <c r="I143" i="27"/>
  <c r="K143" i="27" s="1"/>
  <c r="I144" i="27"/>
  <c r="K144" i="27" s="1"/>
  <c r="I145" i="27"/>
  <c r="K145" i="27" s="1"/>
  <c r="I146" i="27"/>
  <c r="K146" i="27" s="1"/>
  <c r="I147" i="27"/>
  <c r="K147" i="27" s="1"/>
  <c r="I148" i="27"/>
  <c r="K148" i="27" s="1"/>
  <c r="I149" i="27"/>
  <c r="K149" i="27" s="1"/>
  <c r="I150" i="27"/>
  <c r="K150" i="27" s="1"/>
  <c r="I151" i="27"/>
  <c r="K151" i="27" s="1"/>
  <c r="I152" i="27"/>
  <c r="K152" i="27" s="1"/>
  <c r="I153" i="27"/>
  <c r="K153" i="27" s="1"/>
  <c r="I154" i="27"/>
  <c r="K154" i="27" s="1"/>
  <c r="I155" i="27"/>
  <c r="K155" i="27" s="1"/>
  <c r="I156" i="27"/>
  <c r="K156" i="27" s="1"/>
  <c r="I157" i="27"/>
  <c r="K157" i="27" s="1"/>
  <c r="I158" i="27"/>
  <c r="K158" i="27" s="1"/>
  <c r="I159" i="27"/>
  <c r="K159" i="27" s="1"/>
  <c r="I160" i="27"/>
  <c r="K160" i="27" s="1"/>
  <c r="I161" i="27"/>
  <c r="K161" i="27" s="1"/>
  <c r="I162" i="27"/>
  <c r="I163" i="27"/>
  <c r="I164" i="27"/>
  <c r="I165" i="27"/>
  <c r="I166" i="27"/>
  <c r="I167" i="27"/>
  <c r="I168" i="27"/>
  <c r="I169" i="27"/>
  <c r="I170" i="27"/>
  <c r="I171" i="27"/>
  <c r="I172" i="27"/>
  <c r="I173" i="27"/>
  <c r="I174" i="27"/>
  <c r="I175" i="27"/>
  <c r="I176" i="27"/>
  <c r="I177" i="27"/>
  <c r="I178" i="27"/>
  <c r="I179" i="27"/>
  <c r="I180" i="27"/>
  <c r="I181" i="27"/>
  <c r="I182" i="27"/>
  <c r="I183" i="27"/>
  <c r="I184" i="27"/>
  <c r="I185" i="27"/>
  <c r="I186" i="27"/>
  <c r="I187" i="27"/>
  <c r="I188" i="27"/>
  <c r="I189" i="27"/>
  <c r="I190" i="27"/>
  <c r="I191" i="27"/>
  <c r="I192" i="27"/>
  <c r="I193" i="27"/>
  <c r="I194" i="27"/>
  <c r="I195" i="27"/>
  <c r="I196" i="27"/>
  <c r="I197" i="27"/>
  <c r="I198" i="27"/>
  <c r="I199" i="27"/>
  <c r="I200" i="27"/>
  <c r="I201" i="27"/>
  <c r="D9" i="29" l="1"/>
  <c r="O9" i="27"/>
  <c r="A9" i="27" l="1"/>
  <c r="I39" i="39" l="1"/>
  <c r="H39" i="39" s="1"/>
  <c r="G39" i="39" s="1"/>
  <c r="I40" i="39"/>
  <c r="H40" i="39" s="1"/>
  <c r="I56" i="39"/>
  <c r="I52" i="39"/>
  <c r="I12" i="39"/>
  <c r="H12" i="39" s="1"/>
  <c r="G12" i="39" s="1"/>
  <c r="I49" i="27"/>
  <c r="K49" i="27" s="1"/>
  <c r="F10" i="46"/>
  <c r="H52" i="39" l="1"/>
  <c r="G52" i="39" s="1"/>
  <c r="I51" i="39"/>
  <c r="H51" i="39" s="1"/>
  <c r="G51" i="39" s="1"/>
  <c r="H56" i="39"/>
  <c r="G56" i="39" s="1"/>
  <c r="I55" i="39"/>
  <c r="B12" i="60"/>
  <c r="E12" i="60" s="1"/>
  <c r="B11" i="60"/>
  <c r="B10" i="60"/>
  <c r="E10" i="60" s="1"/>
  <c r="B9" i="60"/>
  <c r="B8" i="60"/>
  <c r="B7" i="60"/>
  <c r="B6" i="60"/>
  <c r="E6" i="60" s="1"/>
  <c r="F7" i="60" l="1"/>
  <c r="F11" i="60"/>
  <c r="E11" i="60"/>
  <c r="F10" i="60"/>
  <c r="C12" i="60"/>
  <c r="F6" i="60"/>
  <c r="F9" i="60"/>
  <c r="F12" i="60"/>
  <c r="G12" i="60" s="1"/>
  <c r="F8" i="60"/>
  <c r="C11" i="60"/>
  <c r="C10" i="60"/>
  <c r="C9" i="60"/>
  <c r="C8" i="60"/>
  <c r="C7" i="60"/>
  <c r="C6" i="60"/>
  <c r="D4" i="60"/>
  <c r="G11" i="60" l="1"/>
  <c r="F13" i="60"/>
  <c r="G10" i="60"/>
  <c r="D13" i="60"/>
  <c r="B105" i="56" l="1"/>
  <c r="C105" i="56" s="1"/>
  <c r="B17" i="56"/>
  <c r="C17" i="56" s="1"/>
  <c r="B18" i="56"/>
  <c r="C18" i="56" s="1"/>
  <c r="B19" i="56"/>
  <c r="C19" i="56" s="1"/>
  <c r="B20" i="56"/>
  <c r="C20" i="56" s="1"/>
  <c r="B21" i="56"/>
  <c r="C21" i="56" s="1"/>
  <c r="B22" i="56"/>
  <c r="C22" i="56" s="1"/>
  <c r="B23" i="56"/>
  <c r="C23" i="56" s="1"/>
  <c r="B24" i="56"/>
  <c r="C24" i="56" s="1"/>
  <c r="B25" i="56"/>
  <c r="C25" i="56" s="1"/>
  <c r="B26" i="56"/>
  <c r="C26" i="56" s="1"/>
  <c r="B27" i="56"/>
  <c r="C27" i="56" s="1"/>
  <c r="B28" i="56"/>
  <c r="C28" i="56" s="1"/>
  <c r="B29" i="56"/>
  <c r="C29" i="56" s="1"/>
  <c r="B30" i="56"/>
  <c r="C30" i="56" s="1"/>
  <c r="B31" i="56"/>
  <c r="C31" i="56" s="1"/>
  <c r="B32" i="56"/>
  <c r="C32" i="56" s="1"/>
  <c r="B33" i="56"/>
  <c r="C33" i="56" s="1"/>
  <c r="B34" i="56"/>
  <c r="C34" i="56" s="1"/>
  <c r="B35" i="56"/>
  <c r="C35" i="56" s="1"/>
  <c r="B36" i="56"/>
  <c r="C36" i="56" s="1"/>
  <c r="B37" i="56"/>
  <c r="C37" i="56" s="1"/>
  <c r="B38" i="56"/>
  <c r="C38" i="56" s="1"/>
  <c r="B39" i="56"/>
  <c r="C39" i="56" s="1"/>
  <c r="B40" i="56"/>
  <c r="C40" i="56" s="1"/>
  <c r="B41" i="56"/>
  <c r="C41" i="56" s="1"/>
  <c r="B42" i="56"/>
  <c r="C42" i="56" s="1"/>
  <c r="B43" i="56"/>
  <c r="C43" i="56" s="1"/>
  <c r="B44" i="56"/>
  <c r="C44" i="56" s="1"/>
  <c r="B45" i="56"/>
  <c r="C45" i="56" s="1"/>
  <c r="B46" i="56"/>
  <c r="C46" i="56" s="1"/>
  <c r="B47" i="56"/>
  <c r="C47" i="56" s="1"/>
  <c r="B48" i="56"/>
  <c r="C48" i="56" s="1"/>
  <c r="B49" i="56"/>
  <c r="C49" i="56" s="1"/>
  <c r="B50" i="56"/>
  <c r="C50" i="56" s="1"/>
  <c r="B51" i="56"/>
  <c r="C51" i="56" s="1"/>
  <c r="B52" i="56"/>
  <c r="C52" i="56" s="1"/>
  <c r="B53" i="56"/>
  <c r="C53" i="56" s="1"/>
  <c r="B54" i="56"/>
  <c r="C54" i="56" s="1"/>
  <c r="B55" i="56"/>
  <c r="C55" i="56" s="1"/>
  <c r="B56" i="56"/>
  <c r="C56" i="56" s="1"/>
  <c r="B57" i="56"/>
  <c r="C57" i="56" s="1"/>
  <c r="B58" i="56"/>
  <c r="C58" i="56" s="1"/>
  <c r="B59" i="56"/>
  <c r="C59" i="56" s="1"/>
  <c r="B60" i="56"/>
  <c r="C60" i="56" s="1"/>
  <c r="B61" i="56"/>
  <c r="C61" i="56" s="1"/>
  <c r="B62" i="56"/>
  <c r="C62" i="56" s="1"/>
  <c r="B63" i="56"/>
  <c r="C63" i="56" s="1"/>
  <c r="B64" i="56"/>
  <c r="C64" i="56" s="1"/>
  <c r="B65" i="56"/>
  <c r="C65" i="56" s="1"/>
  <c r="B66" i="56"/>
  <c r="C66" i="56" s="1"/>
  <c r="B67" i="56"/>
  <c r="C67" i="56" s="1"/>
  <c r="B68" i="56"/>
  <c r="C68" i="56" s="1"/>
  <c r="B69" i="56"/>
  <c r="C69" i="56" s="1"/>
  <c r="B70" i="56"/>
  <c r="C70" i="56" s="1"/>
  <c r="B71" i="56"/>
  <c r="C71" i="56" s="1"/>
  <c r="B72" i="56"/>
  <c r="C72" i="56" s="1"/>
  <c r="B73" i="56"/>
  <c r="C73" i="56" s="1"/>
  <c r="B74" i="56"/>
  <c r="C74" i="56" s="1"/>
  <c r="B75" i="56"/>
  <c r="C75" i="56" s="1"/>
  <c r="B76" i="56"/>
  <c r="C76" i="56" s="1"/>
  <c r="B77" i="56"/>
  <c r="C77" i="56" s="1"/>
  <c r="B78" i="56"/>
  <c r="C78" i="56" s="1"/>
  <c r="B79" i="56"/>
  <c r="C79" i="56" s="1"/>
  <c r="B80" i="56"/>
  <c r="C80" i="56" s="1"/>
  <c r="B81" i="56"/>
  <c r="C81" i="56" s="1"/>
  <c r="B82" i="56"/>
  <c r="C82" i="56" s="1"/>
  <c r="B83" i="56"/>
  <c r="C83" i="56" s="1"/>
  <c r="B84" i="56"/>
  <c r="C84" i="56" s="1"/>
  <c r="B85" i="56"/>
  <c r="C85" i="56" s="1"/>
  <c r="B86" i="56"/>
  <c r="C86" i="56" s="1"/>
  <c r="B87" i="56"/>
  <c r="C87" i="56" s="1"/>
  <c r="B88" i="56"/>
  <c r="C88" i="56" s="1"/>
  <c r="B89" i="56"/>
  <c r="C89" i="56" s="1"/>
  <c r="B90" i="56"/>
  <c r="C90" i="56" s="1"/>
  <c r="B91" i="56"/>
  <c r="C91" i="56" s="1"/>
  <c r="B92" i="56"/>
  <c r="C92" i="56" s="1"/>
  <c r="B93" i="56"/>
  <c r="C93" i="56" s="1"/>
  <c r="B94" i="56"/>
  <c r="C94" i="56" s="1"/>
  <c r="B95" i="56"/>
  <c r="C95" i="56" s="1"/>
  <c r="B96" i="56"/>
  <c r="C96" i="56" s="1"/>
  <c r="B97" i="56"/>
  <c r="C97" i="56" s="1"/>
  <c r="B98" i="56"/>
  <c r="C98" i="56" s="1"/>
  <c r="B99" i="56"/>
  <c r="C99" i="56" s="1"/>
  <c r="B100" i="56"/>
  <c r="C100" i="56" s="1"/>
  <c r="B101" i="56"/>
  <c r="C101" i="56" s="1"/>
  <c r="B102" i="56"/>
  <c r="C102" i="56" s="1"/>
  <c r="B103" i="56"/>
  <c r="C103" i="56" s="1"/>
  <c r="B104" i="56"/>
  <c r="C104" i="56" s="1"/>
  <c r="H3" i="59"/>
  <c r="B5" i="27" l="1"/>
  <c r="A4" i="56"/>
  <c r="B11" i="56"/>
  <c r="B12" i="56"/>
  <c r="B13" i="56"/>
  <c r="B14" i="56"/>
  <c r="B15" i="56"/>
  <c r="B16" i="56"/>
  <c r="B8" i="56"/>
  <c r="B9" i="56"/>
  <c r="B10" i="56"/>
  <c r="B7" i="56"/>
  <c r="B58" i="27" l="1"/>
  <c r="B60" i="27"/>
  <c r="B62" i="27"/>
  <c r="B64" i="27"/>
  <c r="B66" i="27"/>
  <c r="B68" i="27"/>
  <c r="B70" i="27"/>
  <c r="B72" i="27"/>
  <c r="B57" i="27"/>
  <c r="B59" i="27"/>
  <c r="B61" i="27"/>
  <c r="B63" i="27"/>
  <c r="B65" i="27"/>
  <c r="B67" i="27"/>
  <c r="B69" i="27"/>
  <c r="B71" i="27"/>
  <c r="B48" i="27"/>
  <c r="B50" i="27"/>
  <c r="B51" i="27"/>
  <c r="B199" i="27"/>
  <c r="B195" i="27"/>
  <c r="B191" i="27"/>
  <c r="B187" i="27"/>
  <c r="B183" i="27"/>
  <c r="B179" i="27"/>
  <c r="B175" i="27"/>
  <c r="B171" i="27"/>
  <c r="B167" i="27"/>
  <c r="B163" i="27"/>
  <c r="B159" i="27"/>
  <c r="B155" i="27"/>
  <c r="B151" i="27"/>
  <c r="B147" i="27"/>
  <c r="B143" i="27"/>
  <c r="B139" i="27"/>
  <c r="B135" i="27"/>
  <c r="B131" i="27"/>
  <c r="B127" i="27"/>
  <c r="B123" i="27"/>
  <c r="B119" i="27"/>
  <c r="B115" i="27"/>
  <c r="B111" i="27"/>
  <c r="B107" i="27"/>
  <c r="B103" i="27"/>
  <c r="B99" i="27"/>
  <c r="B95" i="27"/>
  <c r="B91" i="27"/>
  <c r="B87" i="27"/>
  <c r="B83" i="27"/>
  <c r="B79" i="27"/>
  <c r="B75" i="27"/>
  <c r="B55" i="27"/>
  <c r="B49" i="27"/>
  <c r="B44" i="27"/>
  <c r="B40" i="27"/>
  <c r="B36" i="27"/>
  <c r="B32" i="27"/>
  <c r="B28" i="27"/>
  <c r="B24" i="27"/>
  <c r="B20" i="27"/>
  <c r="B16" i="27"/>
  <c r="B12" i="27"/>
  <c r="B200" i="27"/>
  <c r="B196" i="27"/>
  <c r="B192" i="27"/>
  <c r="B188" i="27"/>
  <c r="B184" i="27"/>
  <c r="B180" i="27"/>
  <c r="B176" i="27"/>
  <c r="B172" i="27"/>
  <c r="B168" i="27"/>
  <c r="B164" i="27"/>
  <c r="B160" i="27"/>
  <c r="B156" i="27"/>
  <c r="B152" i="27"/>
  <c r="B148" i="27"/>
  <c r="B144" i="27"/>
  <c r="B140" i="27"/>
  <c r="B136" i="27"/>
  <c r="B132" i="27"/>
  <c r="B128" i="27"/>
  <c r="B124" i="27"/>
  <c r="B120" i="27"/>
  <c r="B116" i="27"/>
  <c r="B112" i="27"/>
  <c r="B108" i="27"/>
  <c r="B104" i="27"/>
  <c r="B100" i="27"/>
  <c r="B96" i="27"/>
  <c r="B92" i="27"/>
  <c r="B88" i="27"/>
  <c r="B84" i="27"/>
  <c r="B80" i="27"/>
  <c r="B74" i="27"/>
  <c r="B54" i="27"/>
  <c r="B45" i="27"/>
  <c r="B41" i="27"/>
  <c r="B37" i="27"/>
  <c r="B33" i="27"/>
  <c r="B29" i="27"/>
  <c r="B25" i="27"/>
  <c r="B21" i="27"/>
  <c r="B17" i="27"/>
  <c r="B13" i="27"/>
  <c r="B197" i="27"/>
  <c r="B193" i="27"/>
  <c r="B189" i="27"/>
  <c r="B185" i="27"/>
  <c r="B181" i="27"/>
  <c r="B177" i="27"/>
  <c r="B173" i="27"/>
  <c r="B169" i="27"/>
  <c r="B165" i="27"/>
  <c r="B161" i="27"/>
  <c r="B157" i="27"/>
  <c r="B153" i="27"/>
  <c r="B149" i="27"/>
  <c r="B145" i="27"/>
  <c r="B141" i="27"/>
  <c r="B137" i="27"/>
  <c r="B133" i="27"/>
  <c r="B129" i="27"/>
  <c r="B125" i="27"/>
  <c r="B121" i="27"/>
  <c r="B117" i="27"/>
  <c r="B113" i="27"/>
  <c r="B109" i="27"/>
  <c r="B105" i="27"/>
  <c r="B101" i="27"/>
  <c r="B97" i="27"/>
  <c r="B93" i="27"/>
  <c r="B89" i="27"/>
  <c r="B85" i="27"/>
  <c r="B81" i="27"/>
  <c r="B77" i="27"/>
  <c r="B73" i="27"/>
  <c r="B53" i="27"/>
  <c r="B46" i="27"/>
  <c r="B42" i="27"/>
  <c r="B38" i="27"/>
  <c r="B34" i="27"/>
  <c r="B30" i="27"/>
  <c r="B26" i="27"/>
  <c r="B22" i="27"/>
  <c r="B18" i="27"/>
  <c r="B14" i="27"/>
  <c r="B10" i="27"/>
  <c r="B198" i="27"/>
  <c r="B194" i="27"/>
  <c r="B190" i="27"/>
  <c r="B186" i="27"/>
  <c r="B182" i="27"/>
  <c r="B178" i="27"/>
  <c r="B174" i="27"/>
  <c r="B170" i="27"/>
  <c r="B166" i="27"/>
  <c r="B162" i="27"/>
  <c r="B158" i="27"/>
  <c r="B154" i="27"/>
  <c r="B150" i="27"/>
  <c r="B146" i="27"/>
  <c r="B142" i="27"/>
  <c r="B138" i="27"/>
  <c r="B134" i="27"/>
  <c r="B130" i="27"/>
  <c r="B126" i="27"/>
  <c r="B122" i="27"/>
  <c r="B118" i="27"/>
  <c r="B114" i="27"/>
  <c r="B110" i="27"/>
  <c r="B106" i="27"/>
  <c r="B102" i="27"/>
  <c r="B98" i="27"/>
  <c r="B94" i="27"/>
  <c r="B90" i="27"/>
  <c r="B86" i="27"/>
  <c r="B82" i="27"/>
  <c r="B78" i="27"/>
  <c r="B56" i="27"/>
  <c r="B52" i="27"/>
  <c r="B43" i="27"/>
  <c r="B39" i="27"/>
  <c r="B35" i="27"/>
  <c r="B31" i="27"/>
  <c r="B27" i="27"/>
  <c r="B23" i="27"/>
  <c r="B19" i="27"/>
  <c r="B15" i="27"/>
  <c r="B11" i="27"/>
  <c r="A7" i="56"/>
  <c r="A8" i="56" l="1"/>
  <c r="A9" i="56" s="1"/>
  <c r="I6" i="56"/>
  <c r="D11" i="59" l="1"/>
  <c r="D9" i="59"/>
  <c r="D10" i="59"/>
  <c r="A10" i="59" s="1"/>
  <c r="E4" i="59"/>
  <c r="A10" i="56"/>
  <c r="A11" i="56" s="1"/>
  <c r="A12" i="56"/>
  <c r="A13" i="56"/>
  <c r="E8" i="59"/>
  <c r="C12" i="59"/>
  <c r="A14" i="56" l="1"/>
  <c r="A16" i="56"/>
  <c r="A17" i="56"/>
  <c r="A15" i="56"/>
  <c r="A19" i="56" l="1"/>
  <c r="A18" i="56"/>
  <c r="A21" i="56" l="1"/>
  <c r="A22" i="56" s="1"/>
  <c r="A20" i="56"/>
  <c r="A23" i="56" l="1"/>
  <c r="A24" i="56" l="1"/>
  <c r="A25" i="56" l="1"/>
  <c r="A26" i="56" l="1"/>
  <c r="A27" i="56" l="1"/>
  <c r="I44" i="27"/>
  <c r="K44" i="27" s="1"/>
  <c r="A28" i="56" l="1"/>
  <c r="A29" i="56" s="1"/>
  <c r="A30" i="56" s="1"/>
  <c r="A31" i="56" s="1"/>
  <c r="A32" i="56" s="1"/>
  <c r="A33" i="56" s="1"/>
  <c r="A34" i="56" s="1"/>
  <c r="A35" i="56" s="1"/>
  <c r="A36" i="56" s="1"/>
  <c r="A37" i="56" s="1"/>
  <c r="A38" i="56" s="1"/>
  <c r="A39" i="56" s="1"/>
  <c r="A40" i="56" s="1"/>
  <c r="A41" i="56" s="1"/>
  <c r="A42" i="56" s="1"/>
  <c r="A43" i="56" s="1"/>
  <c r="A44" i="56" s="1"/>
  <c r="A45" i="56" s="1"/>
  <c r="A46" i="56" s="1"/>
  <c r="A47" i="56" s="1"/>
  <c r="A48" i="56" s="1"/>
  <c r="A49" i="56" s="1"/>
  <c r="A50" i="56" s="1"/>
  <c r="A51" i="56" s="1"/>
  <c r="A52" i="56" s="1"/>
  <c r="A53" i="56" s="1"/>
  <c r="A54" i="56" s="1"/>
  <c r="A55" i="56" s="1"/>
  <c r="A56" i="56" s="1"/>
  <c r="A57" i="56" s="1"/>
  <c r="A58" i="56" s="1"/>
  <c r="A59" i="56" s="1"/>
  <c r="A60" i="56" s="1"/>
  <c r="A61" i="56" s="1"/>
  <c r="A62" i="56" s="1"/>
  <c r="A63" i="56" s="1"/>
  <c r="A64" i="56" s="1"/>
  <c r="A65" i="56" s="1"/>
  <c r="A66" i="56" s="1"/>
  <c r="A67" i="56" s="1"/>
  <c r="A68" i="56" s="1"/>
  <c r="A69" i="56" s="1"/>
  <c r="A70" i="56" s="1"/>
  <c r="A71" i="56" s="1"/>
  <c r="A72" i="56" s="1"/>
  <c r="A73" i="56" s="1"/>
  <c r="A74" i="56" s="1"/>
  <c r="A75" i="56" s="1"/>
  <c r="A76" i="56" s="1"/>
  <c r="A77" i="56" s="1"/>
  <c r="A78" i="56" s="1"/>
  <c r="A79" i="56" s="1"/>
  <c r="A80" i="56" s="1"/>
  <c r="A81" i="56" s="1"/>
  <c r="A82" i="56" s="1"/>
  <c r="A83" i="56" s="1"/>
  <c r="A84" i="56" s="1"/>
  <c r="A85" i="56" s="1"/>
  <c r="A86" i="56" s="1"/>
  <c r="A87" i="56" s="1"/>
  <c r="A88" i="56" s="1"/>
  <c r="A89" i="56" s="1"/>
  <c r="A90" i="56" s="1"/>
  <c r="A91" i="56" s="1"/>
  <c r="A92" i="56" s="1"/>
  <c r="A93" i="56" s="1"/>
  <c r="A94" i="56" s="1"/>
  <c r="A95" i="56" s="1"/>
  <c r="A96" i="56" s="1"/>
  <c r="A97" i="56" s="1"/>
  <c r="A98" i="56" s="1"/>
  <c r="A99" i="56" s="1"/>
  <c r="A100" i="56" s="1"/>
  <c r="A101" i="56" s="1"/>
  <c r="A102" i="56" s="1"/>
  <c r="A103" i="56" s="1"/>
  <c r="A104" i="56" s="1"/>
  <c r="A105" i="56" s="1"/>
  <c r="G40" i="58" s="1"/>
  <c r="G45" i="58" l="1"/>
  <c r="G65" i="58"/>
  <c r="G60" i="58"/>
  <c r="G58" i="58"/>
  <c r="G72" i="58"/>
  <c r="G44" i="58"/>
  <c r="G50" i="58"/>
  <c r="G48" i="58"/>
  <c r="G73" i="58"/>
  <c r="G71" i="58"/>
  <c r="G63" i="58"/>
  <c r="G43" i="58"/>
  <c r="G49" i="58"/>
  <c r="G74" i="58"/>
  <c r="G66" i="58"/>
  <c r="G64" i="58"/>
  <c r="G54" i="58"/>
  <c r="G52" i="58"/>
  <c r="G61" i="58"/>
  <c r="G59" i="58"/>
  <c r="G46" i="58"/>
  <c r="G53" i="58"/>
  <c r="G51" i="58"/>
  <c r="G41" i="58"/>
  <c r="G70" i="58"/>
  <c r="G68" i="58"/>
  <c r="G42" i="58"/>
  <c r="G56" i="58"/>
  <c r="G47" i="58"/>
  <c r="G69" i="58"/>
  <c r="G67" i="58"/>
  <c r="G57" i="58"/>
  <c r="G55" i="58"/>
  <c r="G62" i="58"/>
  <c r="E40" i="58"/>
  <c r="F40" i="58"/>
  <c r="K40" i="58"/>
  <c r="I40" i="58"/>
  <c r="D40" i="58"/>
  <c r="K49" i="58"/>
  <c r="K69" i="58"/>
  <c r="K50" i="58"/>
  <c r="K46" i="58"/>
  <c r="K47" i="58"/>
  <c r="K51" i="58"/>
  <c r="K65" i="58"/>
  <c r="K63" i="58"/>
  <c r="K45" i="58"/>
  <c r="K61" i="58"/>
  <c r="K53" i="58"/>
  <c r="K44" i="58"/>
  <c r="K43" i="58"/>
  <c r="K57" i="58"/>
  <c r="K64" i="58"/>
  <c r="K41" i="58"/>
  <c r="K55" i="58"/>
  <c r="K67" i="58"/>
  <c r="K71" i="58"/>
  <c r="K42" i="58"/>
  <c r="K73" i="58"/>
  <c r="K59" i="58"/>
  <c r="K62" i="58"/>
  <c r="K60" i="58"/>
  <c r="K54" i="58"/>
  <c r="K56" i="58"/>
  <c r="K68" i="58"/>
  <c r="K48" i="58"/>
  <c r="K52" i="58"/>
  <c r="K70" i="58"/>
  <c r="K58" i="58"/>
  <c r="K74" i="58"/>
  <c r="K72" i="58"/>
  <c r="K66" i="58"/>
  <c r="E41" i="58"/>
  <c r="I51" i="58"/>
  <c r="I59" i="58"/>
  <c r="E48" i="58"/>
  <c r="B48" i="58" s="1"/>
  <c r="F60" i="58"/>
  <c r="E54" i="58"/>
  <c r="B54" i="58" s="1"/>
  <c r="E67" i="58"/>
  <c r="B67" i="58" s="1"/>
  <c r="I58" i="58"/>
  <c r="I53" i="58"/>
  <c r="F67" i="58"/>
  <c r="F50" i="58"/>
  <c r="E42" i="58"/>
  <c r="F69" i="58"/>
  <c r="I46" i="58"/>
  <c r="I48" i="58"/>
  <c r="D66" i="58"/>
  <c r="E55" i="58"/>
  <c r="B55" i="58" s="1"/>
  <c r="D50" i="58"/>
  <c r="D62" i="58"/>
  <c r="I60" i="58"/>
  <c r="D44" i="58"/>
  <c r="F44" i="58"/>
  <c r="I67" i="58"/>
  <c r="F48" i="58"/>
  <c r="E45" i="58"/>
  <c r="B45" i="58" s="1"/>
  <c r="D47" i="58"/>
  <c r="I72" i="58"/>
  <c r="E58" i="58"/>
  <c r="B58" i="58" s="1"/>
  <c r="I61" i="58"/>
  <c r="D74" i="58"/>
  <c r="F53" i="58"/>
  <c r="F41" i="58"/>
  <c r="D49" i="58"/>
  <c r="D59" i="58"/>
  <c r="E72" i="58"/>
  <c r="B72" i="58" s="1"/>
  <c r="F62" i="58"/>
  <c r="E60" i="58"/>
  <c r="B60" i="58" s="1"/>
  <c r="I56" i="58"/>
  <c r="I54" i="58"/>
  <c r="I62" i="58"/>
  <c r="I52" i="58"/>
  <c r="F74" i="58"/>
  <c r="D54" i="58"/>
  <c r="I74" i="58"/>
  <c r="D42" i="58"/>
  <c r="I63" i="58"/>
  <c r="E73" i="58"/>
  <c r="B73" i="58" s="1"/>
  <c r="I66" i="58"/>
  <c r="F61" i="58"/>
  <c r="F73" i="58"/>
  <c r="E68" i="58"/>
  <c r="B68" i="58" s="1"/>
  <c r="E52" i="58"/>
  <c r="B52" i="58" s="1"/>
  <c r="I57" i="58"/>
  <c r="F58" i="58"/>
  <c r="F66" i="58"/>
  <c r="I45" i="58"/>
  <c r="F52" i="58"/>
  <c r="D45" i="58"/>
  <c r="E59" i="58"/>
  <c r="B59" i="58" s="1"/>
  <c r="D73" i="58"/>
  <c r="E74" i="58"/>
  <c r="B74" i="58" s="1"/>
  <c r="F65" i="58"/>
  <c r="F46" i="58"/>
  <c r="I73" i="58"/>
  <c r="E46" i="58"/>
  <c r="B46" i="58" s="1"/>
  <c r="E69" i="58"/>
  <c r="B69" i="58" s="1"/>
  <c r="I50" i="58"/>
  <c r="E65" i="58"/>
  <c r="B65" i="58" s="1"/>
  <c r="D70" i="58"/>
  <c r="E63" i="58"/>
  <c r="B63" i="58" s="1"/>
  <c r="F68" i="58"/>
  <c r="F51" i="58"/>
  <c r="D53" i="58"/>
  <c r="E70" i="58"/>
  <c r="B70" i="58" s="1"/>
  <c r="D67" i="58"/>
  <c r="I70" i="58"/>
  <c r="D71" i="58"/>
  <c r="F63" i="58"/>
  <c r="D60" i="58"/>
  <c r="D56" i="58"/>
  <c r="E50" i="58"/>
  <c r="B50" i="58" s="1"/>
  <c r="D61" i="58"/>
  <c r="I71" i="58"/>
  <c r="E61" i="58"/>
  <c r="B61" i="58" s="1"/>
  <c r="D41" i="58"/>
  <c r="D63" i="58"/>
  <c r="D69" i="58"/>
  <c r="F56" i="58"/>
  <c r="D48" i="58"/>
  <c r="F42" i="58"/>
  <c r="F71" i="58"/>
  <c r="F57" i="58"/>
  <c r="I68" i="58"/>
  <c r="E62" i="58"/>
  <c r="B62" i="58" s="1"/>
  <c r="I47" i="58"/>
  <c r="F72" i="58"/>
  <c r="D65" i="58"/>
  <c r="F59" i="58"/>
  <c r="E51" i="58"/>
  <c r="B51" i="58" s="1"/>
  <c r="F55" i="58"/>
  <c r="E64" i="58"/>
  <c r="B64" i="58" s="1"/>
  <c r="E53" i="58"/>
  <c r="B53" i="58" s="1"/>
  <c r="E47" i="58"/>
  <c r="B47" i="58" s="1"/>
  <c r="I69" i="58"/>
  <c r="D52" i="58"/>
  <c r="E44" i="58"/>
  <c r="B44" i="58" s="1"/>
  <c r="E56" i="58"/>
  <c r="B56" i="58" s="1"/>
  <c r="I41" i="58"/>
  <c r="D57" i="58"/>
  <c r="I42" i="58"/>
  <c r="I49" i="58"/>
  <c r="I64" i="58"/>
  <c r="D58" i="58"/>
  <c r="D64" i="58"/>
  <c r="D46" i="58"/>
  <c r="E43" i="58"/>
  <c r="B43" i="58" s="1"/>
  <c r="E71" i="58"/>
  <c r="B71" i="58" s="1"/>
  <c r="E49" i="58"/>
  <c r="B49" i="58" s="1"/>
  <c r="F45" i="58"/>
  <c r="E66" i="58"/>
  <c r="B66" i="58" s="1"/>
  <c r="I44" i="58"/>
  <c r="D43" i="58"/>
  <c r="D68" i="58"/>
  <c r="I65" i="58"/>
  <c r="D72" i="58"/>
  <c r="F70" i="58"/>
  <c r="E57" i="58"/>
  <c r="B57" i="58" s="1"/>
  <c r="I55" i="58"/>
  <c r="D55" i="58"/>
  <c r="F54" i="58"/>
  <c r="F43" i="58"/>
  <c r="F47" i="58"/>
  <c r="D51" i="58"/>
  <c r="F49" i="58"/>
  <c r="F64" i="58"/>
  <c r="I43" i="58"/>
  <c r="F9" i="46"/>
  <c r="F8" i="46"/>
  <c r="F13" i="46"/>
  <c r="F12" i="46"/>
  <c r="F11" i="46" l="1"/>
  <c r="I98" i="39"/>
  <c r="I99" i="39"/>
  <c r="I97" i="39"/>
  <c r="I95" i="39"/>
  <c r="I92" i="39"/>
  <c r="I91" i="39"/>
  <c r="I90" i="39"/>
  <c r="I89" i="39"/>
  <c r="I87" i="39"/>
  <c r="I86" i="39"/>
  <c r="I85" i="39"/>
  <c r="I84" i="39"/>
  <c r="I82" i="39"/>
  <c r="I78" i="39"/>
  <c r="I75" i="39"/>
  <c r="I74" i="39"/>
  <c r="I71" i="39"/>
  <c r="I70" i="39"/>
  <c r="I69" i="39"/>
  <c r="I67" i="39"/>
  <c r="I66" i="39"/>
  <c r="I65" i="39"/>
  <c r="I64" i="39"/>
  <c r="I60" i="39"/>
  <c r="I61" i="39"/>
  <c r="I62" i="39"/>
  <c r="I59" i="39"/>
  <c r="I48" i="39"/>
  <c r="I47" i="39"/>
  <c r="I46" i="39"/>
  <c r="I45" i="39"/>
  <c r="I44" i="39"/>
  <c r="I42" i="39"/>
  <c r="I41" i="39"/>
  <c r="I37" i="39"/>
  <c r="I36" i="39"/>
  <c r="I33" i="39"/>
  <c r="I34" i="39"/>
  <c r="I32" i="39"/>
  <c r="I28" i="39"/>
  <c r="I27" i="39"/>
  <c r="I26" i="39"/>
  <c r="I25" i="39"/>
  <c r="I22" i="39"/>
  <c r="I21" i="39"/>
  <c r="I20" i="39"/>
  <c r="I18" i="39"/>
  <c r="I17" i="39"/>
  <c r="I16" i="39"/>
  <c r="I11" i="39"/>
  <c r="I13" i="39"/>
  <c r="I14" i="39"/>
  <c r="I10" i="39"/>
  <c r="I110" i="39"/>
  <c r="I109" i="39"/>
  <c r="I108" i="39"/>
  <c r="I107" i="39"/>
  <c r="I104" i="39"/>
  <c r="I105" i="39"/>
  <c r="I103" i="39"/>
  <c r="F7" i="46"/>
  <c r="I58" i="39" l="1"/>
  <c r="F39" i="29" l="1"/>
  <c r="G39" i="29"/>
  <c r="H39" i="29"/>
  <c r="E39" i="29"/>
  <c r="F34" i="29"/>
  <c r="G34" i="29"/>
  <c r="H34" i="29"/>
  <c r="E34" i="29"/>
  <c r="G24" i="29"/>
  <c r="H24" i="29"/>
  <c r="F14" i="29"/>
  <c r="G14" i="29"/>
  <c r="H14" i="29"/>
  <c r="E14" i="29"/>
  <c r="H19" i="29"/>
  <c r="E19" i="29"/>
  <c r="AN9" i="27" l="1"/>
  <c r="F25" i="45"/>
  <c r="F27" i="45" s="1"/>
  <c r="E7" i="60" l="1"/>
  <c r="G7" i="60" s="1"/>
  <c r="E9" i="60"/>
  <c r="G9" i="60" s="1"/>
  <c r="B9" i="27"/>
  <c r="B47" i="27" s="1"/>
  <c r="B76" i="27" s="1"/>
  <c r="E8" i="60"/>
  <c r="G6" i="60"/>
  <c r="F41" i="45"/>
  <c r="F31" i="45"/>
  <c r="F36" i="45"/>
  <c r="F46" i="45"/>
  <c r="F42" i="45"/>
  <c r="F34" i="45"/>
  <c r="F39" i="45"/>
  <c r="F49" i="45"/>
  <c r="F43" i="45"/>
  <c r="F33" i="45"/>
  <c r="F38" i="45"/>
  <c r="F48" i="45"/>
  <c r="F44" i="45"/>
  <c r="F32" i="45"/>
  <c r="F37" i="45"/>
  <c r="F47" i="45"/>
  <c r="F26" i="45"/>
  <c r="F29" i="45"/>
  <c r="F28" i="45"/>
  <c r="E13" i="60" l="1"/>
  <c r="G8" i="60"/>
  <c r="G13" i="60" s="1"/>
  <c r="A74" i="54" l="1"/>
  <c r="A73" i="54"/>
  <c r="A72" i="54"/>
  <c r="A71" i="54"/>
  <c r="A70" i="54"/>
  <c r="A69" i="54"/>
  <c r="A68" i="54"/>
  <c r="A58" i="54"/>
  <c r="A59" i="54"/>
  <c r="A60" i="54"/>
  <c r="A61" i="54"/>
  <c r="A62" i="54"/>
  <c r="A63" i="54"/>
  <c r="A64" i="54"/>
  <c r="A65" i="54"/>
  <c r="A66" i="54"/>
  <c r="A57" i="54"/>
  <c r="A44" i="54"/>
  <c r="A45" i="54"/>
  <c r="A46" i="54"/>
  <c r="A47" i="54"/>
  <c r="A48" i="54"/>
  <c r="A49" i="54"/>
  <c r="A50" i="54"/>
  <c r="A51" i="54"/>
  <c r="A52" i="54"/>
  <c r="A53" i="54"/>
  <c r="A43" i="54"/>
  <c r="A29" i="54"/>
  <c r="A30" i="54"/>
  <c r="A31" i="54"/>
  <c r="A32" i="54"/>
  <c r="A33" i="54"/>
  <c r="A34" i="54"/>
  <c r="A35" i="54"/>
  <c r="A36" i="54"/>
  <c r="A37" i="54"/>
  <c r="A38" i="54"/>
  <c r="A39" i="54"/>
  <c r="A28" i="54"/>
  <c r="A14" i="54"/>
  <c r="A15" i="54"/>
  <c r="A16" i="54"/>
  <c r="A17" i="54"/>
  <c r="A18" i="54"/>
  <c r="A19" i="54"/>
  <c r="A20" i="54"/>
  <c r="A21" i="54"/>
  <c r="A22" i="54"/>
  <c r="A23" i="54"/>
  <c r="A24" i="54"/>
  <c r="A25" i="54"/>
  <c r="A26" i="54"/>
  <c r="A12" i="54"/>
  <c r="M18" i="50"/>
  <c r="L18" i="50"/>
  <c r="K18" i="50"/>
  <c r="B42" i="58" l="1"/>
  <c r="I13" i="27"/>
  <c r="K13" i="27" s="1"/>
  <c r="I14" i="27"/>
  <c r="K14" i="27" s="1"/>
  <c r="I15" i="27"/>
  <c r="K15" i="27" s="1"/>
  <c r="I16" i="27"/>
  <c r="K16" i="27" s="1"/>
  <c r="I17" i="27"/>
  <c r="K17" i="27" s="1"/>
  <c r="I18" i="27"/>
  <c r="K18" i="27" s="1"/>
  <c r="I19" i="27"/>
  <c r="K19" i="27" s="1"/>
  <c r="I20" i="27"/>
  <c r="K20" i="27" s="1"/>
  <c r="I21" i="27"/>
  <c r="K21" i="27" s="1"/>
  <c r="I22" i="27"/>
  <c r="K22" i="27" s="1"/>
  <c r="I23" i="27"/>
  <c r="K23" i="27" s="1"/>
  <c r="I24" i="27"/>
  <c r="K24" i="27" s="1"/>
  <c r="I25" i="27"/>
  <c r="K25" i="27" s="1"/>
  <c r="I26" i="27"/>
  <c r="K26" i="27" s="1"/>
  <c r="I27" i="27"/>
  <c r="K27" i="27" s="1"/>
  <c r="I28" i="27"/>
  <c r="K28" i="27" s="1"/>
  <c r="I29" i="27"/>
  <c r="K29" i="27" s="1"/>
  <c r="I30" i="27"/>
  <c r="K30" i="27" s="1"/>
  <c r="I31" i="27"/>
  <c r="K31" i="27" s="1"/>
  <c r="I32" i="27"/>
  <c r="K32" i="27" s="1"/>
  <c r="I33" i="27"/>
  <c r="K33" i="27" s="1"/>
  <c r="I34" i="27"/>
  <c r="K34" i="27" s="1"/>
  <c r="I35" i="27"/>
  <c r="K35" i="27" s="1"/>
  <c r="I36" i="27"/>
  <c r="K36" i="27" s="1"/>
  <c r="I37" i="27"/>
  <c r="K37" i="27" s="1"/>
  <c r="I38" i="27"/>
  <c r="K38" i="27" s="1"/>
  <c r="I39" i="27"/>
  <c r="K39" i="27" s="1"/>
  <c r="I40" i="27"/>
  <c r="K40" i="27" s="1"/>
  <c r="I41" i="27"/>
  <c r="K41" i="27" s="1"/>
  <c r="I42" i="27"/>
  <c r="K42" i="27" s="1"/>
  <c r="I43" i="27"/>
  <c r="K43" i="27" s="1"/>
  <c r="I45" i="27"/>
  <c r="K45" i="27" s="1"/>
  <c r="I46" i="27"/>
  <c r="K46" i="27" s="1"/>
  <c r="I47" i="27"/>
  <c r="K47" i="27" s="1"/>
  <c r="I11" i="27"/>
  <c r="K11" i="27" s="1"/>
  <c r="I12" i="27"/>
  <c r="K12" i="27" s="1"/>
  <c r="G6" i="27"/>
  <c r="Q4" i="43"/>
  <c r="D4" i="34"/>
  <c r="B4" i="34"/>
  <c r="I116" i="39"/>
  <c r="H116" i="39" s="1"/>
  <c r="G116" i="39" s="1"/>
  <c r="I115" i="39"/>
  <c r="I113" i="39"/>
  <c r="I112" i="39" s="1"/>
  <c r="H78" i="39"/>
  <c r="G78" i="39" s="1"/>
  <c r="H74" i="39"/>
  <c r="G74" i="39" s="1"/>
  <c r="H104" i="39"/>
  <c r="G104" i="39" s="1"/>
  <c r="H103" i="39"/>
  <c r="G103" i="39" s="1"/>
  <c r="H71" i="39"/>
  <c r="G71" i="39" s="1"/>
  <c r="H70" i="39"/>
  <c r="G70" i="39" s="1"/>
  <c r="H69" i="39"/>
  <c r="G69" i="39" s="1"/>
  <c r="H67" i="39"/>
  <c r="G67" i="39" s="1"/>
  <c r="H66" i="39"/>
  <c r="G66" i="39" s="1"/>
  <c r="H64" i="39"/>
  <c r="H60" i="39"/>
  <c r="G60" i="39" s="1"/>
  <c r="H61" i="39"/>
  <c r="G61" i="39" s="1"/>
  <c r="H59" i="39"/>
  <c r="G59" i="39" s="1"/>
  <c r="H48" i="39"/>
  <c r="G48" i="39" s="1"/>
  <c r="H47" i="39"/>
  <c r="G47" i="39" s="1"/>
  <c r="H46" i="39"/>
  <c r="G46" i="39" s="1"/>
  <c r="H45" i="39"/>
  <c r="G45" i="39" s="1"/>
  <c r="I43" i="39"/>
  <c r="H43" i="39" s="1"/>
  <c r="G43" i="39" s="1"/>
  <c r="H42" i="39"/>
  <c r="G42" i="39" s="1"/>
  <c r="H41" i="39"/>
  <c r="G41" i="39" s="1"/>
  <c r="G40" i="39"/>
  <c r="H37" i="39"/>
  <c r="G37" i="39" s="1"/>
  <c r="H36" i="39"/>
  <c r="G36" i="39" s="1"/>
  <c r="H33" i="39"/>
  <c r="G33" i="39" s="1"/>
  <c r="H34" i="39"/>
  <c r="G34" i="39" s="1"/>
  <c r="H32" i="39"/>
  <c r="G32" i="39" s="1"/>
  <c r="H108" i="39"/>
  <c r="G108" i="39" s="1"/>
  <c r="H109" i="39"/>
  <c r="G109" i="39" s="1"/>
  <c r="H110" i="39"/>
  <c r="G110" i="39" s="1"/>
  <c r="H99" i="39"/>
  <c r="H97" i="39"/>
  <c r="H92" i="39"/>
  <c r="G92" i="39" s="1"/>
  <c r="H90" i="39"/>
  <c r="G90" i="39" s="1"/>
  <c r="H87" i="39"/>
  <c r="G87" i="39" s="1"/>
  <c r="H86" i="39"/>
  <c r="G86" i="39" s="1"/>
  <c r="H85" i="39"/>
  <c r="G85" i="39" s="1"/>
  <c r="H84" i="39"/>
  <c r="G84" i="39" s="1"/>
  <c r="H82" i="39"/>
  <c r="G82" i="39" s="1"/>
  <c r="H26" i="39"/>
  <c r="G26" i="39" s="1"/>
  <c r="H27" i="39"/>
  <c r="G27" i="39" s="1"/>
  <c r="H28" i="39"/>
  <c r="G28" i="39" s="1"/>
  <c r="H25" i="39"/>
  <c r="G25" i="39" s="1"/>
  <c r="H21" i="39"/>
  <c r="G21" i="39" s="1"/>
  <c r="H22" i="39"/>
  <c r="G22" i="39" s="1"/>
  <c r="H17" i="39"/>
  <c r="G17" i="39" s="1"/>
  <c r="H18" i="39"/>
  <c r="G18" i="39" s="1"/>
  <c r="H16" i="39"/>
  <c r="G16" i="39" s="1"/>
  <c r="H13" i="39"/>
  <c r="G13" i="39" s="1"/>
  <c r="H14" i="39"/>
  <c r="G14" i="39" s="1"/>
  <c r="H10" i="39"/>
  <c r="G10" i="39" s="1"/>
  <c r="G5" i="45"/>
  <c r="H5" i="45"/>
  <c r="G6" i="45"/>
  <c r="H6" i="45"/>
  <c r="G7" i="45"/>
  <c r="H7" i="45"/>
  <c r="G8" i="45"/>
  <c r="H8" i="45"/>
  <c r="G9" i="45"/>
  <c r="H9" i="45"/>
  <c r="G10" i="45"/>
  <c r="H10" i="45"/>
  <c r="H4" i="45"/>
  <c r="G4" i="45"/>
  <c r="H35" i="29"/>
  <c r="H49" i="45" s="1"/>
  <c r="G35" i="29"/>
  <c r="H48" i="45" s="1"/>
  <c r="F35" i="29"/>
  <c r="H47" i="45" s="1"/>
  <c r="D38" i="29"/>
  <c r="D37" i="29"/>
  <c r="D36" i="29"/>
  <c r="E35" i="29"/>
  <c r="H46" i="45" s="1"/>
  <c r="H20" i="29"/>
  <c r="E24" i="29"/>
  <c r="E20" i="29" s="1"/>
  <c r="D23" i="29"/>
  <c r="D22" i="29"/>
  <c r="D21" i="29"/>
  <c r="G20" i="29"/>
  <c r="H10" i="29"/>
  <c r="H34" i="45" s="1"/>
  <c r="D13" i="29"/>
  <c r="D12" i="29"/>
  <c r="D11" i="29"/>
  <c r="G10" i="29"/>
  <c r="H33" i="45" s="1"/>
  <c r="F10" i="29"/>
  <c r="H32" i="45" s="1"/>
  <c r="E10" i="29"/>
  <c r="G30" i="29"/>
  <c r="D33" i="29"/>
  <c r="D32" i="29"/>
  <c r="D31" i="29"/>
  <c r="H30" i="29"/>
  <c r="F30" i="29"/>
  <c r="H42" i="45" s="1"/>
  <c r="E30" i="29"/>
  <c r="K30" i="29" s="1"/>
  <c r="L30" i="29" s="1"/>
  <c r="D28" i="29"/>
  <c r="D27" i="29"/>
  <c r="D26" i="29"/>
  <c r="H25" i="29"/>
  <c r="G25" i="29"/>
  <c r="F25" i="29"/>
  <c r="E25" i="29"/>
  <c r="D18" i="29"/>
  <c r="D16" i="29"/>
  <c r="H15" i="29"/>
  <c r="G15" i="29"/>
  <c r="F15" i="29"/>
  <c r="E15" i="29"/>
  <c r="H5" i="29"/>
  <c r="G5" i="29"/>
  <c r="F5" i="29"/>
  <c r="H27" i="45" s="1"/>
  <c r="E5" i="29"/>
  <c r="J9" i="39"/>
  <c r="K9" i="39"/>
  <c r="J15" i="39"/>
  <c r="K15" i="39"/>
  <c r="J19" i="39"/>
  <c r="K19" i="39"/>
  <c r="J24" i="39"/>
  <c r="K24" i="39"/>
  <c r="J83" i="39"/>
  <c r="K83" i="39"/>
  <c r="J88" i="39"/>
  <c r="K88" i="39"/>
  <c r="H89" i="39"/>
  <c r="G89" i="39" s="1"/>
  <c r="J94" i="39"/>
  <c r="K94" i="39"/>
  <c r="J102" i="39"/>
  <c r="K102" i="39"/>
  <c r="J106" i="39"/>
  <c r="K106" i="39"/>
  <c r="J31" i="39"/>
  <c r="K31" i="39"/>
  <c r="J38" i="39"/>
  <c r="K38" i="39"/>
  <c r="J44" i="39"/>
  <c r="K44" i="39"/>
  <c r="J58" i="39"/>
  <c r="J55" i="39" s="1"/>
  <c r="K58" i="39"/>
  <c r="K55" i="39" s="1"/>
  <c r="J63" i="39"/>
  <c r="K63" i="39"/>
  <c r="J68" i="39"/>
  <c r="K68" i="39"/>
  <c r="J73" i="39"/>
  <c r="K73" i="39"/>
  <c r="H76" i="39"/>
  <c r="G76" i="39" s="1"/>
  <c r="H6" i="27"/>
  <c r="I9" i="27"/>
  <c r="K9" i="27" s="1"/>
  <c r="I10" i="27"/>
  <c r="K10" i="27" s="1"/>
  <c r="B8" i="28"/>
  <c r="B9" i="28"/>
  <c r="F3" i="49"/>
  <c r="AN4" i="28"/>
  <c r="H35" i="45" l="1"/>
  <c r="H21" i="27"/>
  <c r="H23" i="27"/>
  <c r="H81" i="27"/>
  <c r="H131" i="27"/>
  <c r="H133" i="27"/>
  <c r="H135" i="27"/>
  <c r="H137" i="27"/>
  <c r="H139" i="27"/>
  <c r="H141" i="27"/>
  <c r="H143" i="27"/>
  <c r="H145" i="27"/>
  <c r="H147" i="27"/>
  <c r="H149" i="27"/>
  <c r="H151" i="27"/>
  <c r="H153" i="27"/>
  <c r="H155" i="27"/>
  <c r="H157" i="27"/>
  <c r="H159" i="27"/>
  <c r="H161" i="27"/>
  <c r="H163" i="27"/>
  <c r="H165" i="27"/>
  <c r="H167" i="27"/>
  <c r="H169" i="27"/>
  <c r="H171" i="27"/>
  <c r="H173" i="27"/>
  <c r="H175" i="27"/>
  <c r="H177" i="27"/>
  <c r="H179" i="27"/>
  <c r="H181" i="27"/>
  <c r="H183" i="27"/>
  <c r="H185" i="27"/>
  <c r="H187" i="27"/>
  <c r="H189" i="27"/>
  <c r="H191" i="27"/>
  <c r="H193" i="27"/>
  <c r="H195" i="27"/>
  <c r="H197" i="27"/>
  <c r="H199" i="27"/>
  <c r="H201" i="27"/>
  <c r="H20" i="27"/>
  <c r="H22" i="27"/>
  <c r="H80" i="27"/>
  <c r="H85" i="27"/>
  <c r="H130" i="27"/>
  <c r="H132" i="27"/>
  <c r="H134" i="27"/>
  <c r="H136" i="27"/>
  <c r="H138" i="27"/>
  <c r="H140" i="27"/>
  <c r="H142" i="27"/>
  <c r="H144" i="27"/>
  <c r="H146" i="27"/>
  <c r="H148" i="27"/>
  <c r="H150" i="27"/>
  <c r="H152" i="27"/>
  <c r="H154" i="27"/>
  <c r="H156" i="27"/>
  <c r="H158" i="27"/>
  <c r="H160" i="27"/>
  <c r="H162" i="27"/>
  <c r="H164" i="27"/>
  <c r="H166" i="27"/>
  <c r="H168" i="27"/>
  <c r="H170" i="27"/>
  <c r="H172" i="27"/>
  <c r="H174" i="27"/>
  <c r="H176" i="27"/>
  <c r="H178" i="27"/>
  <c r="H180" i="27"/>
  <c r="H182" i="27"/>
  <c r="H184" i="27"/>
  <c r="H186" i="27"/>
  <c r="H188" i="27"/>
  <c r="H190" i="27"/>
  <c r="H192" i="27"/>
  <c r="H194" i="27"/>
  <c r="H196" i="27"/>
  <c r="H198" i="27"/>
  <c r="H200" i="27"/>
  <c r="G21" i="27"/>
  <c r="G23" i="27"/>
  <c r="G44" i="27"/>
  <c r="G47" i="27"/>
  <c r="G67" i="27"/>
  <c r="G69" i="27"/>
  <c r="G71" i="27"/>
  <c r="G75" i="27"/>
  <c r="G76" i="27"/>
  <c r="G78" i="27"/>
  <c r="G80" i="27"/>
  <c r="G82" i="27"/>
  <c r="G86" i="27"/>
  <c r="G130" i="27"/>
  <c r="G132" i="27"/>
  <c r="G134" i="27"/>
  <c r="G136" i="27"/>
  <c r="G138" i="27"/>
  <c r="G140" i="27"/>
  <c r="G142" i="27"/>
  <c r="G144" i="27"/>
  <c r="G146" i="27"/>
  <c r="G148" i="27"/>
  <c r="G150" i="27"/>
  <c r="G152" i="27"/>
  <c r="G154" i="27"/>
  <c r="G156" i="27"/>
  <c r="G158" i="27"/>
  <c r="G160" i="27"/>
  <c r="G162" i="27"/>
  <c r="G164" i="27"/>
  <c r="G166" i="27"/>
  <c r="G168" i="27"/>
  <c r="G170" i="27"/>
  <c r="G172" i="27"/>
  <c r="G174" i="27"/>
  <c r="G176" i="27"/>
  <c r="G178" i="27"/>
  <c r="G20" i="27"/>
  <c r="G45" i="27"/>
  <c r="G68" i="27"/>
  <c r="G79" i="27"/>
  <c r="G83" i="27"/>
  <c r="G131" i="27"/>
  <c r="G135" i="27"/>
  <c r="G139" i="27"/>
  <c r="G143" i="27"/>
  <c r="G147" i="27"/>
  <c r="G151" i="27"/>
  <c r="G155" i="27"/>
  <c r="G159" i="27"/>
  <c r="G163" i="27"/>
  <c r="G167" i="27"/>
  <c r="G171" i="27"/>
  <c r="G175" i="27"/>
  <c r="G179" i="27"/>
  <c r="G181" i="27"/>
  <c r="G183" i="27"/>
  <c r="G185" i="27"/>
  <c r="G187" i="27"/>
  <c r="G189" i="27"/>
  <c r="G191" i="27"/>
  <c r="G193" i="27"/>
  <c r="G195" i="27"/>
  <c r="G197" i="27"/>
  <c r="G199" i="27"/>
  <c r="G201" i="27"/>
  <c r="G22" i="27"/>
  <c r="G58" i="27"/>
  <c r="G66" i="27"/>
  <c r="G70" i="27"/>
  <c r="G77" i="27"/>
  <c r="G81" i="27"/>
  <c r="G85" i="27"/>
  <c r="G133" i="27"/>
  <c r="G137" i="27"/>
  <c r="G141" i="27"/>
  <c r="G145" i="27"/>
  <c r="G149" i="27"/>
  <c r="G153" i="27"/>
  <c r="G157" i="27"/>
  <c r="G161" i="27"/>
  <c r="G165" i="27"/>
  <c r="G169" i="27"/>
  <c r="G173" i="27"/>
  <c r="G177" i="27"/>
  <c r="G180" i="27"/>
  <c r="G182" i="27"/>
  <c r="G184" i="27"/>
  <c r="G186" i="27"/>
  <c r="G188" i="27"/>
  <c r="G190" i="27"/>
  <c r="G192" i="27"/>
  <c r="G194" i="27"/>
  <c r="G196" i="27"/>
  <c r="G198" i="27"/>
  <c r="G200" i="27"/>
  <c r="H55" i="39"/>
  <c r="G55" i="39" s="1"/>
  <c r="H26" i="45"/>
  <c r="I26" i="45" s="1"/>
  <c r="H36" i="45"/>
  <c r="I36" i="45" s="1"/>
  <c r="H31" i="45"/>
  <c r="I31" i="45" s="1"/>
  <c r="N5" i="43"/>
  <c r="N4" i="43"/>
  <c r="D26" i="43"/>
  <c r="C28" i="43" s="1"/>
  <c r="N3" i="43"/>
  <c r="L43" i="43"/>
  <c r="B43" i="43"/>
  <c r="E43" i="43"/>
  <c r="P19" i="43"/>
  <c r="K20" i="61" s="1"/>
  <c r="P16" i="43"/>
  <c r="K17" i="61" s="1"/>
  <c r="P20" i="43"/>
  <c r="K21" i="61" s="1"/>
  <c r="P17" i="43"/>
  <c r="K18" i="61" s="1"/>
  <c r="P21" i="43"/>
  <c r="K22" i="61" s="1"/>
  <c r="P18" i="43"/>
  <c r="K19" i="61" s="1"/>
  <c r="H44" i="45"/>
  <c r="B15" i="43"/>
  <c r="H9" i="27"/>
  <c r="H10" i="27" s="1"/>
  <c r="G16" i="59"/>
  <c r="G79" i="54"/>
  <c r="H15" i="43"/>
  <c r="G16" i="61" s="1"/>
  <c r="H17" i="43"/>
  <c r="G18" i="61" s="1"/>
  <c r="H16" i="43"/>
  <c r="H21" i="43"/>
  <c r="G22" i="61" s="1"/>
  <c r="E30" i="43"/>
  <c r="H20" i="43"/>
  <c r="G21" i="61" s="1"/>
  <c r="B21" i="43"/>
  <c r="B20" i="43"/>
  <c r="B16" i="43"/>
  <c r="H41" i="45"/>
  <c r="H39" i="45"/>
  <c r="H43" i="45"/>
  <c r="G9" i="27"/>
  <c r="AK8" i="27"/>
  <c r="I46" i="45"/>
  <c r="I47" i="45" s="1"/>
  <c r="I48" i="45" s="1"/>
  <c r="I49" i="45" s="1"/>
  <c r="I50" i="45" s="1"/>
  <c r="H50" i="45"/>
  <c r="I32" i="45"/>
  <c r="I33" i="45" s="1"/>
  <c r="I34" i="45" s="1"/>
  <c r="I35" i="45" s="1"/>
  <c r="H38" i="45"/>
  <c r="H29" i="45"/>
  <c r="H40" i="29"/>
  <c r="H28" i="45"/>
  <c r="G40" i="29"/>
  <c r="I28" i="50"/>
  <c r="A79" i="54"/>
  <c r="C35" i="43"/>
  <c r="B28" i="50"/>
  <c r="I77" i="39"/>
  <c r="H18" i="43"/>
  <c r="G19" i="61" s="1"/>
  <c r="D9" i="43"/>
  <c r="L10" i="43" s="1"/>
  <c r="H19" i="43"/>
  <c r="G20" i="61" s="1"/>
  <c r="P15" i="43"/>
  <c r="K16" i="61" s="1"/>
  <c r="J16" i="61" s="1"/>
  <c r="B19" i="43"/>
  <c r="B17" i="43"/>
  <c r="B18" i="43"/>
  <c r="D14" i="29"/>
  <c r="D10" i="29" s="1"/>
  <c r="I27" i="45"/>
  <c r="D17" i="29"/>
  <c r="D19" i="29" s="1"/>
  <c r="D15" i="29" s="1"/>
  <c r="K15" i="29" s="1"/>
  <c r="L15" i="29" s="1"/>
  <c r="D34" i="29"/>
  <c r="D30" i="29" s="1"/>
  <c r="D5" i="29"/>
  <c r="D29" i="29"/>
  <c r="D25" i="29" s="1"/>
  <c r="G50" i="45"/>
  <c r="F50" i="45" s="1"/>
  <c r="A1" i="44"/>
  <c r="I68" i="39"/>
  <c r="H68" i="39" s="1"/>
  <c r="G68" i="39" s="1"/>
  <c r="I106" i="39"/>
  <c r="H106" i="39" s="1"/>
  <c r="G106" i="39" s="1"/>
  <c r="I31" i="39"/>
  <c r="H31" i="39" s="1"/>
  <c r="G31" i="39" s="1"/>
  <c r="H107" i="39"/>
  <c r="G107" i="39" s="1"/>
  <c r="I83" i="39"/>
  <c r="H83" i="39" s="1"/>
  <c r="G83" i="39" s="1"/>
  <c r="I35" i="39"/>
  <c r="H35" i="39" s="1"/>
  <c r="G35" i="39" s="1"/>
  <c r="I24" i="39"/>
  <c r="H24" i="39" s="1"/>
  <c r="G24" i="39" s="1"/>
  <c r="I38" i="39"/>
  <c r="H38" i="39" s="1"/>
  <c r="G38" i="39" s="1"/>
  <c r="H44" i="39"/>
  <c r="G44" i="39" s="1"/>
  <c r="E40" i="29"/>
  <c r="I35" i="43"/>
  <c r="H26" i="61" s="1"/>
  <c r="I15" i="39"/>
  <c r="H15" i="39" s="1"/>
  <c r="G15" i="39" s="1"/>
  <c r="I94" i="39"/>
  <c r="H95" i="39"/>
  <c r="G95" i="39" s="1"/>
  <c r="I81" i="39"/>
  <c r="H81" i="39" s="1"/>
  <c r="G81" i="39" s="1"/>
  <c r="D39" i="29"/>
  <c r="D35" i="29" s="1"/>
  <c r="I114" i="39"/>
  <c r="I111" i="39" s="1"/>
  <c r="B1" i="29"/>
  <c r="B2" i="46"/>
  <c r="H91" i="39"/>
  <c r="G91" i="39" s="1"/>
  <c r="I88" i="39"/>
  <c r="H88" i="39" s="1"/>
  <c r="G88" i="39" s="1"/>
  <c r="I102" i="39"/>
  <c r="I101" i="39" s="1"/>
  <c r="I100" i="39" s="1"/>
  <c r="H100" i="39" s="1"/>
  <c r="G100" i="39" s="1"/>
  <c r="H105" i="39"/>
  <c r="G105" i="39" s="1"/>
  <c r="H11" i="39"/>
  <c r="G11" i="39" s="1"/>
  <c r="I9" i="39"/>
  <c r="H62" i="39"/>
  <c r="G62" i="39" s="1"/>
  <c r="D24" i="29"/>
  <c r="D20" i="29" s="1"/>
  <c r="F20" i="29"/>
  <c r="H37" i="45" s="1"/>
  <c r="H20" i="39"/>
  <c r="G20" i="39" s="1"/>
  <c r="I19" i="39"/>
  <c r="H19" i="39" s="1"/>
  <c r="G19" i="39" s="1"/>
  <c r="H98" i="39"/>
  <c r="I96" i="39"/>
  <c r="G96" i="39" s="1"/>
  <c r="H75" i="39"/>
  <c r="G75" i="39" s="1"/>
  <c r="I73" i="39"/>
  <c r="L15" i="43" a="1"/>
  <c r="L15" i="43" s="1"/>
  <c r="F16" i="61" s="1"/>
  <c r="I63" i="39"/>
  <c r="H65" i="39"/>
  <c r="G65" i="39" s="1"/>
  <c r="H30" i="45" l="1"/>
  <c r="H11" i="27"/>
  <c r="H44" i="27"/>
  <c r="H66" i="27" s="1"/>
  <c r="H45" i="27"/>
  <c r="G10" i="27"/>
  <c r="A19" i="43"/>
  <c r="H20" i="61"/>
  <c r="A15" i="43"/>
  <c r="H16" i="61"/>
  <c r="K23" i="61"/>
  <c r="A16" i="43"/>
  <c r="H17" i="61"/>
  <c r="A18" i="43"/>
  <c r="H19" i="61"/>
  <c r="A20" i="43"/>
  <c r="H21" i="61"/>
  <c r="A17" i="43"/>
  <c r="H18" i="61"/>
  <c r="A21" i="43"/>
  <c r="H22" i="61"/>
  <c r="N16" i="43"/>
  <c r="G17" i="61"/>
  <c r="E9" i="46"/>
  <c r="K20" i="29"/>
  <c r="L20" i="29" s="1"/>
  <c r="E7" i="46"/>
  <c r="G7" i="46" s="1"/>
  <c r="K5" i="29"/>
  <c r="L5" i="29" s="1"/>
  <c r="I50" i="39"/>
  <c r="H77" i="39"/>
  <c r="G77" i="39" s="1"/>
  <c r="I72" i="39"/>
  <c r="H72" i="39" s="1"/>
  <c r="G72" i="39" s="1"/>
  <c r="H63" i="39"/>
  <c r="G63" i="39" s="1"/>
  <c r="E8" i="46"/>
  <c r="G8" i="46" s="1"/>
  <c r="K10" i="29"/>
  <c r="L10" i="29" s="1"/>
  <c r="H45" i="45"/>
  <c r="AN8" i="28"/>
  <c r="I41" i="45"/>
  <c r="I42" i="45" s="1"/>
  <c r="I43" i="45" s="1"/>
  <c r="I44" i="45" s="1"/>
  <c r="I45" i="45" s="1"/>
  <c r="C29" i="43"/>
  <c r="C27" i="43"/>
  <c r="P22" i="43"/>
  <c r="L19" i="43"/>
  <c r="F20" i="61" s="1"/>
  <c r="N19" i="43"/>
  <c r="N17" i="43"/>
  <c r="L17" i="43"/>
  <c r="F18" i="61" s="1"/>
  <c r="N20" i="43"/>
  <c r="L20" i="43"/>
  <c r="F21" i="61" s="1"/>
  <c r="N21" i="43"/>
  <c r="L21" i="43"/>
  <c r="F22" i="61" s="1"/>
  <c r="L18" i="43"/>
  <c r="F19" i="61" s="1"/>
  <c r="N18" i="43"/>
  <c r="H8" i="46"/>
  <c r="H9" i="46"/>
  <c r="G9" i="46"/>
  <c r="J20" i="43"/>
  <c r="J21" i="43"/>
  <c r="F40" i="29"/>
  <c r="H40" i="45"/>
  <c r="I37" i="45"/>
  <c r="I38" i="45" s="1"/>
  <c r="I39" i="45" s="1"/>
  <c r="I40" i="45" s="1"/>
  <c r="I28" i="45"/>
  <c r="I29" i="45" s="1"/>
  <c r="I30" i="45" s="1"/>
  <c r="F16" i="50"/>
  <c r="G16" i="50"/>
  <c r="G45" i="45"/>
  <c r="F45" i="45" s="1"/>
  <c r="G40" i="45"/>
  <c r="F40" i="45" s="1"/>
  <c r="G30" i="45"/>
  <c r="F30" i="45" s="1"/>
  <c r="G35" i="45"/>
  <c r="F35" i="45" s="1"/>
  <c r="D40" i="29"/>
  <c r="I17" i="45"/>
  <c r="I18" i="45"/>
  <c r="I19" i="45"/>
  <c r="I20" i="45"/>
  <c r="F21" i="45"/>
  <c r="H20" i="45"/>
  <c r="H21" i="45"/>
  <c r="H19" i="45"/>
  <c r="G20" i="45"/>
  <c r="H18" i="45"/>
  <c r="G19" i="45"/>
  <c r="G18" i="45"/>
  <c r="H17" i="45"/>
  <c r="G21" i="45"/>
  <c r="G17" i="45"/>
  <c r="J16" i="43"/>
  <c r="L16" i="43"/>
  <c r="F17" i="61" s="1"/>
  <c r="I31" i="43"/>
  <c r="G31" i="43"/>
  <c r="C31" i="43"/>
  <c r="J17" i="43"/>
  <c r="J19" i="43"/>
  <c r="J18" i="43"/>
  <c r="I30" i="39"/>
  <c r="H30" i="39" s="1"/>
  <c r="G30" i="39" s="1"/>
  <c r="I23" i="39"/>
  <c r="H23" i="39" s="1"/>
  <c r="G23" i="39" s="1"/>
  <c r="I80" i="39"/>
  <c r="H80" i="39" s="1"/>
  <c r="G80" i="39" s="1"/>
  <c r="H94" i="39"/>
  <c r="G94" i="39" s="1"/>
  <c r="I93" i="39"/>
  <c r="H93" i="39" s="1"/>
  <c r="G93" i="39" s="1"/>
  <c r="H102" i="39"/>
  <c r="G102" i="39" s="1"/>
  <c r="H101" i="39"/>
  <c r="G101" i="39" s="1"/>
  <c r="H73" i="39"/>
  <c r="G73" i="39" s="1"/>
  <c r="H9" i="39"/>
  <c r="G9" i="39" s="1"/>
  <c r="I8" i="39"/>
  <c r="H58" i="39"/>
  <c r="G58" i="39" s="1"/>
  <c r="A24" i="61"/>
  <c r="B24" i="43"/>
  <c r="H7" i="46" l="1"/>
  <c r="H12" i="27"/>
  <c r="H67" i="27"/>
  <c r="G12" i="27"/>
  <c r="G11" i="27"/>
  <c r="F12" i="50"/>
  <c r="G12" i="50"/>
  <c r="E12" i="50" s="1"/>
  <c r="G15" i="50"/>
  <c r="F15" i="50"/>
  <c r="E16" i="50"/>
  <c r="H16" i="50"/>
  <c r="G13" i="50"/>
  <c r="F13" i="50"/>
  <c r="G14" i="50"/>
  <c r="E14" i="50" s="1"/>
  <c r="F14" i="50"/>
  <c r="D2" i="27"/>
  <c r="H6" i="50"/>
  <c r="F1" i="54"/>
  <c r="F6" i="54"/>
  <c r="H1" i="50"/>
  <c r="G1" i="50"/>
  <c r="E1" i="54"/>
  <c r="I29" i="39"/>
  <c r="H29" i="39" s="1"/>
  <c r="G29" i="39" s="1"/>
  <c r="I79" i="39"/>
  <c r="H79" i="39" s="1"/>
  <c r="G79" i="39" s="1"/>
  <c r="I7" i="39"/>
  <c r="H8" i="39"/>
  <c r="G8" i="39" s="1"/>
  <c r="H50" i="39"/>
  <c r="G50" i="39" s="1"/>
  <c r="I49" i="39"/>
  <c r="H49" i="39" s="1"/>
  <c r="G49" i="39" s="1"/>
  <c r="H13" i="27" l="1"/>
  <c r="H68" i="27"/>
  <c r="H69" i="27" s="1"/>
  <c r="H70" i="27" s="1"/>
  <c r="G13" i="27"/>
  <c r="I6" i="39"/>
  <c r="F2" i="27"/>
  <c r="H12" i="50"/>
  <c r="E15" i="50"/>
  <c r="H15" i="50"/>
  <c r="C5" i="27"/>
  <c r="D5" i="27" s="1"/>
  <c r="C2" i="27"/>
  <c r="E5" i="27"/>
  <c r="F5" i="27" s="1"/>
  <c r="E2" i="27"/>
  <c r="H7" i="39"/>
  <c r="G7" i="39" s="1"/>
  <c r="H14" i="27" l="1"/>
  <c r="H15" i="27" s="1"/>
  <c r="G14" i="27"/>
  <c r="E47" i="27"/>
  <c r="E48" i="27"/>
  <c r="E49" i="27"/>
  <c r="E50" i="27"/>
  <c r="E51" i="27"/>
  <c r="E52" i="27"/>
  <c r="E53" i="27"/>
  <c r="E54" i="27"/>
  <c r="E55" i="27"/>
  <c r="E56" i="27"/>
  <c r="E57" i="27"/>
  <c r="E58" i="27"/>
  <c r="E59" i="27"/>
  <c r="E60" i="27"/>
  <c r="E61" i="27"/>
  <c r="E62" i="27"/>
  <c r="E63" i="27"/>
  <c r="E64" i="27"/>
  <c r="E65" i="27"/>
  <c r="E66" i="27"/>
  <c r="E67" i="27"/>
  <c r="E68" i="27"/>
  <c r="E69" i="27"/>
  <c r="E70" i="27"/>
  <c r="E71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8" i="27"/>
  <c r="F50" i="27"/>
  <c r="F52" i="27"/>
  <c r="F54" i="27"/>
  <c r="F56" i="27"/>
  <c r="F47" i="27"/>
  <c r="F49" i="27"/>
  <c r="F51" i="27"/>
  <c r="F53" i="27"/>
  <c r="F55" i="27"/>
  <c r="F57" i="27"/>
  <c r="F59" i="27"/>
  <c r="F61" i="27"/>
  <c r="F63" i="27"/>
  <c r="F65" i="27"/>
  <c r="F67" i="27"/>
  <c r="F69" i="27"/>
  <c r="F71" i="27"/>
  <c r="F58" i="27"/>
  <c r="F60" i="27"/>
  <c r="F62" i="27"/>
  <c r="F64" i="27"/>
  <c r="F66" i="27"/>
  <c r="F68" i="27"/>
  <c r="F70" i="27"/>
  <c r="C11" i="27"/>
  <c r="C15" i="27"/>
  <c r="C19" i="27"/>
  <c r="C23" i="27"/>
  <c r="C27" i="27"/>
  <c r="C31" i="27"/>
  <c r="C35" i="27"/>
  <c r="C39" i="27"/>
  <c r="C43" i="27"/>
  <c r="C46" i="27"/>
  <c r="C49" i="27"/>
  <c r="C53" i="27"/>
  <c r="C57" i="27"/>
  <c r="C61" i="27"/>
  <c r="C65" i="27"/>
  <c r="C69" i="27"/>
  <c r="C10" i="27"/>
  <c r="C14" i="27"/>
  <c r="C18" i="27"/>
  <c r="C22" i="27"/>
  <c r="C26" i="27"/>
  <c r="C30" i="27"/>
  <c r="C34" i="27"/>
  <c r="C38" i="27"/>
  <c r="C42" i="27"/>
  <c r="C45" i="27"/>
  <c r="C48" i="27"/>
  <c r="C52" i="27"/>
  <c r="C56" i="27"/>
  <c r="C60" i="27"/>
  <c r="C64" i="27"/>
  <c r="C68" i="27"/>
  <c r="C13" i="27"/>
  <c r="C17" i="27"/>
  <c r="C21" i="27"/>
  <c r="C25" i="27"/>
  <c r="C29" i="27"/>
  <c r="C33" i="27"/>
  <c r="C37" i="27"/>
  <c r="C41" i="27"/>
  <c r="C44" i="27"/>
  <c r="C47" i="27"/>
  <c r="C51" i="27"/>
  <c r="C16" i="27"/>
  <c r="C24" i="27"/>
  <c r="C32" i="27"/>
  <c r="C40" i="27"/>
  <c r="C50" i="27"/>
  <c r="C55" i="27"/>
  <c r="C59" i="27"/>
  <c r="C63" i="27"/>
  <c r="C67" i="27"/>
  <c r="C71" i="27"/>
  <c r="C12" i="27"/>
  <c r="C20" i="27"/>
  <c r="C28" i="27"/>
  <c r="C36" i="27"/>
  <c r="C54" i="27"/>
  <c r="C58" i="27"/>
  <c r="C62" i="27"/>
  <c r="C66" i="27"/>
  <c r="C70" i="27"/>
  <c r="D9" i="27"/>
  <c r="D12" i="27"/>
  <c r="D16" i="27"/>
  <c r="D20" i="27"/>
  <c r="D24" i="27"/>
  <c r="D28" i="27"/>
  <c r="D32" i="27"/>
  <c r="D36" i="27"/>
  <c r="D40" i="27"/>
  <c r="D50" i="27"/>
  <c r="D54" i="27"/>
  <c r="D58" i="27"/>
  <c r="D62" i="27"/>
  <c r="D66" i="27"/>
  <c r="D70" i="27"/>
  <c r="D11" i="27"/>
  <c r="D15" i="27"/>
  <c r="D19" i="27"/>
  <c r="D23" i="27"/>
  <c r="D27" i="27"/>
  <c r="D31" i="27"/>
  <c r="D35" i="27"/>
  <c r="D39" i="27"/>
  <c r="D43" i="27"/>
  <c r="D46" i="27"/>
  <c r="D49" i="27"/>
  <c r="D53" i="27"/>
  <c r="D57" i="27"/>
  <c r="D61" i="27"/>
  <c r="D65" i="27"/>
  <c r="D69" i="27"/>
  <c r="D10" i="27"/>
  <c r="D14" i="27"/>
  <c r="D18" i="27"/>
  <c r="D22" i="27"/>
  <c r="D26" i="27"/>
  <c r="D30" i="27"/>
  <c r="D34" i="27"/>
  <c r="D38" i="27"/>
  <c r="D42" i="27"/>
  <c r="D45" i="27"/>
  <c r="D48" i="27"/>
  <c r="D52" i="27"/>
  <c r="D56" i="27"/>
  <c r="D60" i="27"/>
  <c r="D64" i="27"/>
  <c r="D68" i="27"/>
  <c r="D13" i="27"/>
  <c r="D21" i="27"/>
  <c r="D29" i="27"/>
  <c r="D37" i="27"/>
  <c r="D47" i="27"/>
  <c r="D44" i="27"/>
  <c r="D55" i="27"/>
  <c r="D59" i="27"/>
  <c r="D63" i="27"/>
  <c r="D67" i="27"/>
  <c r="D71" i="27"/>
  <c r="D17" i="27"/>
  <c r="D25" i="27"/>
  <c r="D33" i="27"/>
  <c r="D41" i="27"/>
  <c r="D51" i="27"/>
  <c r="H6" i="39"/>
  <c r="G6" i="39" s="1"/>
  <c r="I117" i="39"/>
  <c r="H117" i="39" s="1"/>
  <c r="G117" i="39" s="1"/>
  <c r="C9" i="27"/>
  <c r="E9" i="27"/>
  <c r="F9" i="27"/>
  <c r="H16" i="27" l="1"/>
  <c r="H17" i="27" s="1"/>
  <c r="H83" i="27"/>
  <c r="G15" i="27"/>
  <c r="I54" i="54"/>
  <c r="K54" i="54" s="1"/>
  <c r="I55" i="54"/>
  <c r="K55" i="54" s="1"/>
  <c r="H54" i="54"/>
  <c r="H55" i="54"/>
  <c r="I42" i="54"/>
  <c r="K42" i="54" s="1"/>
  <c r="H42" i="54"/>
  <c r="I13" i="54"/>
  <c r="K13" i="54" s="1"/>
  <c r="I41" i="54"/>
  <c r="H13" i="54"/>
  <c r="H41" i="54"/>
  <c r="H51" i="54"/>
  <c r="J14" i="50"/>
  <c r="H12" i="54"/>
  <c r="I14" i="54"/>
  <c r="K14" i="54" s="1"/>
  <c r="J16" i="50"/>
  <c r="N16" i="50" s="1"/>
  <c r="H53" i="54"/>
  <c r="H49" i="54"/>
  <c r="H45" i="54"/>
  <c r="H52" i="54"/>
  <c r="H48" i="54"/>
  <c r="H44" i="54"/>
  <c r="H47" i="54"/>
  <c r="H43" i="54"/>
  <c r="H50" i="54"/>
  <c r="H46" i="54"/>
  <c r="H39" i="54"/>
  <c r="H35" i="54"/>
  <c r="H31" i="54"/>
  <c r="H28" i="54"/>
  <c r="H38" i="54"/>
  <c r="H34" i="54"/>
  <c r="H30" i="54"/>
  <c r="H36" i="54"/>
  <c r="H37" i="54"/>
  <c r="H33" i="54"/>
  <c r="H29" i="54"/>
  <c r="H32" i="54"/>
  <c r="H14" i="54"/>
  <c r="H18" i="54"/>
  <c r="H22" i="54"/>
  <c r="H26" i="54"/>
  <c r="H15" i="54"/>
  <c r="H19" i="54"/>
  <c r="H23" i="54"/>
  <c r="H17" i="54"/>
  <c r="H25" i="54"/>
  <c r="H16" i="54"/>
  <c r="H20" i="54"/>
  <c r="H24" i="54"/>
  <c r="H21" i="54"/>
  <c r="I20" i="54"/>
  <c r="K20" i="54" s="1"/>
  <c r="I44" i="54"/>
  <c r="K44" i="54" s="1"/>
  <c r="I47" i="54"/>
  <c r="K47" i="54" s="1"/>
  <c r="I46" i="54"/>
  <c r="K46" i="54" s="1"/>
  <c r="I48" i="54"/>
  <c r="K48" i="54" s="1"/>
  <c r="I45" i="54"/>
  <c r="K45" i="54" s="1"/>
  <c r="I50" i="54"/>
  <c r="K50" i="54" s="1"/>
  <c r="I52" i="54"/>
  <c r="K52" i="54" s="1"/>
  <c r="I49" i="54"/>
  <c r="K49" i="54" s="1"/>
  <c r="I51" i="54"/>
  <c r="K51" i="54" s="1"/>
  <c r="I43" i="54"/>
  <c r="K43" i="54" s="1"/>
  <c r="I53" i="54"/>
  <c r="K53" i="54" s="1"/>
  <c r="I28" i="54"/>
  <c r="K28" i="54" s="1"/>
  <c r="I32" i="54"/>
  <c r="K32" i="54" s="1"/>
  <c r="I23" i="54"/>
  <c r="K23" i="54" s="1"/>
  <c r="I29" i="54"/>
  <c r="K29" i="54" s="1"/>
  <c r="I30" i="54"/>
  <c r="K30" i="54" s="1"/>
  <c r="I31" i="54"/>
  <c r="K31" i="54" s="1"/>
  <c r="I19" i="54"/>
  <c r="K19" i="54" s="1"/>
  <c r="I33" i="54"/>
  <c r="K33" i="54" s="1"/>
  <c r="I34" i="54"/>
  <c r="K34" i="54" s="1"/>
  <c r="I35" i="54"/>
  <c r="K35" i="54" s="1"/>
  <c r="I36" i="54"/>
  <c r="K36" i="54" s="1"/>
  <c r="I24" i="54"/>
  <c r="K24" i="54" s="1"/>
  <c r="I26" i="54"/>
  <c r="K26" i="54" s="1"/>
  <c r="I37" i="54"/>
  <c r="K37" i="54" s="1"/>
  <c r="I38" i="54"/>
  <c r="K38" i="54" s="1"/>
  <c r="I39" i="54"/>
  <c r="K39" i="54" s="1"/>
  <c r="I22" i="54"/>
  <c r="K22" i="54" s="1"/>
  <c r="I12" i="54"/>
  <c r="K12" i="54" s="1"/>
  <c r="I16" i="54"/>
  <c r="K16" i="54" s="1"/>
  <c r="I15" i="54"/>
  <c r="K15" i="54" s="1"/>
  <c r="I18" i="54"/>
  <c r="K18" i="54" s="1"/>
  <c r="I17" i="54"/>
  <c r="K17" i="54" s="1"/>
  <c r="I21" i="54"/>
  <c r="K21" i="54" s="1"/>
  <c r="I25" i="54"/>
  <c r="K25" i="54" s="1"/>
  <c r="J12" i="50"/>
  <c r="N12" i="50" s="1"/>
  <c r="J13" i="50"/>
  <c r="J15" i="50"/>
  <c r="N15" i="50" s="1"/>
  <c r="I13" i="50"/>
  <c r="I14" i="50"/>
  <c r="I16" i="50"/>
  <c r="I15" i="50"/>
  <c r="I12" i="50"/>
  <c r="I68" i="54"/>
  <c r="K68" i="54" s="1"/>
  <c r="I74" i="54"/>
  <c r="K74" i="54" s="1"/>
  <c r="I70" i="54"/>
  <c r="K70" i="54" s="1"/>
  <c r="H74" i="54"/>
  <c r="H72" i="54"/>
  <c r="H70" i="54"/>
  <c r="H69" i="54"/>
  <c r="H73" i="54"/>
  <c r="H71" i="54"/>
  <c r="H68" i="54"/>
  <c r="I69" i="54"/>
  <c r="K69" i="54" s="1"/>
  <c r="I72" i="54"/>
  <c r="K72" i="54" s="1"/>
  <c r="I71" i="54"/>
  <c r="K71" i="54" s="1"/>
  <c r="I73" i="54"/>
  <c r="K73" i="54" s="1"/>
  <c r="I65" i="54"/>
  <c r="K65" i="54" s="1"/>
  <c r="I66" i="54"/>
  <c r="K66" i="54" s="1"/>
  <c r="I57" i="54"/>
  <c r="K57" i="54" s="1"/>
  <c r="I59" i="54"/>
  <c r="K59" i="54" s="1"/>
  <c r="I61" i="54"/>
  <c r="K61" i="54" s="1"/>
  <c r="I63" i="54"/>
  <c r="K63" i="54" s="1"/>
  <c r="I58" i="54"/>
  <c r="K58" i="54" s="1"/>
  <c r="H61" i="54"/>
  <c r="H57" i="54"/>
  <c r="H62" i="54"/>
  <c r="H59" i="54"/>
  <c r="H66" i="54"/>
  <c r="H65" i="54"/>
  <c r="H64" i="54"/>
  <c r="H63" i="54"/>
  <c r="H60" i="54"/>
  <c r="H58" i="54"/>
  <c r="I60" i="54"/>
  <c r="K60" i="54" s="1"/>
  <c r="I62" i="54"/>
  <c r="K62" i="54" s="1"/>
  <c r="I64" i="54"/>
  <c r="K64" i="54" s="1"/>
  <c r="H18" i="27" l="1"/>
  <c r="H19" i="27" s="1"/>
  <c r="H24" i="27" s="1"/>
  <c r="H25" i="27" s="1"/>
  <c r="G16" i="27"/>
  <c r="J55" i="54"/>
  <c r="M55" i="54" s="1"/>
  <c r="J54" i="54"/>
  <c r="M54" i="54" s="1"/>
  <c r="J42" i="54"/>
  <c r="M42" i="54" s="1"/>
  <c r="J13" i="54"/>
  <c r="M13" i="54" s="1"/>
  <c r="I56" i="54"/>
  <c r="H56" i="54"/>
  <c r="K41" i="54"/>
  <c r="K56" i="54" s="1"/>
  <c r="J41" i="54"/>
  <c r="J16" i="54"/>
  <c r="M16" i="54" s="1"/>
  <c r="J17" i="54"/>
  <c r="M17" i="54" s="1"/>
  <c r="J14" i="54"/>
  <c r="M14" i="54" s="1"/>
  <c r="J39" i="54"/>
  <c r="M39" i="54" s="1"/>
  <c r="J37" i="54"/>
  <c r="M37" i="54" s="1"/>
  <c r="J44" i="54"/>
  <c r="M44" i="54" s="1"/>
  <c r="J63" i="54"/>
  <c r="M63" i="54" s="1"/>
  <c r="J59" i="54"/>
  <c r="M59" i="54" s="1"/>
  <c r="J69" i="54"/>
  <c r="M69" i="54" s="1"/>
  <c r="J45" i="54"/>
  <c r="M45" i="54" s="1"/>
  <c r="J50" i="54"/>
  <c r="M50" i="54" s="1"/>
  <c r="J24" i="54"/>
  <c r="M24" i="54" s="1"/>
  <c r="J23" i="54"/>
  <c r="M23" i="54" s="1"/>
  <c r="J26" i="54"/>
  <c r="M26" i="54" s="1"/>
  <c r="J29" i="54"/>
  <c r="M29" i="54" s="1"/>
  <c r="J31" i="54"/>
  <c r="M31" i="54" s="1"/>
  <c r="J30" i="54"/>
  <c r="M30" i="54" s="1"/>
  <c r="J47" i="54"/>
  <c r="M47" i="54" s="1"/>
  <c r="J46" i="54"/>
  <c r="M46" i="54" s="1"/>
  <c r="J51" i="54"/>
  <c r="M51" i="54" s="1"/>
  <c r="J64" i="54"/>
  <c r="M64" i="54" s="1"/>
  <c r="J62" i="54"/>
  <c r="M62" i="54" s="1"/>
  <c r="J70" i="54"/>
  <c r="M70" i="54" s="1"/>
  <c r="J15" i="54"/>
  <c r="M15" i="54" s="1"/>
  <c r="J18" i="54"/>
  <c r="M18" i="54" s="1"/>
  <c r="J21" i="54"/>
  <c r="M21" i="54" s="1"/>
  <c r="J25" i="54"/>
  <c r="M25" i="54" s="1"/>
  <c r="J20" i="54"/>
  <c r="M20" i="54" s="1"/>
  <c r="J19" i="54"/>
  <c r="M19" i="54" s="1"/>
  <c r="J22" i="54"/>
  <c r="M22" i="54" s="1"/>
  <c r="J32" i="54"/>
  <c r="M32" i="54" s="1"/>
  <c r="J35" i="54"/>
  <c r="M35" i="54" s="1"/>
  <c r="J33" i="54"/>
  <c r="M33" i="54" s="1"/>
  <c r="J52" i="54"/>
  <c r="M52" i="54" s="1"/>
  <c r="J48" i="54"/>
  <c r="M48" i="54" s="1"/>
  <c r="J53" i="54"/>
  <c r="M53" i="54" s="1"/>
  <c r="J58" i="54"/>
  <c r="M58" i="54" s="1"/>
  <c r="J65" i="54"/>
  <c r="M65" i="54" s="1"/>
  <c r="J71" i="54"/>
  <c r="M71" i="54" s="1"/>
  <c r="J72" i="54"/>
  <c r="M72" i="54" s="1"/>
  <c r="J36" i="54"/>
  <c r="M36" i="54" s="1"/>
  <c r="J38" i="54"/>
  <c r="M38" i="54" s="1"/>
  <c r="J34" i="54"/>
  <c r="M34" i="54" s="1"/>
  <c r="J49" i="54"/>
  <c r="M49" i="54" s="1"/>
  <c r="J60" i="54"/>
  <c r="M60" i="54" s="1"/>
  <c r="J66" i="54"/>
  <c r="M66" i="54" s="1"/>
  <c r="J61" i="54"/>
  <c r="M61" i="54" s="1"/>
  <c r="J73" i="54"/>
  <c r="M73" i="54" s="1"/>
  <c r="J74" i="54"/>
  <c r="M74" i="54" s="1"/>
  <c r="J12" i="54"/>
  <c r="M12" i="54" s="1"/>
  <c r="J18" i="50"/>
  <c r="I18" i="50"/>
  <c r="K75" i="54"/>
  <c r="J68" i="54"/>
  <c r="M68" i="54" s="1"/>
  <c r="H75" i="54"/>
  <c r="I75" i="54"/>
  <c r="J57" i="54"/>
  <c r="M57" i="54" s="1"/>
  <c r="H67" i="54"/>
  <c r="J43" i="54"/>
  <c r="M43" i="54" s="1"/>
  <c r="J28" i="54"/>
  <c r="M28" i="54" s="1"/>
  <c r="H40" i="54"/>
  <c r="K27" i="54"/>
  <c r="H27" i="54"/>
  <c r="H26" i="27" l="1"/>
  <c r="H27" i="27" s="1"/>
  <c r="H28" i="27" s="1"/>
  <c r="H29" i="27" s="1"/>
  <c r="H30" i="27" s="1"/>
  <c r="H31" i="27" s="1"/>
  <c r="H32" i="27" s="1"/>
  <c r="H33" i="27" s="1"/>
  <c r="H34" i="27" s="1"/>
  <c r="H35" i="27" s="1"/>
  <c r="H36" i="27" s="1"/>
  <c r="H37" i="27" s="1"/>
  <c r="H38" i="27" s="1"/>
  <c r="H39" i="27" s="1"/>
  <c r="H40" i="27" s="1"/>
  <c r="H41" i="27" s="1"/>
  <c r="H42" i="27" s="1"/>
  <c r="H43" i="27" s="1"/>
  <c r="H46" i="27" s="1"/>
  <c r="H47" i="27"/>
  <c r="H75" i="27" s="1"/>
  <c r="H71" i="27"/>
  <c r="G17" i="27"/>
  <c r="G18" i="27"/>
  <c r="M41" i="54"/>
  <c r="J56" i="54"/>
  <c r="M56" i="54" s="1"/>
  <c r="J75" i="54"/>
  <c r="M75" i="54" s="1"/>
  <c r="J27" i="54"/>
  <c r="J67" i="54"/>
  <c r="I67" i="54"/>
  <c r="K67" i="54" s="1"/>
  <c r="J40" i="54"/>
  <c r="I40" i="54"/>
  <c r="K40" i="54" s="1"/>
  <c r="H76" i="54"/>
  <c r="I27" i="54"/>
  <c r="H48" i="27" l="1"/>
  <c r="H49" i="27" s="1"/>
  <c r="H50" i="27" s="1"/>
  <c r="H51" i="27" s="1"/>
  <c r="H52" i="27" s="1"/>
  <c r="H53" i="27" s="1"/>
  <c r="H54" i="27" s="1"/>
  <c r="H55" i="27" s="1"/>
  <c r="H56" i="27" s="1"/>
  <c r="H57" i="27" s="1"/>
  <c r="H58" i="27" s="1"/>
  <c r="H59" i="27" s="1"/>
  <c r="H60" i="27" s="1"/>
  <c r="H61" i="27" s="1"/>
  <c r="H62" i="27" s="1"/>
  <c r="H63" i="27" s="1"/>
  <c r="H64" i="27" s="1"/>
  <c r="H65" i="27" s="1"/>
  <c r="H72" i="27" s="1"/>
  <c r="H73" i="27" s="1"/>
  <c r="H74" i="27" s="1"/>
  <c r="H76" i="27"/>
  <c r="H77" i="27" s="1"/>
  <c r="H78" i="27"/>
  <c r="G19" i="27"/>
  <c r="M27" i="54"/>
  <c r="M40" i="54"/>
  <c r="M67" i="54"/>
  <c r="J76" i="54"/>
  <c r="I76" i="54"/>
  <c r="K76" i="54"/>
  <c r="H82" i="27" l="1"/>
  <c r="H84" i="27"/>
  <c r="H79" i="27"/>
  <c r="G24" i="27"/>
  <c r="H86" i="27" l="1"/>
  <c r="H87" i="27" s="1"/>
  <c r="H88" i="27" s="1"/>
  <c r="H89" i="27" s="1"/>
  <c r="H90" i="27" s="1"/>
  <c r="H91" i="27" s="1"/>
  <c r="H92" i="27" s="1"/>
  <c r="H93" i="27" s="1"/>
  <c r="H94" i="27" s="1"/>
  <c r="H95" i="27" s="1"/>
  <c r="H96" i="27" s="1"/>
  <c r="H97" i="27" s="1"/>
  <c r="H98" i="27" s="1"/>
  <c r="H99" i="27" s="1"/>
  <c r="H100" i="27" s="1"/>
  <c r="H101" i="27" s="1"/>
  <c r="H102" i="27" s="1"/>
  <c r="H103" i="27" s="1"/>
  <c r="H104" i="27" s="1"/>
  <c r="H105" i="27" s="1"/>
  <c r="H106" i="27" s="1"/>
  <c r="H107" i="27" s="1"/>
  <c r="H108" i="27" s="1"/>
  <c r="H109" i="27" s="1"/>
  <c r="H110" i="27" s="1"/>
  <c r="H111" i="27" s="1"/>
  <c r="H112" i="27" s="1"/>
  <c r="H113" i="27" s="1"/>
  <c r="H114" i="27" s="1"/>
  <c r="H115" i="27" s="1"/>
  <c r="H116" i="27" s="1"/>
  <c r="H117" i="27" s="1"/>
  <c r="H118" i="27" s="1"/>
  <c r="H119" i="27" s="1"/>
  <c r="H120" i="27" s="1"/>
  <c r="H121" i="27" s="1"/>
  <c r="H122" i="27" s="1"/>
  <c r="H123" i="27" s="1"/>
  <c r="H124" i="27" s="1"/>
  <c r="H125" i="27" s="1"/>
  <c r="H126" i="27" s="1"/>
  <c r="H127" i="27" s="1"/>
  <c r="H128" i="27" s="1"/>
  <c r="H129" i="27" s="1"/>
  <c r="G25" i="27"/>
  <c r="G37" i="27"/>
  <c r="G38" i="27" s="1"/>
  <c r="G39" i="27" s="1"/>
  <c r="G42" i="27"/>
  <c r="G26" i="27" l="1"/>
  <c r="G40" i="27"/>
  <c r="G88" i="27"/>
  <c r="G89" i="27" s="1"/>
  <c r="G90" i="27" s="1"/>
  <c r="G91" i="27" s="1"/>
  <c r="G92" i="27" s="1"/>
  <c r="G93" i="27" s="1"/>
  <c r="G27" i="27" l="1"/>
  <c r="G41" i="27"/>
  <c r="G129" i="27"/>
  <c r="G94" i="27"/>
  <c r="G28" i="27" l="1"/>
  <c r="G95" i="27"/>
  <c r="G29" i="27" l="1"/>
  <c r="G96" i="27"/>
  <c r="G97" i="27" s="1"/>
  <c r="G98" i="27" s="1"/>
  <c r="G30" i="27" l="1"/>
  <c r="G103" i="27"/>
  <c r="G104" i="27" s="1"/>
  <c r="G107" i="27"/>
  <c r="G108" i="27" s="1"/>
  <c r="G109" i="27" s="1"/>
  <c r="G110" i="27" s="1"/>
  <c r="G111" i="27" s="1"/>
  <c r="G112" i="27" s="1"/>
  <c r="G113" i="27" s="1"/>
  <c r="G114" i="27" s="1"/>
  <c r="G115" i="27" s="1"/>
  <c r="G116" i="27" s="1"/>
  <c r="G105" i="27"/>
  <c r="G117" i="27"/>
  <c r="G118" i="27" s="1"/>
  <c r="G119" i="27" s="1"/>
  <c r="G120" i="27" s="1"/>
  <c r="G121" i="27" s="1"/>
  <c r="G122" i="27" s="1"/>
  <c r="G123" i="27" s="1"/>
  <c r="G106" i="27"/>
  <c r="G128" i="27"/>
  <c r="G31" i="27" l="1"/>
  <c r="G32" i="27" s="1"/>
  <c r="G33" i="27" s="1"/>
  <c r="G34" i="27" s="1"/>
  <c r="G35" i="27" s="1"/>
  <c r="G36" i="27" s="1"/>
  <c r="G99" i="27"/>
  <c r="G43" i="27"/>
  <c r="G46" i="27" s="1"/>
  <c r="G48" i="27" s="1"/>
  <c r="G126" i="27"/>
  <c r="G127" i="27" s="1"/>
  <c r="G124" i="27"/>
  <c r="G125" i="27" s="1"/>
  <c r="G56" i="27" l="1"/>
  <c r="G57" i="27" s="1"/>
  <c r="G49" i="27"/>
  <c r="A2" i="28"/>
  <c r="G52" i="27" l="1"/>
  <c r="G53" i="27" s="1"/>
  <c r="G50" i="27"/>
  <c r="G51" i="27" s="1"/>
  <c r="G87" i="27"/>
  <c r="G62" i="27"/>
  <c r="G63" i="27" s="1"/>
  <c r="G64" i="27" s="1"/>
  <c r="G65" i="27" s="1"/>
  <c r="G102" i="27"/>
  <c r="A10" i="28"/>
  <c r="G54" i="27" l="1"/>
  <c r="G55" i="27" s="1"/>
  <c r="G100" i="27"/>
  <c r="A11" i="28"/>
  <c r="Y10" i="28"/>
  <c r="AD10" i="28"/>
  <c r="Z10" i="28"/>
  <c r="N10" i="28"/>
  <c r="I10" i="28"/>
  <c r="B10" i="28"/>
  <c r="Q10" i="28"/>
  <c r="AF10" i="28"/>
  <c r="AB10" i="28"/>
  <c r="M10" i="28"/>
  <c r="T10" i="28"/>
  <c r="L10" i="28"/>
  <c r="V10" i="28"/>
  <c r="P10" i="28"/>
  <c r="K10" i="28"/>
  <c r="G10" i="28"/>
  <c r="H10" i="28"/>
  <c r="C10" i="28"/>
  <c r="D10" i="28"/>
  <c r="J10" i="28"/>
  <c r="O10" i="28"/>
  <c r="AI10" i="28"/>
  <c r="AK10" i="28"/>
  <c r="W10" i="28"/>
  <c r="AE10" i="28"/>
  <c r="AJ10" i="28"/>
  <c r="U10" i="28"/>
  <c r="AL10" i="28"/>
  <c r="AH10" i="28"/>
  <c r="R10" i="28"/>
  <c r="F10" i="28"/>
  <c r="AC10" i="28"/>
  <c r="S10" i="28"/>
  <c r="E10" i="28"/>
  <c r="AG10" i="28"/>
  <c r="AA10" i="28"/>
  <c r="A12" i="28" l="1"/>
  <c r="G12" i="28" s="1"/>
  <c r="C11" i="28"/>
  <c r="G11" i="28"/>
  <c r="I11" i="28"/>
  <c r="K11" i="28"/>
  <c r="M11" i="28"/>
  <c r="O11" i="28"/>
  <c r="Q11" i="28"/>
  <c r="S11" i="28"/>
  <c r="U11" i="28"/>
  <c r="W11" i="28"/>
  <c r="Y11" i="28"/>
  <c r="AA11" i="28"/>
  <c r="AC11" i="28"/>
  <c r="AE11" i="28"/>
  <c r="AG11" i="28"/>
  <c r="AI11" i="28"/>
  <c r="AK11" i="28"/>
  <c r="H11" i="28"/>
  <c r="L11" i="28"/>
  <c r="P11" i="28"/>
  <c r="T11" i="28"/>
  <c r="X11" i="28"/>
  <c r="AB11" i="28"/>
  <c r="AF11" i="28"/>
  <c r="AJ11" i="28"/>
  <c r="F11" i="28"/>
  <c r="N11" i="28"/>
  <c r="V11" i="28"/>
  <c r="AD11" i="28"/>
  <c r="AL11" i="28"/>
  <c r="R11" i="28"/>
  <c r="AH11" i="28"/>
  <c r="J11" i="28"/>
  <c r="Z11" i="28"/>
  <c r="G59" i="27"/>
  <c r="B11" i="28"/>
  <c r="E11" i="28"/>
  <c r="D11" i="28"/>
  <c r="AM10" i="28"/>
  <c r="E12" i="28"/>
  <c r="B12" i="28"/>
  <c r="H12" i="28" l="1"/>
  <c r="AH12" i="28"/>
  <c r="AK12" i="28"/>
  <c r="U12" i="28"/>
  <c r="P12" i="28"/>
  <c r="Z12" i="28"/>
  <c r="AG12" i="28"/>
  <c r="Q12" i="28"/>
  <c r="AB12" i="28"/>
  <c r="R12" i="28"/>
  <c r="AC12" i="28"/>
  <c r="M12" i="28"/>
  <c r="L12" i="28"/>
  <c r="J12" i="28"/>
  <c r="Y12" i="28"/>
  <c r="I12" i="28"/>
  <c r="A13" i="28"/>
  <c r="G13" i="28" s="1"/>
  <c r="C12" i="28"/>
  <c r="D12" i="28"/>
  <c r="X12" i="28"/>
  <c r="AF12" i="28"/>
  <c r="AJ12" i="28"/>
  <c r="T12" i="28"/>
  <c r="AL12" i="28"/>
  <c r="AD12" i="28"/>
  <c r="V12" i="28"/>
  <c r="N12" i="28"/>
  <c r="F12" i="28"/>
  <c r="AI12" i="28"/>
  <c r="AE12" i="28"/>
  <c r="AA12" i="28"/>
  <c r="W12" i="28"/>
  <c r="S12" i="28"/>
  <c r="O12" i="28"/>
  <c r="K12" i="28"/>
  <c r="M13" i="28"/>
  <c r="U13" i="28"/>
  <c r="Y13" i="28"/>
  <c r="AK13" i="28"/>
  <c r="P13" i="28"/>
  <c r="X13" i="28"/>
  <c r="AF13" i="28"/>
  <c r="N13" i="28"/>
  <c r="AD13" i="28"/>
  <c r="F13" i="28"/>
  <c r="R13" i="28"/>
  <c r="AM11" i="28"/>
  <c r="G72" i="27"/>
  <c r="G60" i="27"/>
  <c r="G61" i="27" s="1"/>
  <c r="G101" i="27"/>
  <c r="A14" i="28"/>
  <c r="B13" i="28"/>
  <c r="I13" i="28" l="1"/>
  <c r="AG13" i="28"/>
  <c r="Q13" i="28"/>
  <c r="AC13" i="28"/>
  <c r="L13" i="28"/>
  <c r="AM12" i="28"/>
  <c r="D13" i="28"/>
  <c r="C13" i="28"/>
  <c r="E13" i="28"/>
  <c r="AH13" i="28"/>
  <c r="Z13" i="28"/>
  <c r="AL13" i="28"/>
  <c r="V13" i="28"/>
  <c r="AJ13" i="28"/>
  <c r="AB13" i="28"/>
  <c r="T13" i="28"/>
  <c r="J13" i="28"/>
  <c r="AI13" i="28"/>
  <c r="AE13" i="28"/>
  <c r="AA13" i="28"/>
  <c r="W13" i="28"/>
  <c r="S13" i="28"/>
  <c r="O13" i="28"/>
  <c r="H13" i="28"/>
  <c r="K13" i="28"/>
  <c r="G14" i="28"/>
  <c r="I14" i="28"/>
  <c r="K14" i="28"/>
  <c r="M14" i="28"/>
  <c r="O14" i="28"/>
  <c r="Q14" i="28"/>
  <c r="S14" i="28"/>
  <c r="U14" i="28"/>
  <c r="W14" i="28"/>
  <c r="Y14" i="28"/>
  <c r="AA14" i="28"/>
  <c r="AC14" i="28"/>
  <c r="AE14" i="28"/>
  <c r="AG14" i="28"/>
  <c r="AI14" i="28"/>
  <c r="AK14" i="28"/>
  <c r="F14" i="28"/>
  <c r="J14" i="28"/>
  <c r="N14" i="28"/>
  <c r="R14" i="28"/>
  <c r="V14" i="28"/>
  <c r="Z14" i="28"/>
  <c r="AD14" i="28"/>
  <c r="AH14" i="28"/>
  <c r="AL14" i="28"/>
  <c r="L14" i="28"/>
  <c r="T14" i="28"/>
  <c r="AB14" i="28"/>
  <c r="AJ14" i="28"/>
  <c r="H14" i="28"/>
  <c r="X14" i="28"/>
  <c r="P14" i="28"/>
  <c r="AF14" i="28"/>
  <c r="G84" i="27"/>
  <c r="G73" i="27"/>
  <c r="G74" i="27" s="1"/>
  <c r="A15" i="28"/>
  <c r="D14" i="28"/>
  <c r="C14" i="28"/>
  <c r="E14" i="28"/>
  <c r="B14" i="28"/>
  <c r="AM13" i="28" l="1"/>
  <c r="G15" i="28"/>
  <c r="I15" i="28"/>
  <c r="K15" i="28"/>
  <c r="M15" i="28"/>
  <c r="O15" i="28"/>
  <c r="Q15" i="28"/>
  <c r="S15" i="28"/>
  <c r="U15" i="28"/>
  <c r="W15" i="28"/>
  <c r="Y15" i="28"/>
  <c r="AA15" i="28"/>
  <c r="AC15" i="28"/>
  <c r="AE15" i="28"/>
  <c r="H15" i="28"/>
  <c r="L15" i="28"/>
  <c r="P15" i="28"/>
  <c r="T15" i="28"/>
  <c r="X15" i="28"/>
  <c r="AB15" i="28"/>
  <c r="AF15" i="28"/>
  <c r="AH15" i="28"/>
  <c r="AJ15" i="28"/>
  <c r="AL15" i="28"/>
  <c r="J15" i="28"/>
  <c r="R15" i="28"/>
  <c r="Z15" i="28"/>
  <c r="AG15" i="28"/>
  <c r="AK15" i="28"/>
  <c r="F15" i="28"/>
  <c r="V15" i="28"/>
  <c r="AI15" i="28"/>
  <c r="N15" i="28"/>
  <c r="AD15" i="28"/>
  <c r="AM14" i="28"/>
  <c r="A1" i="49"/>
  <c r="A10" i="49" s="1"/>
  <c r="D10" i="49" s="1"/>
  <c r="C15" i="28"/>
  <c r="B15" i="28"/>
  <c r="A16" i="28"/>
  <c r="E15" i="28"/>
  <c r="D15" i="28"/>
  <c r="F16" i="28" l="1"/>
  <c r="H16" i="28"/>
  <c r="J16" i="28"/>
  <c r="L16" i="28"/>
  <c r="N16" i="28"/>
  <c r="P16" i="28"/>
  <c r="R16" i="28"/>
  <c r="T16" i="28"/>
  <c r="V16" i="28"/>
  <c r="X16" i="28"/>
  <c r="Z16" i="28"/>
  <c r="AB16" i="28"/>
  <c r="AD16" i="28"/>
  <c r="AF16" i="28"/>
  <c r="AH16" i="28"/>
  <c r="AJ16" i="28"/>
  <c r="AL16" i="28"/>
  <c r="G16" i="28"/>
  <c r="K16" i="28"/>
  <c r="O16" i="28"/>
  <c r="S16" i="28"/>
  <c r="W16" i="28"/>
  <c r="AA16" i="28"/>
  <c r="AE16" i="28"/>
  <c r="AI16" i="28"/>
  <c r="I16" i="28"/>
  <c r="Q16" i="28"/>
  <c r="Y16" i="28"/>
  <c r="AG16" i="28"/>
  <c r="U16" i="28"/>
  <c r="AK16" i="28"/>
  <c r="M16" i="28"/>
  <c r="AC16" i="28"/>
  <c r="AM15" i="28"/>
  <c r="E10" i="49"/>
  <c r="C10" i="49"/>
  <c r="A11" i="49"/>
  <c r="E11" i="49" s="1"/>
  <c r="B10" i="49"/>
  <c r="E16" i="28"/>
  <c r="C16" i="28"/>
  <c r="A17" i="28"/>
  <c r="D16" i="28"/>
  <c r="B16" i="28"/>
  <c r="C11" i="49" l="1"/>
  <c r="AM16" i="28"/>
  <c r="F17" i="28"/>
  <c r="H17" i="28"/>
  <c r="J17" i="28"/>
  <c r="L17" i="28"/>
  <c r="N17" i="28"/>
  <c r="P17" i="28"/>
  <c r="R17" i="28"/>
  <c r="T17" i="28"/>
  <c r="V17" i="28"/>
  <c r="X17" i="28"/>
  <c r="Z17" i="28"/>
  <c r="AB17" i="28"/>
  <c r="AD17" i="28"/>
  <c r="AF17" i="28"/>
  <c r="AH17" i="28"/>
  <c r="AJ17" i="28"/>
  <c r="AL17" i="28"/>
  <c r="I17" i="28"/>
  <c r="M17" i="28"/>
  <c r="Q17" i="28"/>
  <c r="U17" i="28"/>
  <c r="Y17" i="28"/>
  <c r="AC17" i="28"/>
  <c r="AG17" i="28"/>
  <c r="AK17" i="28"/>
  <c r="G17" i="28"/>
  <c r="O17" i="28"/>
  <c r="W17" i="28"/>
  <c r="AE17" i="28"/>
  <c r="S17" i="28"/>
  <c r="AI17" i="28"/>
  <c r="K17" i="28"/>
  <c r="AA17" i="28"/>
  <c r="A12" i="49"/>
  <c r="A13" i="49" s="1"/>
  <c r="E13" i="49" s="1"/>
  <c r="D11" i="49"/>
  <c r="B11" i="49"/>
  <c r="E17" i="28"/>
  <c r="C17" i="28"/>
  <c r="D17" i="28"/>
  <c r="B17" i="28"/>
  <c r="A18" i="28"/>
  <c r="F18" i="28" l="1"/>
  <c r="H18" i="28"/>
  <c r="J18" i="28"/>
  <c r="L18" i="28"/>
  <c r="N18" i="28"/>
  <c r="P18" i="28"/>
  <c r="R18" i="28"/>
  <c r="T18" i="28"/>
  <c r="V18" i="28"/>
  <c r="X18" i="28"/>
  <c r="Z18" i="28"/>
  <c r="AB18" i="28"/>
  <c r="AD18" i="28"/>
  <c r="AF18" i="28"/>
  <c r="AH18" i="28"/>
  <c r="AJ18" i="28"/>
  <c r="AL18" i="28"/>
  <c r="G18" i="28"/>
  <c r="K18" i="28"/>
  <c r="O18" i="28"/>
  <c r="S18" i="28"/>
  <c r="W18" i="28"/>
  <c r="AA18" i="28"/>
  <c r="AE18" i="28"/>
  <c r="AI18" i="28"/>
  <c r="M18" i="28"/>
  <c r="U18" i="28"/>
  <c r="AC18" i="28"/>
  <c r="AK18" i="28"/>
  <c r="Q18" i="28"/>
  <c r="AG18" i="28"/>
  <c r="I18" i="28"/>
  <c r="Y18" i="28"/>
  <c r="AM17" i="28"/>
  <c r="C13" i="49"/>
  <c r="E12" i="49"/>
  <c r="B13" i="49"/>
  <c r="D12" i="49"/>
  <c r="D13" i="49"/>
  <c r="A14" i="49"/>
  <c r="A15" i="49" s="1"/>
  <c r="A16" i="49" s="1"/>
  <c r="C16" i="49" s="1"/>
  <c r="B12" i="49"/>
  <c r="C12" i="49"/>
  <c r="E18" i="28"/>
  <c r="B18" i="28"/>
  <c r="C18" i="28"/>
  <c r="D18" i="28"/>
  <c r="A19" i="28"/>
  <c r="F19" i="28" l="1"/>
  <c r="H19" i="28"/>
  <c r="J19" i="28"/>
  <c r="L19" i="28"/>
  <c r="N19" i="28"/>
  <c r="P19" i="28"/>
  <c r="R19" i="28"/>
  <c r="T19" i="28"/>
  <c r="V19" i="28"/>
  <c r="X19" i="28"/>
  <c r="Z19" i="28"/>
  <c r="AB19" i="28"/>
  <c r="AD19" i="28"/>
  <c r="AF19" i="28"/>
  <c r="AH19" i="28"/>
  <c r="AJ19" i="28"/>
  <c r="AL19" i="28"/>
  <c r="I19" i="28"/>
  <c r="M19" i="28"/>
  <c r="Q19" i="28"/>
  <c r="U19" i="28"/>
  <c r="Y19" i="28"/>
  <c r="AC19" i="28"/>
  <c r="AG19" i="28"/>
  <c r="AK19" i="28"/>
  <c r="K19" i="28"/>
  <c r="S19" i="28"/>
  <c r="AA19" i="28"/>
  <c r="AI19" i="28"/>
  <c r="O19" i="28"/>
  <c r="AE19" i="28"/>
  <c r="G19" i="28"/>
  <c r="W19" i="28"/>
  <c r="AM18" i="28"/>
  <c r="D15" i="49"/>
  <c r="B14" i="49"/>
  <c r="C15" i="49"/>
  <c r="D14" i="49"/>
  <c r="B16" i="49"/>
  <c r="D16" i="49"/>
  <c r="E15" i="49"/>
  <c r="B15" i="49"/>
  <c r="A17" i="49"/>
  <c r="E17" i="49" s="1"/>
  <c r="E14" i="49"/>
  <c r="C14" i="49"/>
  <c r="E16" i="49"/>
  <c r="A18" i="49"/>
  <c r="D19" i="28"/>
  <c r="E19" i="28"/>
  <c r="A20" i="28"/>
  <c r="C19" i="28"/>
  <c r="B19" i="28"/>
  <c r="F20" i="28" l="1"/>
  <c r="H20" i="28"/>
  <c r="J20" i="28"/>
  <c r="L20" i="28"/>
  <c r="N20" i="28"/>
  <c r="P20" i="28"/>
  <c r="R20" i="28"/>
  <c r="T20" i="28"/>
  <c r="V20" i="28"/>
  <c r="X20" i="28"/>
  <c r="Z20" i="28"/>
  <c r="AB20" i="28"/>
  <c r="AD20" i="28"/>
  <c r="AF20" i="28"/>
  <c r="AH20" i="28"/>
  <c r="AJ20" i="28"/>
  <c r="AL20" i="28"/>
  <c r="G20" i="28"/>
  <c r="K20" i="28"/>
  <c r="O20" i="28"/>
  <c r="S20" i="28"/>
  <c r="W20" i="28"/>
  <c r="AA20" i="28"/>
  <c r="AE20" i="28"/>
  <c r="AI20" i="28"/>
  <c r="I20" i="28"/>
  <c r="Q20" i="28"/>
  <c r="Y20" i="28"/>
  <c r="AG20" i="28"/>
  <c r="M20" i="28"/>
  <c r="AC20" i="28"/>
  <c r="AK20" i="28"/>
  <c r="U20" i="28"/>
  <c r="AM19" i="28"/>
  <c r="B17" i="49"/>
  <c r="C17" i="49"/>
  <c r="D17" i="49"/>
  <c r="B18" i="49"/>
  <c r="E18" i="49"/>
  <c r="C18" i="49"/>
  <c r="D18" i="49"/>
  <c r="A19" i="49"/>
  <c r="E20" i="28"/>
  <c r="C20" i="28"/>
  <c r="D20" i="28"/>
  <c r="B20" i="28"/>
  <c r="A21" i="28"/>
  <c r="F21" i="28" l="1"/>
  <c r="H21" i="28"/>
  <c r="J21" i="28"/>
  <c r="L21" i="28"/>
  <c r="N21" i="28"/>
  <c r="P21" i="28"/>
  <c r="R21" i="28"/>
  <c r="T21" i="28"/>
  <c r="V21" i="28"/>
  <c r="X21" i="28"/>
  <c r="Z21" i="28"/>
  <c r="AB21" i="28"/>
  <c r="AD21" i="28"/>
  <c r="AF21" i="28"/>
  <c r="AH21" i="28"/>
  <c r="AJ21" i="28"/>
  <c r="AL21" i="28"/>
  <c r="I21" i="28"/>
  <c r="M21" i="28"/>
  <c r="Q21" i="28"/>
  <c r="U21" i="28"/>
  <c r="Y21" i="28"/>
  <c r="AC21" i="28"/>
  <c r="AG21" i="28"/>
  <c r="AK21" i="28"/>
  <c r="G21" i="28"/>
  <c r="O21" i="28"/>
  <c r="W21" i="28"/>
  <c r="AE21" i="28"/>
  <c r="K21" i="28"/>
  <c r="AA21" i="28"/>
  <c r="AI21" i="28"/>
  <c r="S21" i="28"/>
  <c r="AM20" i="28"/>
  <c r="A20" i="49"/>
  <c r="C19" i="49"/>
  <c r="B19" i="49"/>
  <c r="D19" i="49"/>
  <c r="E19" i="49"/>
  <c r="A22" i="28"/>
  <c r="C21" i="28"/>
  <c r="D21" i="28"/>
  <c r="E21" i="28"/>
  <c r="B21" i="28"/>
  <c r="A23" i="28" l="1"/>
  <c r="D23" i="28" s="1"/>
  <c r="F22" i="28"/>
  <c r="H22" i="28"/>
  <c r="J22" i="28"/>
  <c r="L22" i="28"/>
  <c r="N22" i="28"/>
  <c r="P22" i="28"/>
  <c r="R22" i="28"/>
  <c r="T22" i="28"/>
  <c r="V22" i="28"/>
  <c r="X22" i="28"/>
  <c r="Z22" i="28"/>
  <c r="AB22" i="28"/>
  <c r="AD22" i="28"/>
  <c r="AF22" i="28"/>
  <c r="AH22" i="28"/>
  <c r="AJ22" i="28"/>
  <c r="AL22" i="28"/>
  <c r="G22" i="28"/>
  <c r="K22" i="28"/>
  <c r="O22" i="28"/>
  <c r="S22" i="28"/>
  <c r="W22" i="28"/>
  <c r="AA22" i="28"/>
  <c r="AE22" i="28"/>
  <c r="AI22" i="28"/>
  <c r="M22" i="28"/>
  <c r="U22" i="28"/>
  <c r="AC22" i="28"/>
  <c r="AK22" i="28"/>
  <c r="I22" i="28"/>
  <c r="Y22" i="28"/>
  <c r="AG22" i="28"/>
  <c r="Q22" i="28"/>
  <c r="AM21" i="28"/>
  <c r="B20" i="49"/>
  <c r="E20" i="49"/>
  <c r="D20" i="49"/>
  <c r="C20" i="49"/>
  <c r="A21" i="49"/>
  <c r="A22" i="49" s="1"/>
  <c r="C22" i="28"/>
  <c r="E22" i="28"/>
  <c r="D22" i="28"/>
  <c r="B22" i="28"/>
  <c r="E23" i="28"/>
  <c r="B23" i="28" l="1"/>
  <c r="C23" i="28"/>
  <c r="AM22" i="28"/>
  <c r="A24" i="28"/>
  <c r="F23" i="28"/>
  <c r="H23" i="28"/>
  <c r="J23" i="28"/>
  <c r="L23" i="28"/>
  <c r="I23" i="28"/>
  <c r="M23" i="28"/>
  <c r="O23" i="28"/>
  <c r="Q23" i="28"/>
  <c r="S23" i="28"/>
  <c r="U23" i="28"/>
  <c r="W23" i="28"/>
  <c r="Y23" i="28"/>
  <c r="AA23" i="28"/>
  <c r="AC23" i="28"/>
  <c r="AE23" i="28"/>
  <c r="AG23" i="28"/>
  <c r="AI23" i="28"/>
  <c r="AK23" i="28"/>
  <c r="K23" i="28"/>
  <c r="P23" i="28"/>
  <c r="T23" i="28"/>
  <c r="X23" i="28"/>
  <c r="AB23" i="28"/>
  <c r="AF23" i="28"/>
  <c r="AJ23" i="28"/>
  <c r="G23" i="28"/>
  <c r="R23" i="28"/>
  <c r="Z23" i="28"/>
  <c r="AH23" i="28"/>
  <c r="V23" i="28"/>
  <c r="AL23" i="28"/>
  <c r="N23" i="28"/>
  <c r="AD23" i="28"/>
  <c r="A23" i="49"/>
  <c r="C22" i="49"/>
  <c r="D22" i="49"/>
  <c r="E22" i="49"/>
  <c r="B22" i="49"/>
  <c r="D21" i="49"/>
  <c r="E21" i="49"/>
  <c r="C21" i="49"/>
  <c r="B21" i="49"/>
  <c r="G24" i="28" l="1"/>
  <c r="I24" i="28"/>
  <c r="K24" i="28"/>
  <c r="M24" i="28"/>
  <c r="O24" i="28"/>
  <c r="Q24" i="28"/>
  <c r="S24" i="28"/>
  <c r="U24" i="28"/>
  <c r="W24" i="28"/>
  <c r="Y24" i="28"/>
  <c r="AA24" i="28"/>
  <c r="AC24" i="28"/>
  <c r="AE24" i="28"/>
  <c r="AG24" i="28"/>
  <c r="AI24" i="28"/>
  <c r="AK24" i="28"/>
  <c r="F24" i="28"/>
  <c r="J24" i="28"/>
  <c r="N24" i="28"/>
  <c r="R24" i="28"/>
  <c r="V24" i="28"/>
  <c r="Z24" i="28"/>
  <c r="AD24" i="28"/>
  <c r="AH24" i="28"/>
  <c r="AL24" i="28"/>
  <c r="H24" i="28"/>
  <c r="P24" i="28"/>
  <c r="X24" i="28"/>
  <c r="AF24" i="28"/>
  <c r="T24" i="28"/>
  <c r="AJ24" i="28"/>
  <c r="L24" i="28"/>
  <c r="AB24" i="28"/>
  <c r="A25" i="28"/>
  <c r="E24" i="28"/>
  <c r="B24" i="28"/>
  <c r="D24" i="28"/>
  <c r="C24" i="28"/>
  <c r="AM23" i="28"/>
  <c r="A24" i="49"/>
  <c r="C23" i="49"/>
  <c r="E23" i="49"/>
  <c r="D23" i="49"/>
  <c r="B23" i="49"/>
  <c r="B25" i="28" l="1"/>
  <c r="G25" i="28"/>
  <c r="I25" i="28"/>
  <c r="K25" i="28"/>
  <c r="M25" i="28"/>
  <c r="O25" i="28"/>
  <c r="Q25" i="28"/>
  <c r="S25" i="28"/>
  <c r="U25" i="28"/>
  <c r="W25" i="28"/>
  <c r="Y25" i="28"/>
  <c r="AA25" i="28"/>
  <c r="AC25" i="28"/>
  <c r="AE25" i="28"/>
  <c r="AG25" i="28"/>
  <c r="AI25" i="28"/>
  <c r="AK25" i="28"/>
  <c r="H25" i="28"/>
  <c r="L25" i="28"/>
  <c r="P25" i="28"/>
  <c r="T25" i="28"/>
  <c r="X25" i="28"/>
  <c r="AB25" i="28"/>
  <c r="AF25" i="28"/>
  <c r="AJ25" i="28"/>
  <c r="F25" i="28"/>
  <c r="N25" i="28"/>
  <c r="V25" i="28"/>
  <c r="AD25" i="28"/>
  <c r="AL25" i="28"/>
  <c r="R25" i="28"/>
  <c r="AH25" i="28"/>
  <c r="J25" i="28"/>
  <c r="Z25" i="28"/>
  <c r="D25" i="28"/>
  <c r="C25" i="28"/>
  <c r="A26" i="28"/>
  <c r="E25" i="28"/>
  <c r="AM24" i="28"/>
  <c r="D24" i="49"/>
  <c r="C24" i="49"/>
  <c r="B24" i="49"/>
  <c r="E24" i="49"/>
  <c r="A25" i="49"/>
  <c r="AM25" i="28" l="1"/>
  <c r="G26" i="28"/>
  <c r="I26" i="28"/>
  <c r="K26" i="28"/>
  <c r="M26" i="28"/>
  <c r="O26" i="28"/>
  <c r="Q26" i="28"/>
  <c r="S26" i="28"/>
  <c r="U26" i="28"/>
  <c r="W26" i="28"/>
  <c r="Y26" i="28"/>
  <c r="AA26" i="28"/>
  <c r="AC26" i="28"/>
  <c r="AE26" i="28"/>
  <c r="AG26" i="28"/>
  <c r="AI26" i="28"/>
  <c r="AK26" i="28"/>
  <c r="F26" i="28"/>
  <c r="J26" i="28"/>
  <c r="N26" i="28"/>
  <c r="R26" i="28"/>
  <c r="V26" i="28"/>
  <c r="Z26" i="28"/>
  <c r="AD26" i="28"/>
  <c r="AH26" i="28"/>
  <c r="AL26" i="28"/>
  <c r="L26" i="28"/>
  <c r="T26" i="28"/>
  <c r="AB26" i="28"/>
  <c r="AJ26" i="28"/>
  <c r="P26" i="28"/>
  <c r="AF26" i="28"/>
  <c r="H26" i="28"/>
  <c r="X26" i="28"/>
  <c r="D26" i="28"/>
  <c r="B26" i="28"/>
  <c r="A27" i="28"/>
  <c r="C26" i="28"/>
  <c r="E26" i="28"/>
  <c r="E25" i="49"/>
  <c r="B25" i="49"/>
  <c r="C25" i="49"/>
  <c r="D25" i="49"/>
  <c r="A26" i="49"/>
  <c r="A27" i="49" s="1"/>
  <c r="AM26" i="28" l="1"/>
  <c r="G27" i="28"/>
  <c r="I27" i="28"/>
  <c r="K27" i="28"/>
  <c r="M27" i="28"/>
  <c r="O27" i="28"/>
  <c r="Q27" i="28"/>
  <c r="S27" i="28"/>
  <c r="U27" i="28"/>
  <c r="W27" i="28"/>
  <c r="Y27" i="28"/>
  <c r="AA27" i="28"/>
  <c r="AC27" i="28"/>
  <c r="AE27" i="28"/>
  <c r="AG27" i="28"/>
  <c r="AI27" i="28"/>
  <c r="AK27" i="28"/>
  <c r="H27" i="28"/>
  <c r="L27" i="28"/>
  <c r="P27" i="28"/>
  <c r="T27" i="28"/>
  <c r="X27" i="28"/>
  <c r="AB27" i="28"/>
  <c r="AF27" i="28"/>
  <c r="AJ27" i="28"/>
  <c r="J27" i="28"/>
  <c r="R27" i="28"/>
  <c r="Z27" i="28"/>
  <c r="AH27" i="28"/>
  <c r="N27" i="28"/>
  <c r="AD27" i="28"/>
  <c r="F27" i="28"/>
  <c r="AL27" i="28"/>
  <c r="V27" i="28"/>
  <c r="D27" i="28"/>
  <c r="E27" i="28"/>
  <c r="B27" i="28"/>
  <c r="A28" i="28"/>
  <c r="C27" i="28"/>
  <c r="A28" i="49"/>
  <c r="E27" i="49"/>
  <c r="D27" i="49"/>
  <c r="C27" i="49"/>
  <c r="B27" i="49"/>
  <c r="B26" i="49"/>
  <c r="E26" i="49"/>
  <c r="D26" i="49"/>
  <c r="C26" i="49"/>
  <c r="G28" i="28" l="1"/>
  <c r="I28" i="28"/>
  <c r="K28" i="28"/>
  <c r="M28" i="28"/>
  <c r="F28" i="28"/>
  <c r="J28" i="28"/>
  <c r="N28" i="28"/>
  <c r="P28" i="28"/>
  <c r="R28" i="28"/>
  <c r="T28" i="28"/>
  <c r="V28" i="28"/>
  <c r="X28" i="28"/>
  <c r="Z28" i="28"/>
  <c r="AB28" i="28"/>
  <c r="AD28" i="28"/>
  <c r="AF28" i="28"/>
  <c r="AH28" i="28"/>
  <c r="AJ28" i="28"/>
  <c r="AL28" i="28"/>
  <c r="H28" i="28"/>
  <c r="O28" i="28"/>
  <c r="S28" i="28"/>
  <c r="W28" i="28"/>
  <c r="AA28" i="28"/>
  <c r="AE28" i="28"/>
  <c r="AI28" i="28"/>
  <c r="L28" i="28"/>
  <c r="U28" i="28"/>
  <c r="AC28" i="28"/>
  <c r="AK28" i="28"/>
  <c r="Y28" i="28"/>
  <c r="Q28" i="28"/>
  <c r="AG28" i="28"/>
  <c r="B28" i="28"/>
  <c r="C28" i="28"/>
  <c r="A29" i="28"/>
  <c r="D28" i="28"/>
  <c r="E28" i="28"/>
  <c r="AM27" i="28"/>
  <c r="E28" i="49"/>
  <c r="D28" i="49"/>
  <c r="C28" i="49"/>
  <c r="B28" i="49"/>
  <c r="A29" i="49"/>
  <c r="F29" i="28" l="1"/>
  <c r="H29" i="28"/>
  <c r="J29" i="28"/>
  <c r="L29" i="28"/>
  <c r="N29" i="28"/>
  <c r="P29" i="28"/>
  <c r="R29" i="28"/>
  <c r="T29" i="28"/>
  <c r="V29" i="28"/>
  <c r="X29" i="28"/>
  <c r="Z29" i="28"/>
  <c r="AB29" i="28"/>
  <c r="AD29" i="28"/>
  <c r="AF29" i="28"/>
  <c r="AH29" i="28"/>
  <c r="AJ29" i="28"/>
  <c r="AL29" i="28"/>
  <c r="I29" i="28"/>
  <c r="M29" i="28"/>
  <c r="Q29" i="28"/>
  <c r="U29" i="28"/>
  <c r="Y29" i="28"/>
  <c r="AC29" i="28"/>
  <c r="AG29" i="28"/>
  <c r="AK29" i="28"/>
  <c r="K29" i="28"/>
  <c r="S29" i="28"/>
  <c r="AA29" i="28"/>
  <c r="AI29" i="28"/>
  <c r="G29" i="28"/>
  <c r="W29" i="28"/>
  <c r="O29" i="28"/>
  <c r="AE29" i="28"/>
  <c r="C29" i="28"/>
  <c r="E29" i="28"/>
  <c r="B29" i="28"/>
  <c r="D29" i="28"/>
  <c r="A30" i="28"/>
  <c r="AM28" i="28"/>
  <c r="D29" i="49"/>
  <c r="C29" i="49"/>
  <c r="B29" i="49"/>
  <c r="E29" i="49"/>
  <c r="A30" i="49"/>
  <c r="F30" i="28" l="1"/>
  <c r="H30" i="28"/>
  <c r="J30" i="28"/>
  <c r="L30" i="28"/>
  <c r="N30" i="28"/>
  <c r="P30" i="28"/>
  <c r="R30" i="28"/>
  <c r="T30" i="28"/>
  <c r="V30" i="28"/>
  <c r="X30" i="28"/>
  <c r="Z30" i="28"/>
  <c r="AB30" i="28"/>
  <c r="AD30" i="28"/>
  <c r="AF30" i="28"/>
  <c r="AH30" i="28"/>
  <c r="AJ30" i="28"/>
  <c r="AL30" i="28"/>
  <c r="G30" i="28"/>
  <c r="K30" i="28"/>
  <c r="O30" i="28"/>
  <c r="S30" i="28"/>
  <c r="W30" i="28"/>
  <c r="AA30" i="28"/>
  <c r="AE30" i="28"/>
  <c r="AI30" i="28"/>
  <c r="I30" i="28"/>
  <c r="Q30" i="28"/>
  <c r="Y30" i="28"/>
  <c r="AG30" i="28"/>
  <c r="U30" i="28"/>
  <c r="AK30" i="28"/>
  <c r="M30" i="28"/>
  <c r="AC30" i="28"/>
  <c r="B30" i="28"/>
  <c r="E30" i="28"/>
  <c r="C30" i="28"/>
  <c r="D30" i="28"/>
  <c r="A31" i="28"/>
  <c r="AM29" i="28"/>
  <c r="A31" i="49"/>
  <c r="C30" i="49"/>
  <c r="D30" i="49"/>
  <c r="E30" i="49"/>
  <c r="B30" i="49"/>
  <c r="F31" i="28" l="1"/>
  <c r="H31" i="28"/>
  <c r="J31" i="28"/>
  <c r="L31" i="28"/>
  <c r="N31" i="28"/>
  <c r="P31" i="28"/>
  <c r="R31" i="28"/>
  <c r="T31" i="28"/>
  <c r="V31" i="28"/>
  <c r="X31" i="28"/>
  <c r="Z31" i="28"/>
  <c r="AB31" i="28"/>
  <c r="AD31" i="28"/>
  <c r="AF31" i="28"/>
  <c r="AH31" i="28"/>
  <c r="AJ31" i="28"/>
  <c r="AL31" i="28"/>
  <c r="I31" i="28"/>
  <c r="M31" i="28"/>
  <c r="Q31" i="28"/>
  <c r="U31" i="28"/>
  <c r="Y31" i="28"/>
  <c r="AC31" i="28"/>
  <c r="AG31" i="28"/>
  <c r="AK31" i="28"/>
  <c r="G31" i="28"/>
  <c r="O31" i="28"/>
  <c r="W31" i="28"/>
  <c r="AE31" i="28"/>
  <c r="S31" i="28"/>
  <c r="AI31" i="28"/>
  <c r="K31" i="28"/>
  <c r="AA31" i="28"/>
  <c r="A32" i="28"/>
  <c r="E31" i="28"/>
  <c r="B31" i="28"/>
  <c r="D31" i="28"/>
  <c r="C31" i="28"/>
  <c r="AM30" i="28"/>
  <c r="A32" i="49"/>
  <c r="D31" i="49"/>
  <c r="B31" i="49"/>
  <c r="C31" i="49"/>
  <c r="E31" i="49"/>
  <c r="F32" i="28" l="1"/>
  <c r="H32" i="28"/>
  <c r="J32" i="28"/>
  <c r="L32" i="28"/>
  <c r="N32" i="28"/>
  <c r="P32" i="28"/>
  <c r="R32" i="28"/>
  <c r="T32" i="28"/>
  <c r="V32" i="28"/>
  <c r="X32" i="28"/>
  <c r="Z32" i="28"/>
  <c r="AB32" i="28"/>
  <c r="AD32" i="28"/>
  <c r="AF32" i="28"/>
  <c r="AH32" i="28"/>
  <c r="AJ32" i="28"/>
  <c r="AL32" i="28"/>
  <c r="G32" i="28"/>
  <c r="K32" i="28"/>
  <c r="O32" i="28"/>
  <c r="S32" i="28"/>
  <c r="W32" i="28"/>
  <c r="AA32" i="28"/>
  <c r="AE32" i="28"/>
  <c r="AI32" i="28"/>
  <c r="M32" i="28"/>
  <c r="U32" i="28"/>
  <c r="AC32" i="28"/>
  <c r="AK32" i="28"/>
  <c r="Q32" i="28"/>
  <c r="AG32" i="28"/>
  <c r="I32" i="28"/>
  <c r="Y32" i="28"/>
  <c r="E32" i="28"/>
  <c r="B32" i="28"/>
  <c r="C32" i="28"/>
  <c r="A33" i="28"/>
  <c r="D32" i="28"/>
  <c r="AM31" i="28"/>
  <c r="D32" i="49"/>
  <c r="C32" i="49"/>
  <c r="E32" i="49"/>
  <c r="B32" i="49"/>
  <c r="A33" i="49"/>
  <c r="F33" i="28" l="1"/>
  <c r="H33" i="28"/>
  <c r="J33" i="28"/>
  <c r="L33" i="28"/>
  <c r="N33" i="28"/>
  <c r="P33" i="28"/>
  <c r="R33" i="28"/>
  <c r="T33" i="28"/>
  <c r="V33" i="28"/>
  <c r="X33" i="28"/>
  <c r="Z33" i="28"/>
  <c r="AB33" i="28"/>
  <c r="AD33" i="28"/>
  <c r="AF33" i="28"/>
  <c r="AH33" i="28"/>
  <c r="AJ33" i="28"/>
  <c r="AL33" i="28"/>
  <c r="I33" i="28"/>
  <c r="M33" i="28"/>
  <c r="Q33" i="28"/>
  <c r="U33" i="28"/>
  <c r="Y33" i="28"/>
  <c r="AC33" i="28"/>
  <c r="AG33" i="28"/>
  <c r="AK33" i="28"/>
  <c r="K33" i="28"/>
  <c r="S33" i="28"/>
  <c r="AA33" i="28"/>
  <c r="AI33" i="28"/>
  <c r="O33" i="28"/>
  <c r="AE33" i="28"/>
  <c r="G33" i="28"/>
  <c r="W33" i="28"/>
  <c r="D33" i="28"/>
  <c r="B33" i="28"/>
  <c r="A34" i="28"/>
  <c r="E33" i="28"/>
  <c r="C33" i="28"/>
  <c r="AM32" i="28"/>
  <c r="D33" i="49"/>
  <c r="C33" i="49"/>
  <c r="B33" i="49"/>
  <c r="E33" i="49"/>
  <c r="A34" i="49"/>
  <c r="A35" i="28" l="1"/>
  <c r="F34" i="28"/>
  <c r="H34" i="28"/>
  <c r="J34" i="28"/>
  <c r="L34" i="28"/>
  <c r="N34" i="28"/>
  <c r="P34" i="28"/>
  <c r="R34" i="28"/>
  <c r="T34" i="28"/>
  <c r="V34" i="28"/>
  <c r="X34" i="28"/>
  <c r="Z34" i="28"/>
  <c r="AB34" i="28"/>
  <c r="AD34" i="28"/>
  <c r="AF34" i="28"/>
  <c r="AH34" i="28"/>
  <c r="AJ34" i="28"/>
  <c r="AL34" i="28"/>
  <c r="G34" i="28"/>
  <c r="K34" i="28"/>
  <c r="O34" i="28"/>
  <c r="S34" i="28"/>
  <c r="W34" i="28"/>
  <c r="AA34" i="28"/>
  <c r="AE34" i="28"/>
  <c r="AI34" i="28"/>
  <c r="I34" i="28"/>
  <c r="Q34" i="28"/>
  <c r="Y34" i="28"/>
  <c r="AG34" i="28"/>
  <c r="M34" i="28"/>
  <c r="AC34" i="28"/>
  <c r="U34" i="28"/>
  <c r="AK34" i="28"/>
  <c r="C34" i="28"/>
  <c r="E34" i="28"/>
  <c r="D34" i="28"/>
  <c r="B34" i="28"/>
  <c r="AM33" i="28"/>
  <c r="B34" i="49"/>
  <c r="D34" i="49"/>
  <c r="C34" i="49"/>
  <c r="E34" i="49"/>
  <c r="A35" i="49"/>
  <c r="AM34" i="28" l="1"/>
  <c r="F35" i="28"/>
  <c r="H35" i="28"/>
  <c r="J35" i="28"/>
  <c r="L35" i="28"/>
  <c r="N35" i="28"/>
  <c r="P35" i="28"/>
  <c r="R35" i="28"/>
  <c r="T35" i="28"/>
  <c r="V35" i="28"/>
  <c r="X35" i="28"/>
  <c r="Z35" i="28"/>
  <c r="AB35" i="28"/>
  <c r="AD35" i="28"/>
  <c r="AF35" i="28"/>
  <c r="AH35" i="28"/>
  <c r="AJ35" i="28"/>
  <c r="AL35" i="28"/>
  <c r="I35" i="28"/>
  <c r="M35" i="28"/>
  <c r="Q35" i="28"/>
  <c r="U35" i="28"/>
  <c r="Y35" i="28"/>
  <c r="AC35" i="28"/>
  <c r="AG35" i="28"/>
  <c r="AK35" i="28"/>
  <c r="G35" i="28"/>
  <c r="O35" i="28"/>
  <c r="W35" i="28"/>
  <c r="AE35" i="28"/>
  <c r="K35" i="28"/>
  <c r="AA35" i="28"/>
  <c r="S35" i="28"/>
  <c r="AI35" i="28"/>
  <c r="B35" i="28"/>
  <c r="C35" i="28"/>
  <c r="D35" i="28"/>
  <c r="E35" i="28"/>
  <c r="A36" i="28"/>
  <c r="A37" i="28" s="1"/>
  <c r="A36" i="49"/>
  <c r="A37" i="49" s="1"/>
  <c r="E35" i="49"/>
  <c r="B35" i="49"/>
  <c r="D35" i="49"/>
  <c r="C35" i="49"/>
  <c r="F37" i="28" l="1"/>
  <c r="H37" i="28"/>
  <c r="J37" i="28"/>
  <c r="L37" i="28"/>
  <c r="N37" i="28"/>
  <c r="P37" i="28"/>
  <c r="R37" i="28"/>
  <c r="T37" i="28"/>
  <c r="V37" i="28"/>
  <c r="X37" i="28"/>
  <c r="Z37" i="28"/>
  <c r="AB37" i="28"/>
  <c r="AD37" i="28"/>
  <c r="AF37" i="28"/>
  <c r="AH37" i="28"/>
  <c r="AJ37" i="28"/>
  <c r="AL37" i="28"/>
  <c r="I37" i="28"/>
  <c r="M37" i="28"/>
  <c r="Q37" i="28"/>
  <c r="U37" i="28"/>
  <c r="Y37" i="28"/>
  <c r="AC37" i="28"/>
  <c r="AG37" i="28"/>
  <c r="AK37" i="28"/>
  <c r="K37" i="28"/>
  <c r="S37" i="28"/>
  <c r="AA37" i="28"/>
  <c r="AI37" i="28"/>
  <c r="G37" i="28"/>
  <c r="W37" i="28"/>
  <c r="O37" i="28"/>
  <c r="AE37" i="28"/>
  <c r="D37" i="28"/>
  <c r="E37" i="28"/>
  <c r="B37" i="28"/>
  <c r="C37" i="28"/>
  <c r="AM35" i="28"/>
  <c r="F36" i="28"/>
  <c r="H36" i="28"/>
  <c r="J36" i="28"/>
  <c r="L36" i="28"/>
  <c r="N36" i="28"/>
  <c r="P36" i="28"/>
  <c r="R36" i="28"/>
  <c r="T36" i="28"/>
  <c r="V36" i="28"/>
  <c r="X36" i="28"/>
  <c r="Z36" i="28"/>
  <c r="AB36" i="28"/>
  <c r="AD36" i="28"/>
  <c r="AF36" i="28"/>
  <c r="AH36" i="28"/>
  <c r="AJ36" i="28"/>
  <c r="AL36" i="28"/>
  <c r="G36" i="28"/>
  <c r="K36" i="28"/>
  <c r="O36" i="28"/>
  <c r="S36" i="28"/>
  <c r="W36" i="28"/>
  <c r="AA36" i="28"/>
  <c r="AE36" i="28"/>
  <c r="AI36" i="28"/>
  <c r="M36" i="28"/>
  <c r="U36" i="28"/>
  <c r="AC36" i="28"/>
  <c r="AK36" i="28"/>
  <c r="I36" i="28"/>
  <c r="Y36" i="28"/>
  <c r="Q36" i="28"/>
  <c r="AG36" i="28"/>
  <c r="C36" i="28"/>
  <c r="E36" i="28"/>
  <c r="D36" i="28"/>
  <c r="B36" i="28"/>
  <c r="A38" i="28"/>
  <c r="E36" i="49"/>
  <c r="D36" i="49"/>
  <c r="C36" i="49"/>
  <c r="B36" i="49"/>
  <c r="C37" i="49"/>
  <c r="E37" i="49"/>
  <c r="D37" i="49"/>
  <c r="B37" i="49"/>
  <c r="A38" i="49"/>
  <c r="AM36" i="28" l="1"/>
  <c r="E38" i="28"/>
  <c r="F38" i="28"/>
  <c r="H38" i="28"/>
  <c r="J38" i="28"/>
  <c r="L38" i="28"/>
  <c r="N38" i="28"/>
  <c r="P38" i="28"/>
  <c r="R38" i="28"/>
  <c r="T38" i="28"/>
  <c r="V38" i="28"/>
  <c r="X38" i="28"/>
  <c r="Z38" i="28"/>
  <c r="AB38" i="28"/>
  <c r="AD38" i="28"/>
  <c r="AF38" i="28"/>
  <c r="AH38" i="28"/>
  <c r="AJ38" i="28"/>
  <c r="AL38" i="28"/>
  <c r="G38" i="28"/>
  <c r="K38" i="28"/>
  <c r="O38" i="28"/>
  <c r="S38" i="28"/>
  <c r="W38" i="28"/>
  <c r="AA38" i="28"/>
  <c r="AE38" i="28"/>
  <c r="AI38" i="28"/>
  <c r="I38" i="28"/>
  <c r="Q38" i="28"/>
  <c r="Y38" i="28"/>
  <c r="AG38" i="28"/>
  <c r="U38" i="28"/>
  <c r="AK38" i="28"/>
  <c r="M38" i="28"/>
  <c r="AC38" i="28"/>
  <c r="D38" i="28"/>
  <c r="C38" i="28"/>
  <c r="A39" i="28"/>
  <c r="A40" i="28" s="1"/>
  <c r="B38" i="28"/>
  <c r="AM37" i="28"/>
  <c r="A39" i="49"/>
  <c r="A40" i="49" s="1"/>
  <c r="B38" i="49"/>
  <c r="E38" i="49"/>
  <c r="D38" i="49"/>
  <c r="C38" i="49"/>
  <c r="A41" i="28" l="1"/>
  <c r="A42" i="28" s="1"/>
  <c r="A43" i="28" s="1"/>
  <c r="F40" i="28"/>
  <c r="H40" i="28"/>
  <c r="J40" i="28"/>
  <c r="L40" i="28"/>
  <c r="N40" i="28"/>
  <c r="P40" i="28"/>
  <c r="R40" i="28"/>
  <c r="T40" i="28"/>
  <c r="V40" i="28"/>
  <c r="X40" i="28"/>
  <c r="Z40" i="28"/>
  <c r="AB40" i="28"/>
  <c r="AD40" i="28"/>
  <c r="AF40" i="28"/>
  <c r="AH40" i="28"/>
  <c r="AJ40" i="28"/>
  <c r="AL40" i="28"/>
  <c r="G40" i="28"/>
  <c r="K40" i="28"/>
  <c r="O40" i="28"/>
  <c r="S40" i="28"/>
  <c r="W40" i="28"/>
  <c r="AA40" i="28"/>
  <c r="AE40" i="28"/>
  <c r="AI40" i="28"/>
  <c r="M40" i="28"/>
  <c r="U40" i="28"/>
  <c r="AC40" i="28"/>
  <c r="AK40" i="28"/>
  <c r="Q40" i="28"/>
  <c r="AG40" i="28"/>
  <c r="I40" i="28"/>
  <c r="Y40" i="28"/>
  <c r="E40" i="28"/>
  <c r="C40" i="28"/>
  <c r="B40" i="28"/>
  <c r="D40" i="28"/>
  <c r="F39" i="28"/>
  <c r="H39" i="28"/>
  <c r="J39" i="28"/>
  <c r="L39" i="28"/>
  <c r="N39" i="28"/>
  <c r="P39" i="28"/>
  <c r="R39" i="28"/>
  <c r="T39" i="28"/>
  <c r="V39" i="28"/>
  <c r="X39" i="28"/>
  <c r="Z39" i="28"/>
  <c r="AB39" i="28"/>
  <c r="AD39" i="28"/>
  <c r="AF39" i="28"/>
  <c r="AH39" i="28"/>
  <c r="AJ39" i="28"/>
  <c r="AL39" i="28"/>
  <c r="I39" i="28"/>
  <c r="M39" i="28"/>
  <c r="Q39" i="28"/>
  <c r="U39" i="28"/>
  <c r="Y39" i="28"/>
  <c r="AC39" i="28"/>
  <c r="AG39" i="28"/>
  <c r="AK39" i="28"/>
  <c r="G39" i="28"/>
  <c r="O39" i="28"/>
  <c r="W39" i="28"/>
  <c r="AE39" i="28"/>
  <c r="S39" i="28"/>
  <c r="AI39" i="28"/>
  <c r="K39" i="28"/>
  <c r="AA39" i="28"/>
  <c r="E39" i="28"/>
  <c r="B39" i="28"/>
  <c r="D39" i="28"/>
  <c r="C39" i="28"/>
  <c r="AM38" i="28"/>
  <c r="A41" i="49"/>
  <c r="C40" i="49"/>
  <c r="E40" i="49"/>
  <c r="D40" i="49"/>
  <c r="B40" i="49"/>
  <c r="C39" i="49"/>
  <c r="D39" i="49"/>
  <c r="B39" i="49"/>
  <c r="E39" i="49"/>
  <c r="E42" i="28" l="1"/>
  <c r="F42" i="28"/>
  <c r="H42" i="28"/>
  <c r="J42" i="28"/>
  <c r="L42" i="28"/>
  <c r="N42" i="28"/>
  <c r="P42" i="28"/>
  <c r="R42" i="28"/>
  <c r="T42" i="28"/>
  <c r="V42" i="28"/>
  <c r="X42" i="28"/>
  <c r="Z42" i="28"/>
  <c r="AB42" i="28"/>
  <c r="AD42" i="28"/>
  <c r="AF42" i="28"/>
  <c r="AH42" i="28"/>
  <c r="AJ42" i="28"/>
  <c r="AL42" i="28"/>
  <c r="G42" i="28"/>
  <c r="K42" i="28"/>
  <c r="O42" i="28"/>
  <c r="S42" i="28"/>
  <c r="W42" i="28"/>
  <c r="AA42" i="28"/>
  <c r="AE42" i="28"/>
  <c r="AI42" i="28"/>
  <c r="I42" i="28"/>
  <c r="Q42" i="28"/>
  <c r="Y42" i="28"/>
  <c r="AG42" i="28"/>
  <c r="M42" i="28"/>
  <c r="AC42" i="28"/>
  <c r="U42" i="28"/>
  <c r="AK42" i="28"/>
  <c r="C42" i="28"/>
  <c r="D42" i="28"/>
  <c r="B42" i="28"/>
  <c r="AM40" i="28"/>
  <c r="F43" i="28"/>
  <c r="H43" i="28"/>
  <c r="J43" i="28"/>
  <c r="L43" i="28"/>
  <c r="N43" i="28"/>
  <c r="I43" i="28"/>
  <c r="M43" i="28"/>
  <c r="P43" i="28"/>
  <c r="R43" i="28"/>
  <c r="T43" i="28"/>
  <c r="V43" i="28"/>
  <c r="X43" i="28"/>
  <c r="Z43" i="28"/>
  <c r="AB43" i="28"/>
  <c r="AD43" i="28"/>
  <c r="AF43" i="28"/>
  <c r="AH43" i="28"/>
  <c r="AJ43" i="28"/>
  <c r="AL43" i="28"/>
  <c r="G43" i="28"/>
  <c r="O43" i="28"/>
  <c r="S43" i="28"/>
  <c r="W43" i="28"/>
  <c r="AA43" i="28"/>
  <c r="AE43" i="28"/>
  <c r="AI43" i="28"/>
  <c r="K43" i="28"/>
  <c r="U43" i="28"/>
  <c r="AC43" i="28"/>
  <c r="AK43" i="28"/>
  <c r="Q43" i="28"/>
  <c r="Y43" i="28"/>
  <c r="AG43" i="28"/>
  <c r="C43" i="28"/>
  <c r="B43" i="28"/>
  <c r="E43" i="28"/>
  <c r="D43" i="28"/>
  <c r="AM39" i="28"/>
  <c r="F41" i="28"/>
  <c r="H41" i="28"/>
  <c r="J41" i="28"/>
  <c r="L41" i="28"/>
  <c r="N41" i="28"/>
  <c r="P41" i="28"/>
  <c r="R41" i="28"/>
  <c r="T41" i="28"/>
  <c r="V41" i="28"/>
  <c r="X41" i="28"/>
  <c r="Z41" i="28"/>
  <c r="AB41" i="28"/>
  <c r="AD41" i="28"/>
  <c r="AF41" i="28"/>
  <c r="AH41" i="28"/>
  <c r="AJ41" i="28"/>
  <c r="AL41" i="28"/>
  <c r="I41" i="28"/>
  <c r="M41" i="28"/>
  <c r="Q41" i="28"/>
  <c r="U41" i="28"/>
  <c r="Y41" i="28"/>
  <c r="AC41" i="28"/>
  <c r="AG41" i="28"/>
  <c r="AK41" i="28"/>
  <c r="K41" i="28"/>
  <c r="S41" i="28"/>
  <c r="AA41" i="28"/>
  <c r="AI41" i="28"/>
  <c r="O41" i="28"/>
  <c r="AE41" i="28"/>
  <c r="G41" i="28"/>
  <c r="W41" i="28"/>
  <c r="D41" i="28"/>
  <c r="B41" i="28"/>
  <c r="E41" i="28"/>
  <c r="C41" i="28"/>
  <c r="A44" i="28"/>
  <c r="B41" i="49"/>
  <c r="C41" i="49"/>
  <c r="D41" i="49"/>
  <c r="E41" i="49"/>
  <c r="A42" i="49"/>
  <c r="E44" i="28" l="1"/>
  <c r="F44" i="28"/>
  <c r="H44" i="28"/>
  <c r="J44" i="28"/>
  <c r="L44" i="28"/>
  <c r="N44" i="28"/>
  <c r="P44" i="28"/>
  <c r="R44" i="28"/>
  <c r="T44" i="28"/>
  <c r="V44" i="28"/>
  <c r="X44" i="28"/>
  <c r="Z44" i="28"/>
  <c r="AB44" i="28"/>
  <c r="AD44" i="28"/>
  <c r="AF44" i="28"/>
  <c r="AH44" i="28"/>
  <c r="AJ44" i="28"/>
  <c r="AL44" i="28"/>
  <c r="I44" i="28"/>
  <c r="M44" i="28"/>
  <c r="Q44" i="28"/>
  <c r="U44" i="28"/>
  <c r="Y44" i="28"/>
  <c r="AC44" i="28"/>
  <c r="AG44" i="28"/>
  <c r="AK44" i="28"/>
  <c r="K44" i="28"/>
  <c r="S44" i="28"/>
  <c r="AA44" i="28"/>
  <c r="AI44" i="28"/>
  <c r="G44" i="28"/>
  <c r="O44" i="28"/>
  <c r="W44" i="28"/>
  <c r="AE44" i="28"/>
  <c r="B44" i="28"/>
  <c r="C44" i="28"/>
  <c r="D44" i="28"/>
  <c r="A45" i="28"/>
  <c r="AM42" i="28"/>
  <c r="AM41" i="28"/>
  <c r="AM43" i="28"/>
  <c r="A43" i="49"/>
  <c r="B42" i="49"/>
  <c r="D42" i="49"/>
  <c r="E42" i="49"/>
  <c r="C42" i="49"/>
  <c r="AM44" i="28" l="1"/>
  <c r="F45" i="28"/>
  <c r="H45" i="28"/>
  <c r="J45" i="28"/>
  <c r="L45" i="28"/>
  <c r="N45" i="28"/>
  <c r="P45" i="28"/>
  <c r="R45" i="28"/>
  <c r="T45" i="28"/>
  <c r="V45" i="28"/>
  <c r="X45" i="28"/>
  <c r="Z45" i="28"/>
  <c r="AB45" i="28"/>
  <c r="AD45" i="28"/>
  <c r="AF45" i="28"/>
  <c r="AH45" i="28"/>
  <c r="AJ45" i="28"/>
  <c r="AL45" i="28"/>
  <c r="G45" i="28"/>
  <c r="K45" i="28"/>
  <c r="O45" i="28"/>
  <c r="S45" i="28"/>
  <c r="W45" i="28"/>
  <c r="AA45" i="28"/>
  <c r="AE45" i="28"/>
  <c r="AI45" i="28"/>
  <c r="I45" i="28"/>
  <c r="Q45" i="28"/>
  <c r="Y45" i="28"/>
  <c r="AG45" i="28"/>
  <c r="M45" i="28"/>
  <c r="U45" i="28"/>
  <c r="AC45" i="28"/>
  <c r="AK45" i="28"/>
  <c r="E45" i="28"/>
  <c r="B45" i="28"/>
  <c r="D45" i="28"/>
  <c r="C45" i="28"/>
  <c r="A46" i="28"/>
  <c r="A47" i="28" s="1"/>
  <c r="C43" i="49"/>
  <c r="E43" i="49"/>
  <c r="D43" i="49"/>
  <c r="B43" i="49"/>
  <c r="A44" i="49"/>
  <c r="B47" i="28" l="1"/>
  <c r="C47" i="28"/>
  <c r="E47" i="28"/>
  <c r="A48" i="28"/>
  <c r="H48" i="28" s="1"/>
  <c r="D47" i="28"/>
  <c r="F47" i="28"/>
  <c r="H47" i="28"/>
  <c r="J47" i="28"/>
  <c r="L47" i="28"/>
  <c r="N47" i="28"/>
  <c r="P47" i="28"/>
  <c r="R47" i="28"/>
  <c r="T47" i="28"/>
  <c r="V47" i="28"/>
  <c r="X47" i="28"/>
  <c r="Z47" i="28"/>
  <c r="AB47" i="28"/>
  <c r="AD47" i="28"/>
  <c r="AF47" i="28"/>
  <c r="AH47" i="28"/>
  <c r="AJ47" i="28"/>
  <c r="AL47" i="28"/>
  <c r="G47" i="28"/>
  <c r="K47" i="28"/>
  <c r="O47" i="28"/>
  <c r="S47" i="28"/>
  <c r="W47" i="28"/>
  <c r="AA47" i="28"/>
  <c r="AE47" i="28"/>
  <c r="AI47" i="28"/>
  <c r="M47" i="28"/>
  <c r="U47" i="28"/>
  <c r="AC47" i="28"/>
  <c r="AK47" i="28"/>
  <c r="I47" i="28"/>
  <c r="Q47" i="28"/>
  <c r="Y47" i="28"/>
  <c r="AG47" i="28"/>
  <c r="AM45" i="28"/>
  <c r="F48" i="28"/>
  <c r="F46" i="28"/>
  <c r="H46" i="28"/>
  <c r="J46" i="28"/>
  <c r="L46" i="28"/>
  <c r="N46" i="28"/>
  <c r="P46" i="28"/>
  <c r="R46" i="28"/>
  <c r="T46" i="28"/>
  <c r="V46" i="28"/>
  <c r="X46" i="28"/>
  <c r="Z46" i="28"/>
  <c r="AB46" i="28"/>
  <c r="AD46" i="28"/>
  <c r="AF46" i="28"/>
  <c r="AH46" i="28"/>
  <c r="AJ46" i="28"/>
  <c r="AL46" i="28"/>
  <c r="I46" i="28"/>
  <c r="M46" i="28"/>
  <c r="Q46" i="28"/>
  <c r="U46" i="28"/>
  <c r="Y46" i="28"/>
  <c r="AC46" i="28"/>
  <c r="AG46" i="28"/>
  <c r="AK46" i="28"/>
  <c r="G46" i="28"/>
  <c r="O46" i="28"/>
  <c r="W46" i="28"/>
  <c r="AE46" i="28"/>
  <c r="K46" i="28"/>
  <c r="S46" i="28"/>
  <c r="AA46" i="28"/>
  <c r="AI46" i="28"/>
  <c r="D46" i="28"/>
  <c r="C46" i="28"/>
  <c r="B46" i="28"/>
  <c r="E46" i="28"/>
  <c r="C44" i="49"/>
  <c r="E44" i="49"/>
  <c r="D44" i="49"/>
  <c r="B44" i="49"/>
  <c r="A45" i="49"/>
  <c r="W48" i="28" l="1"/>
  <c r="AL48" i="28"/>
  <c r="AK48" i="28"/>
  <c r="V48" i="28"/>
  <c r="A49" i="28"/>
  <c r="F49" i="28" s="1"/>
  <c r="AI48" i="28"/>
  <c r="U48" i="28"/>
  <c r="AD48" i="28"/>
  <c r="N48" i="28"/>
  <c r="E48" i="28"/>
  <c r="AE48" i="28"/>
  <c r="S48" i="28"/>
  <c r="AC48" i="28"/>
  <c r="M48" i="28"/>
  <c r="AH48" i="28"/>
  <c r="Z48" i="28"/>
  <c r="R48" i="28"/>
  <c r="J48" i="28"/>
  <c r="C48" i="28"/>
  <c r="B48" i="28"/>
  <c r="D48" i="28"/>
  <c r="G48" i="28"/>
  <c r="O48" i="28"/>
  <c r="AA48" i="28"/>
  <c r="K48" i="28"/>
  <c r="AG48" i="28"/>
  <c r="Y48" i="28"/>
  <c r="Q48" i="28"/>
  <c r="I48" i="28"/>
  <c r="AJ48" i="28"/>
  <c r="AF48" i="28"/>
  <c r="AB48" i="28"/>
  <c r="X48" i="28"/>
  <c r="T48" i="28"/>
  <c r="P48" i="28"/>
  <c r="L48" i="28"/>
  <c r="C49" i="28"/>
  <c r="AM46" i="28"/>
  <c r="AM47" i="28"/>
  <c r="D45" i="49"/>
  <c r="C45" i="49"/>
  <c r="B45" i="49"/>
  <c r="E45" i="49"/>
  <c r="A46" i="49"/>
  <c r="A50" i="28"/>
  <c r="U49" i="28" l="1"/>
  <c r="AE49" i="28"/>
  <c r="AJ49" i="28"/>
  <c r="T49" i="28"/>
  <c r="E49" i="28"/>
  <c r="Y49" i="28"/>
  <c r="O49" i="28"/>
  <c r="AB49" i="28"/>
  <c r="L49" i="28"/>
  <c r="D49" i="28"/>
  <c r="M49" i="28"/>
  <c r="I49" i="28"/>
  <c r="W49" i="28"/>
  <c r="G49" i="28"/>
  <c r="AF49" i="28"/>
  <c r="X49" i="28"/>
  <c r="P49" i="28"/>
  <c r="H49" i="28"/>
  <c r="B49" i="28"/>
  <c r="AK49" i="28"/>
  <c r="AC49" i="28"/>
  <c r="AG49" i="28"/>
  <c r="Q49" i="28"/>
  <c r="AI49" i="28"/>
  <c r="AA49" i="28"/>
  <c r="S49" i="28"/>
  <c r="K49" i="28"/>
  <c r="AL49" i="28"/>
  <c r="AH49" i="28"/>
  <c r="AD49" i="28"/>
  <c r="Z49" i="28"/>
  <c r="V49" i="28"/>
  <c r="R49" i="28"/>
  <c r="N49" i="28"/>
  <c r="J49" i="28"/>
  <c r="AM48" i="28"/>
  <c r="A51" i="28"/>
  <c r="A52" i="28" s="1"/>
  <c r="F50" i="28"/>
  <c r="H50" i="28"/>
  <c r="J50" i="28"/>
  <c r="L50" i="28"/>
  <c r="N50" i="28"/>
  <c r="P50" i="28"/>
  <c r="R50" i="28"/>
  <c r="T50" i="28"/>
  <c r="V50" i="28"/>
  <c r="X50" i="28"/>
  <c r="Z50" i="28"/>
  <c r="AB50" i="28"/>
  <c r="AD50" i="28"/>
  <c r="AF50" i="28"/>
  <c r="AH50" i="28"/>
  <c r="AJ50" i="28"/>
  <c r="AL50" i="28"/>
  <c r="I50" i="28"/>
  <c r="M50" i="28"/>
  <c r="Q50" i="28"/>
  <c r="U50" i="28"/>
  <c r="Y50" i="28"/>
  <c r="AC50" i="28"/>
  <c r="AG50" i="28"/>
  <c r="AK50" i="28"/>
  <c r="G50" i="28"/>
  <c r="O50" i="28"/>
  <c r="W50" i="28"/>
  <c r="AE50" i="28"/>
  <c r="K50" i="28"/>
  <c r="AA50" i="28"/>
  <c r="S50" i="28"/>
  <c r="AI50" i="28"/>
  <c r="E46" i="49"/>
  <c r="B46" i="49"/>
  <c r="D46" i="49"/>
  <c r="C46" i="49"/>
  <c r="A47" i="49"/>
  <c r="D50" i="28"/>
  <c r="E50" i="28"/>
  <c r="C50" i="28"/>
  <c r="B50" i="28"/>
  <c r="C51" i="28" l="1"/>
  <c r="E51" i="28"/>
  <c r="B51" i="28"/>
  <c r="AM49" i="28"/>
  <c r="D51" i="28"/>
  <c r="F52" i="28"/>
  <c r="H52" i="28"/>
  <c r="J52" i="28"/>
  <c r="L52" i="28"/>
  <c r="N52" i="28"/>
  <c r="P52" i="28"/>
  <c r="R52" i="28"/>
  <c r="T52" i="28"/>
  <c r="V52" i="28"/>
  <c r="X52" i="28"/>
  <c r="Z52" i="28"/>
  <c r="AB52" i="28"/>
  <c r="AD52" i="28"/>
  <c r="AF52" i="28"/>
  <c r="AH52" i="28"/>
  <c r="AJ52" i="28"/>
  <c r="AL52" i="28"/>
  <c r="I52" i="28"/>
  <c r="M52" i="28"/>
  <c r="Q52" i="28"/>
  <c r="U52" i="28"/>
  <c r="Y52" i="28"/>
  <c r="AC52" i="28"/>
  <c r="AG52" i="28"/>
  <c r="AK52" i="28"/>
  <c r="K52" i="28"/>
  <c r="S52" i="28"/>
  <c r="AA52" i="28"/>
  <c r="AI52" i="28"/>
  <c r="G52" i="28"/>
  <c r="W52" i="28"/>
  <c r="O52" i="28"/>
  <c r="AE52" i="28"/>
  <c r="AM50" i="28"/>
  <c r="F51" i="28"/>
  <c r="H51" i="28"/>
  <c r="J51" i="28"/>
  <c r="L51" i="28"/>
  <c r="N51" i="28"/>
  <c r="P51" i="28"/>
  <c r="R51" i="28"/>
  <c r="T51" i="28"/>
  <c r="V51" i="28"/>
  <c r="X51" i="28"/>
  <c r="Z51" i="28"/>
  <c r="AB51" i="28"/>
  <c r="AD51" i="28"/>
  <c r="AF51" i="28"/>
  <c r="AH51" i="28"/>
  <c r="AJ51" i="28"/>
  <c r="AL51" i="28"/>
  <c r="G51" i="28"/>
  <c r="K51" i="28"/>
  <c r="O51" i="28"/>
  <c r="S51" i="28"/>
  <c r="W51" i="28"/>
  <c r="AA51" i="28"/>
  <c r="AE51" i="28"/>
  <c r="AI51" i="28"/>
  <c r="M51" i="28"/>
  <c r="U51" i="28"/>
  <c r="AC51" i="28"/>
  <c r="AK51" i="28"/>
  <c r="I51" i="28"/>
  <c r="Y51" i="28"/>
  <c r="Q51" i="28"/>
  <c r="AG51" i="28"/>
  <c r="E47" i="49"/>
  <c r="B47" i="49"/>
  <c r="D47" i="49"/>
  <c r="C47" i="49"/>
  <c r="A48" i="49"/>
  <c r="A53" i="28"/>
  <c r="C52" i="28"/>
  <c r="E52" i="28"/>
  <c r="B52" i="28"/>
  <c r="D52" i="28"/>
  <c r="F53" i="28" l="1"/>
  <c r="H53" i="28"/>
  <c r="J53" i="28"/>
  <c r="L53" i="28"/>
  <c r="G53" i="28"/>
  <c r="K53" i="28"/>
  <c r="N53" i="28"/>
  <c r="P53" i="28"/>
  <c r="R53" i="28"/>
  <c r="T53" i="28"/>
  <c r="V53" i="28"/>
  <c r="X53" i="28"/>
  <c r="Z53" i="28"/>
  <c r="AB53" i="28"/>
  <c r="AD53" i="28"/>
  <c r="AF53" i="28"/>
  <c r="AH53" i="28"/>
  <c r="AJ53" i="28"/>
  <c r="AL53" i="28"/>
  <c r="I53" i="28"/>
  <c r="O53" i="28"/>
  <c r="S53" i="28"/>
  <c r="W53" i="28"/>
  <c r="AA53" i="28"/>
  <c r="AE53" i="28"/>
  <c r="AI53" i="28"/>
  <c r="Q53" i="28"/>
  <c r="Y53" i="28"/>
  <c r="AG53" i="28"/>
  <c r="M53" i="28"/>
  <c r="U53" i="28"/>
  <c r="AC53" i="28"/>
  <c r="AK53" i="28"/>
  <c r="AM51" i="28"/>
  <c r="AM52" i="28"/>
  <c r="B48" i="49"/>
  <c r="C48" i="49"/>
  <c r="D48" i="49"/>
  <c r="E48" i="49"/>
  <c r="A49" i="49"/>
  <c r="D53" i="28"/>
  <c r="B53" i="28"/>
  <c r="E53" i="28"/>
  <c r="C53" i="28"/>
  <c r="A54" i="28"/>
  <c r="F54" i="28" l="1"/>
  <c r="H54" i="28"/>
  <c r="J54" i="28"/>
  <c r="L54" i="28"/>
  <c r="N54" i="28"/>
  <c r="P54" i="28"/>
  <c r="R54" i="28"/>
  <c r="T54" i="28"/>
  <c r="V54" i="28"/>
  <c r="X54" i="28"/>
  <c r="Z54" i="28"/>
  <c r="AB54" i="28"/>
  <c r="AD54" i="28"/>
  <c r="AF54" i="28"/>
  <c r="AH54" i="28"/>
  <c r="AJ54" i="28"/>
  <c r="AL54" i="28"/>
  <c r="I54" i="28"/>
  <c r="M54" i="28"/>
  <c r="Q54" i="28"/>
  <c r="U54" i="28"/>
  <c r="Y54" i="28"/>
  <c r="AC54" i="28"/>
  <c r="AG54" i="28"/>
  <c r="AK54" i="28"/>
  <c r="G54" i="28"/>
  <c r="O54" i="28"/>
  <c r="W54" i="28"/>
  <c r="AE54" i="28"/>
  <c r="K54" i="28"/>
  <c r="S54" i="28"/>
  <c r="AA54" i="28"/>
  <c r="AI54" i="28"/>
  <c r="AM53" i="28"/>
  <c r="C49" i="49"/>
  <c r="E49" i="49"/>
  <c r="D49" i="49"/>
  <c r="B49" i="49"/>
  <c r="A50" i="49"/>
  <c r="D54" i="28"/>
  <c r="C54" i="28"/>
  <c r="E54" i="28"/>
  <c r="A55" i="28"/>
  <c r="B54" i="28"/>
  <c r="F55" i="28" l="1"/>
  <c r="H55" i="28"/>
  <c r="J55" i="28"/>
  <c r="L55" i="28"/>
  <c r="N55" i="28"/>
  <c r="P55" i="28"/>
  <c r="R55" i="28"/>
  <c r="T55" i="28"/>
  <c r="V55" i="28"/>
  <c r="X55" i="28"/>
  <c r="Z55" i="28"/>
  <c r="AB55" i="28"/>
  <c r="AD55" i="28"/>
  <c r="AF55" i="28"/>
  <c r="AH55" i="28"/>
  <c r="AJ55" i="28"/>
  <c r="AL55" i="28"/>
  <c r="G55" i="28"/>
  <c r="K55" i="28"/>
  <c r="O55" i="28"/>
  <c r="S55" i="28"/>
  <c r="W55" i="28"/>
  <c r="AA55" i="28"/>
  <c r="AE55" i="28"/>
  <c r="AI55" i="28"/>
  <c r="M55" i="28"/>
  <c r="U55" i="28"/>
  <c r="AC55" i="28"/>
  <c r="AK55" i="28"/>
  <c r="I55" i="28"/>
  <c r="Q55" i="28"/>
  <c r="Y55" i="28"/>
  <c r="AG55" i="28"/>
  <c r="AM54" i="28"/>
  <c r="C50" i="49"/>
  <c r="D50" i="49"/>
  <c r="E50" i="49"/>
  <c r="B50" i="49"/>
  <c r="A51" i="49"/>
  <c r="D55" i="28"/>
  <c r="A56" i="28"/>
  <c r="E55" i="28"/>
  <c r="C55" i="28"/>
  <c r="B55" i="28"/>
  <c r="F56" i="28" l="1"/>
  <c r="H56" i="28"/>
  <c r="J56" i="28"/>
  <c r="L56" i="28"/>
  <c r="N56" i="28"/>
  <c r="P56" i="28"/>
  <c r="R56" i="28"/>
  <c r="T56" i="28"/>
  <c r="V56" i="28"/>
  <c r="X56" i="28"/>
  <c r="Z56" i="28"/>
  <c r="AB56" i="28"/>
  <c r="AD56" i="28"/>
  <c r="AF56" i="28"/>
  <c r="AH56" i="28"/>
  <c r="AJ56" i="28"/>
  <c r="AL56" i="28"/>
  <c r="I56" i="28"/>
  <c r="M56" i="28"/>
  <c r="Q56" i="28"/>
  <c r="U56" i="28"/>
  <c r="Y56" i="28"/>
  <c r="AC56" i="28"/>
  <c r="AG56" i="28"/>
  <c r="AK56" i="28"/>
  <c r="K56" i="28"/>
  <c r="S56" i="28"/>
  <c r="AA56" i="28"/>
  <c r="AI56" i="28"/>
  <c r="G56" i="28"/>
  <c r="O56" i="28"/>
  <c r="W56" i="28"/>
  <c r="AE56" i="28"/>
  <c r="AM55" i="28"/>
  <c r="A52" i="49"/>
  <c r="D51" i="49"/>
  <c r="B51" i="49"/>
  <c r="E51" i="49"/>
  <c r="C51" i="49"/>
  <c r="E56" i="28"/>
  <c r="D56" i="28"/>
  <c r="C56" i="28"/>
  <c r="B56" i="28"/>
  <c r="A57" i="28"/>
  <c r="D57" i="28" l="1"/>
  <c r="F57" i="28"/>
  <c r="H57" i="28"/>
  <c r="J57" i="28"/>
  <c r="L57" i="28"/>
  <c r="N57" i="28"/>
  <c r="P57" i="28"/>
  <c r="R57" i="28"/>
  <c r="T57" i="28"/>
  <c r="V57" i="28"/>
  <c r="X57" i="28"/>
  <c r="Z57" i="28"/>
  <c r="AB57" i="28"/>
  <c r="AD57" i="28"/>
  <c r="AF57" i="28"/>
  <c r="AH57" i="28"/>
  <c r="AJ57" i="28"/>
  <c r="AL57" i="28"/>
  <c r="G57" i="28"/>
  <c r="K57" i="28"/>
  <c r="O57" i="28"/>
  <c r="S57" i="28"/>
  <c r="W57" i="28"/>
  <c r="AA57" i="28"/>
  <c r="AE57" i="28"/>
  <c r="AI57" i="28"/>
  <c r="I57" i="28"/>
  <c r="Q57" i="28"/>
  <c r="Y57" i="28"/>
  <c r="AG57" i="28"/>
  <c r="M57" i="28"/>
  <c r="U57" i="28"/>
  <c r="AC57" i="28"/>
  <c r="AK57" i="28"/>
  <c r="AM56" i="28"/>
  <c r="C52" i="49"/>
  <c r="E52" i="49"/>
  <c r="B52" i="49"/>
  <c r="D52" i="49"/>
  <c r="A53" i="49"/>
  <c r="E57" i="28"/>
  <c r="C57" i="28"/>
  <c r="B57" i="28"/>
  <c r="A58" i="28"/>
  <c r="F58" i="28" l="1"/>
  <c r="H58" i="28"/>
  <c r="J58" i="28"/>
  <c r="L58" i="28"/>
  <c r="N58" i="28"/>
  <c r="P58" i="28"/>
  <c r="R58" i="28"/>
  <c r="T58" i="28"/>
  <c r="V58" i="28"/>
  <c r="X58" i="28"/>
  <c r="Z58" i="28"/>
  <c r="AB58" i="28"/>
  <c r="AD58" i="28"/>
  <c r="AF58" i="28"/>
  <c r="AH58" i="28"/>
  <c r="AJ58" i="28"/>
  <c r="AL58" i="28"/>
  <c r="I58" i="28"/>
  <c r="M58" i="28"/>
  <c r="Q58" i="28"/>
  <c r="U58" i="28"/>
  <c r="Y58" i="28"/>
  <c r="AC58" i="28"/>
  <c r="AG58" i="28"/>
  <c r="AK58" i="28"/>
  <c r="G58" i="28"/>
  <c r="O58" i="28"/>
  <c r="W58" i="28"/>
  <c r="AE58" i="28"/>
  <c r="K58" i="28"/>
  <c r="S58" i="28"/>
  <c r="AA58" i="28"/>
  <c r="AI58" i="28"/>
  <c r="AM57" i="28"/>
  <c r="D53" i="49"/>
  <c r="B53" i="49"/>
  <c r="E53" i="49"/>
  <c r="C53" i="49"/>
  <c r="A54" i="49"/>
  <c r="D58" i="28"/>
  <c r="E58" i="28"/>
  <c r="A59" i="28"/>
  <c r="B58" i="28"/>
  <c r="C58" i="28"/>
  <c r="AM58" i="28" l="1"/>
  <c r="F59" i="28"/>
  <c r="H59" i="28"/>
  <c r="J59" i="28"/>
  <c r="L59" i="28"/>
  <c r="N59" i="28"/>
  <c r="P59" i="28"/>
  <c r="R59" i="28"/>
  <c r="T59" i="28"/>
  <c r="V59" i="28"/>
  <c r="X59" i="28"/>
  <c r="Z59" i="28"/>
  <c r="AB59" i="28"/>
  <c r="AD59" i="28"/>
  <c r="AF59" i="28"/>
  <c r="AH59" i="28"/>
  <c r="AJ59" i="28"/>
  <c r="AL59" i="28"/>
  <c r="G59" i="28"/>
  <c r="K59" i="28"/>
  <c r="O59" i="28"/>
  <c r="S59" i="28"/>
  <c r="W59" i="28"/>
  <c r="AA59" i="28"/>
  <c r="AE59" i="28"/>
  <c r="AI59" i="28"/>
  <c r="M59" i="28"/>
  <c r="U59" i="28"/>
  <c r="AC59" i="28"/>
  <c r="AK59" i="28"/>
  <c r="I59" i="28"/>
  <c r="Q59" i="28"/>
  <c r="Y59" i="28"/>
  <c r="AG59" i="28"/>
  <c r="C54" i="49"/>
  <c r="E54" i="49"/>
  <c r="B54" i="49"/>
  <c r="D54" i="49"/>
  <c r="A55" i="49"/>
  <c r="E59" i="28"/>
  <c r="B59" i="28"/>
  <c r="C59" i="28"/>
  <c r="A60" i="28"/>
  <c r="D59" i="28"/>
  <c r="AM59" i="28" l="1"/>
  <c r="F60" i="28"/>
  <c r="H60" i="28"/>
  <c r="J60" i="28"/>
  <c r="L60" i="28"/>
  <c r="N60" i="28"/>
  <c r="P60" i="28"/>
  <c r="R60" i="28"/>
  <c r="T60" i="28"/>
  <c r="V60" i="28"/>
  <c r="X60" i="28"/>
  <c r="Z60" i="28"/>
  <c r="AB60" i="28"/>
  <c r="AD60" i="28"/>
  <c r="AF60" i="28"/>
  <c r="AH60" i="28"/>
  <c r="AJ60" i="28"/>
  <c r="AL60" i="28"/>
  <c r="I60" i="28"/>
  <c r="M60" i="28"/>
  <c r="Q60" i="28"/>
  <c r="U60" i="28"/>
  <c r="Y60" i="28"/>
  <c r="AC60" i="28"/>
  <c r="AG60" i="28"/>
  <c r="AK60" i="28"/>
  <c r="K60" i="28"/>
  <c r="S60" i="28"/>
  <c r="AA60" i="28"/>
  <c r="AI60" i="28"/>
  <c r="G60" i="28"/>
  <c r="O60" i="28"/>
  <c r="W60" i="28"/>
  <c r="AE60" i="28"/>
  <c r="A56" i="49"/>
  <c r="D55" i="49"/>
  <c r="C55" i="49"/>
  <c r="B55" i="49"/>
  <c r="E55" i="49"/>
  <c r="A61" i="28"/>
  <c r="E60" i="28"/>
  <c r="C60" i="28"/>
  <c r="D60" i="28"/>
  <c r="B60" i="28"/>
  <c r="F61" i="28" l="1"/>
  <c r="H61" i="28"/>
  <c r="J61" i="28"/>
  <c r="L61" i="28"/>
  <c r="N61" i="28"/>
  <c r="P61" i="28"/>
  <c r="R61" i="28"/>
  <c r="T61" i="28"/>
  <c r="V61" i="28"/>
  <c r="X61" i="28"/>
  <c r="Z61" i="28"/>
  <c r="AB61" i="28"/>
  <c r="AD61" i="28"/>
  <c r="AF61" i="28"/>
  <c r="AH61" i="28"/>
  <c r="AJ61" i="28"/>
  <c r="AL61" i="28"/>
  <c r="G61" i="28"/>
  <c r="K61" i="28"/>
  <c r="O61" i="28"/>
  <c r="S61" i="28"/>
  <c r="W61" i="28"/>
  <c r="AA61" i="28"/>
  <c r="AE61" i="28"/>
  <c r="AI61" i="28"/>
  <c r="I61" i="28"/>
  <c r="Q61" i="28"/>
  <c r="Y61" i="28"/>
  <c r="AG61" i="28"/>
  <c r="M61" i="28"/>
  <c r="U61" i="28"/>
  <c r="AC61" i="28"/>
  <c r="AK61" i="28"/>
  <c r="AM60" i="28"/>
  <c r="B56" i="49"/>
  <c r="E56" i="49"/>
  <c r="D56" i="49"/>
  <c r="C56" i="49"/>
  <c r="A57" i="49"/>
  <c r="A62" i="28"/>
  <c r="C61" i="28"/>
  <c r="E61" i="28"/>
  <c r="D61" i="28"/>
  <c r="B61" i="28"/>
  <c r="F62" i="28" l="1"/>
  <c r="H62" i="28"/>
  <c r="J62" i="28"/>
  <c r="L62" i="28"/>
  <c r="N62" i="28"/>
  <c r="P62" i="28"/>
  <c r="R62" i="28"/>
  <c r="T62" i="28"/>
  <c r="V62" i="28"/>
  <c r="X62" i="28"/>
  <c r="Z62" i="28"/>
  <c r="AB62" i="28"/>
  <c r="AD62" i="28"/>
  <c r="AF62" i="28"/>
  <c r="AH62" i="28"/>
  <c r="AJ62" i="28"/>
  <c r="AL62" i="28"/>
  <c r="I62" i="28"/>
  <c r="M62" i="28"/>
  <c r="Q62" i="28"/>
  <c r="U62" i="28"/>
  <c r="Y62" i="28"/>
  <c r="AC62" i="28"/>
  <c r="AG62" i="28"/>
  <c r="AK62" i="28"/>
  <c r="G62" i="28"/>
  <c r="O62" i="28"/>
  <c r="W62" i="28"/>
  <c r="AE62" i="28"/>
  <c r="K62" i="28"/>
  <c r="S62" i="28"/>
  <c r="AA62" i="28"/>
  <c r="AI62" i="28"/>
  <c r="AM61" i="28"/>
  <c r="B57" i="49"/>
  <c r="D57" i="49"/>
  <c r="C57" i="49"/>
  <c r="E57" i="49"/>
  <c r="A58" i="49"/>
  <c r="A63" i="28"/>
  <c r="D62" i="28"/>
  <c r="C62" i="28"/>
  <c r="E62" i="28"/>
  <c r="B62" i="28"/>
  <c r="AM62" i="28" l="1"/>
  <c r="E63" i="28"/>
  <c r="F63" i="28"/>
  <c r="H63" i="28"/>
  <c r="J63" i="28"/>
  <c r="L63" i="28"/>
  <c r="N63" i="28"/>
  <c r="P63" i="28"/>
  <c r="R63" i="28"/>
  <c r="T63" i="28"/>
  <c r="V63" i="28"/>
  <c r="X63" i="28"/>
  <c r="Z63" i="28"/>
  <c r="AB63" i="28"/>
  <c r="AD63" i="28"/>
  <c r="AF63" i="28"/>
  <c r="AH63" i="28"/>
  <c r="AJ63" i="28"/>
  <c r="AL63" i="28"/>
  <c r="G63" i="28"/>
  <c r="K63" i="28"/>
  <c r="O63" i="28"/>
  <c r="S63" i="28"/>
  <c r="W63" i="28"/>
  <c r="AA63" i="28"/>
  <c r="AE63" i="28"/>
  <c r="AI63" i="28"/>
  <c r="M63" i="28"/>
  <c r="U63" i="28"/>
  <c r="AC63" i="28"/>
  <c r="AK63" i="28"/>
  <c r="I63" i="28"/>
  <c r="Q63" i="28"/>
  <c r="Y63" i="28"/>
  <c r="AG63" i="28"/>
  <c r="D63" i="28"/>
  <c r="A64" i="28"/>
  <c r="C63" i="28"/>
  <c r="B63" i="28"/>
  <c r="E58" i="49"/>
  <c r="C58" i="49"/>
  <c r="D58" i="49"/>
  <c r="B58" i="49"/>
  <c r="A59" i="49"/>
  <c r="A65" i="28" l="1"/>
  <c r="C65" i="28" s="1"/>
  <c r="F64" i="28"/>
  <c r="H64" i="28"/>
  <c r="J64" i="28"/>
  <c r="L64" i="28"/>
  <c r="N64" i="28"/>
  <c r="P64" i="28"/>
  <c r="R64" i="28"/>
  <c r="T64" i="28"/>
  <c r="V64" i="28"/>
  <c r="X64" i="28"/>
  <c r="Z64" i="28"/>
  <c r="AB64" i="28"/>
  <c r="AD64" i="28"/>
  <c r="AF64" i="28"/>
  <c r="AH64" i="28"/>
  <c r="AJ64" i="28"/>
  <c r="AL64" i="28"/>
  <c r="I64" i="28"/>
  <c r="M64" i="28"/>
  <c r="Q64" i="28"/>
  <c r="U64" i="28"/>
  <c r="Y64" i="28"/>
  <c r="AC64" i="28"/>
  <c r="AG64" i="28"/>
  <c r="AK64" i="28"/>
  <c r="K64" i="28"/>
  <c r="S64" i="28"/>
  <c r="AA64" i="28"/>
  <c r="AI64" i="28"/>
  <c r="G64" i="28"/>
  <c r="O64" i="28"/>
  <c r="W64" i="28"/>
  <c r="AE64" i="28"/>
  <c r="AM63" i="28"/>
  <c r="C64" i="28"/>
  <c r="E64" i="28"/>
  <c r="D64" i="28"/>
  <c r="B64" i="28"/>
  <c r="A60" i="49"/>
  <c r="E59" i="49"/>
  <c r="B59" i="49"/>
  <c r="D59" i="49"/>
  <c r="C59" i="49"/>
  <c r="B65" i="28"/>
  <c r="A66" i="28" l="1"/>
  <c r="F66" i="28" s="1"/>
  <c r="F65" i="28"/>
  <c r="H65" i="28"/>
  <c r="J65" i="28"/>
  <c r="L65" i="28"/>
  <c r="N65" i="28"/>
  <c r="P65" i="28"/>
  <c r="R65" i="28"/>
  <c r="T65" i="28"/>
  <c r="V65" i="28"/>
  <c r="X65" i="28"/>
  <c r="Z65" i="28"/>
  <c r="AB65" i="28"/>
  <c r="AD65" i="28"/>
  <c r="AF65" i="28"/>
  <c r="AH65" i="28"/>
  <c r="AJ65" i="28"/>
  <c r="AL65" i="28"/>
  <c r="G65" i="28"/>
  <c r="K65" i="28"/>
  <c r="O65" i="28"/>
  <c r="S65" i="28"/>
  <c r="W65" i="28"/>
  <c r="AA65" i="28"/>
  <c r="AE65" i="28"/>
  <c r="AI65" i="28"/>
  <c r="I65" i="28"/>
  <c r="Q65" i="28"/>
  <c r="Y65" i="28"/>
  <c r="AG65" i="28"/>
  <c r="M65" i="28"/>
  <c r="U65" i="28"/>
  <c r="AC65" i="28"/>
  <c r="AK65" i="28"/>
  <c r="D65" i="28"/>
  <c r="E65" i="28"/>
  <c r="AM64" i="28"/>
  <c r="B60" i="49"/>
  <c r="E60" i="49"/>
  <c r="D60" i="49"/>
  <c r="C60" i="49"/>
  <c r="A61" i="49"/>
  <c r="D66" i="28" l="1"/>
  <c r="AA66" i="28"/>
  <c r="B66" i="28"/>
  <c r="AG66" i="28"/>
  <c r="W66" i="28"/>
  <c r="AJ66" i="28"/>
  <c r="K66" i="28"/>
  <c r="G66" i="28"/>
  <c r="Y66" i="28"/>
  <c r="T66" i="28"/>
  <c r="Q66" i="28"/>
  <c r="AB66" i="28"/>
  <c r="L66" i="28"/>
  <c r="I66" i="28"/>
  <c r="AF66" i="28"/>
  <c r="X66" i="28"/>
  <c r="P66" i="28"/>
  <c r="H66" i="28"/>
  <c r="A67" i="28"/>
  <c r="F67" i="28" s="1"/>
  <c r="C66" i="28"/>
  <c r="E66" i="28"/>
  <c r="AI66" i="28"/>
  <c r="S66" i="28"/>
  <c r="AE66" i="28"/>
  <c r="O66" i="28"/>
  <c r="AK66" i="28"/>
  <c r="AC66" i="28"/>
  <c r="U66" i="28"/>
  <c r="M66" i="28"/>
  <c r="AL66" i="28"/>
  <c r="AH66" i="28"/>
  <c r="AD66" i="28"/>
  <c r="Z66" i="28"/>
  <c r="V66" i="28"/>
  <c r="R66" i="28"/>
  <c r="N66" i="28"/>
  <c r="J66" i="28"/>
  <c r="AM65" i="28"/>
  <c r="A68" i="28"/>
  <c r="D68" i="28" s="1"/>
  <c r="E61" i="49"/>
  <c r="B61" i="49"/>
  <c r="D61" i="49"/>
  <c r="C61" i="49"/>
  <c r="A62" i="49"/>
  <c r="T67" i="28" l="1"/>
  <c r="B67" i="28"/>
  <c r="AJ67" i="28"/>
  <c r="Y67" i="28"/>
  <c r="AE67" i="28"/>
  <c r="AC67" i="28"/>
  <c r="O67" i="28"/>
  <c r="AB67" i="28"/>
  <c r="L67" i="28"/>
  <c r="AM66" i="28"/>
  <c r="A69" i="28"/>
  <c r="F69" i="28" s="1"/>
  <c r="C67" i="28"/>
  <c r="I67" i="28"/>
  <c r="M67" i="28"/>
  <c r="W67" i="28"/>
  <c r="G67" i="28"/>
  <c r="AF67" i="28"/>
  <c r="X67" i="28"/>
  <c r="P67" i="28"/>
  <c r="H67" i="28"/>
  <c r="E67" i="28"/>
  <c r="D67" i="28"/>
  <c r="AG67" i="28"/>
  <c r="Q67" i="28"/>
  <c r="AK67" i="28"/>
  <c r="U67" i="28"/>
  <c r="AI67" i="28"/>
  <c r="AA67" i="28"/>
  <c r="S67" i="28"/>
  <c r="K67" i="28"/>
  <c r="AL67" i="28"/>
  <c r="AH67" i="28"/>
  <c r="AD67" i="28"/>
  <c r="Z67" i="28"/>
  <c r="V67" i="28"/>
  <c r="R67" i="28"/>
  <c r="N67" i="28"/>
  <c r="J67" i="28"/>
  <c r="B68" i="28"/>
  <c r="C68" i="28"/>
  <c r="E68" i="28"/>
  <c r="F68" i="28"/>
  <c r="H68" i="28"/>
  <c r="J68" i="28"/>
  <c r="L68" i="28"/>
  <c r="N68" i="28"/>
  <c r="P68" i="28"/>
  <c r="R68" i="28"/>
  <c r="T68" i="28"/>
  <c r="V68" i="28"/>
  <c r="X68" i="28"/>
  <c r="Z68" i="28"/>
  <c r="AB68" i="28"/>
  <c r="AD68" i="28"/>
  <c r="AF68" i="28"/>
  <c r="AH68" i="28"/>
  <c r="AJ68" i="28"/>
  <c r="AL68" i="28"/>
  <c r="I68" i="28"/>
  <c r="M68" i="28"/>
  <c r="Q68" i="28"/>
  <c r="U68" i="28"/>
  <c r="Y68" i="28"/>
  <c r="AC68" i="28"/>
  <c r="AG68" i="28"/>
  <c r="AK68" i="28"/>
  <c r="K68" i="28"/>
  <c r="S68" i="28"/>
  <c r="AA68" i="28"/>
  <c r="AI68" i="28"/>
  <c r="G68" i="28"/>
  <c r="O68" i="28"/>
  <c r="W68" i="28"/>
  <c r="AE68" i="28"/>
  <c r="E62" i="49"/>
  <c r="C62" i="49"/>
  <c r="D62" i="49"/>
  <c r="B62" i="49"/>
  <c r="A63" i="49"/>
  <c r="AE69" i="28" l="1"/>
  <c r="E69" i="28"/>
  <c r="AJ69" i="28"/>
  <c r="T69" i="28"/>
  <c r="AC69" i="28"/>
  <c r="A70" i="28"/>
  <c r="F70" i="28" s="1"/>
  <c r="C69" i="28"/>
  <c r="Y69" i="28"/>
  <c r="O69" i="28"/>
  <c r="AB69" i="28"/>
  <c r="L69" i="28"/>
  <c r="M69" i="28"/>
  <c r="I69" i="28"/>
  <c r="W69" i="28"/>
  <c r="G69" i="28"/>
  <c r="AF69" i="28"/>
  <c r="X69" i="28"/>
  <c r="P69" i="28"/>
  <c r="H69" i="28"/>
  <c r="D69" i="28"/>
  <c r="B69" i="28"/>
  <c r="AK69" i="28"/>
  <c r="U69" i="28"/>
  <c r="AG69" i="28"/>
  <c r="Q69" i="28"/>
  <c r="AI69" i="28"/>
  <c r="AA69" i="28"/>
  <c r="S69" i="28"/>
  <c r="K69" i="28"/>
  <c r="AL69" i="28"/>
  <c r="AH69" i="28"/>
  <c r="AD69" i="28"/>
  <c r="Z69" i="28"/>
  <c r="V69" i="28"/>
  <c r="R69" i="28"/>
  <c r="N69" i="28"/>
  <c r="J69" i="28"/>
  <c r="AM67" i="28"/>
  <c r="AM68" i="28"/>
  <c r="B63" i="49"/>
  <c r="C63" i="49"/>
  <c r="D63" i="49"/>
  <c r="E63" i="49"/>
  <c r="A64" i="49"/>
  <c r="J70" i="28" l="1"/>
  <c r="A71" i="28"/>
  <c r="C71" i="28" s="1"/>
  <c r="AA70" i="28"/>
  <c r="B70" i="28"/>
  <c r="AG70" i="28"/>
  <c r="M70" i="28"/>
  <c r="AH70" i="28"/>
  <c r="E70" i="28"/>
  <c r="S70" i="28"/>
  <c r="Z70" i="28"/>
  <c r="AC70" i="28"/>
  <c r="T70" i="28"/>
  <c r="O70" i="28"/>
  <c r="AJ70" i="28"/>
  <c r="R70" i="28"/>
  <c r="W70" i="28"/>
  <c r="Q70" i="28"/>
  <c r="AB70" i="28"/>
  <c r="L70" i="28"/>
  <c r="D70" i="28"/>
  <c r="K70" i="28"/>
  <c r="G70" i="28"/>
  <c r="Y70" i="28"/>
  <c r="I70" i="28"/>
  <c r="AF70" i="28"/>
  <c r="X70" i="28"/>
  <c r="P70" i="28"/>
  <c r="H70" i="28"/>
  <c r="C70" i="28"/>
  <c r="AI70" i="28"/>
  <c r="AE70" i="28"/>
  <c r="AK70" i="28"/>
  <c r="U70" i="28"/>
  <c r="AL70" i="28"/>
  <c r="AD70" i="28"/>
  <c r="V70" i="28"/>
  <c r="N70" i="28"/>
  <c r="AM69" i="28"/>
  <c r="X71" i="28"/>
  <c r="M71" i="28"/>
  <c r="E64" i="49"/>
  <c r="D64" i="49"/>
  <c r="B64" i="49"/>
  <c r="C64" i="49"/>
  <c r="A65" i="49"/>
  <c r="K71" i="28" l="1"/>
  <c r="B71" i="28"/>
  <c r="AF71" i="28"/>
  <c r="E71" i="28"/>
  <c r="AI71" i="28"/>
  <c r="R71" i="28"/>
  <c r="AK71" i="28"/>
  <c r="G71" i="28"/>
  <c r="N71" i="28"/>
  <c r="Q71" i="28"/>
  <c r="S71" i="28"/>
  <c r="AD71" i="28"/>
  <c r="J71" i="28"/>
  <c r="I71" i="28"/>
  <c r="AA71" i="28"/>
  <c r="AH71" i="28"/>
  <c r="V71" i="28"/>
  <c r="H71" i="28"/>
  <c r="AG71" i="28"/>
  <c r="U71" i="28"/>
  <c r="W71" i="28"/>
  <c r="AL71" i="28"/>
  <c r="Z71" i="28"/>
  <c r="P71" i="28"/>
  <c r="F71" i="28"/>
  <c r="Y71" i="28"/>
  <c r="AC71" i="28"/>
  <c r="AE71" i="28"/>
  <c r="O71" i="28"/>
  <c r="AJ71" i="28"/>
  <c r="AB71" i="28"/>
  <c r="T71" i="28"/>
  <c r="L71" i="28"/>
  <c r="D71" i="28"/>
  <c r="A72" i="28"/>
  <c r="A73" i="28" s="1"/>
  <c r="C73" i="28" s="1"/>
  <c r="AM70" i="28"/>
  <c r="D65" i="49"/>
  <c r="C65" i="49"/>
  <c r="E65" i="49"/>
  <c r="B65" i="49"/>
  <c r="A66" i="49"/>
  <c r="AM71" i="28" l="1"/>
  <c r="AG72" i="28"/>
  <c r="G72" i="28"/>
  <c r="Q73" i="28"/>
  <c r="Z73" i="28"/>
  <c r="B73" i="28"/>
  <c r="F72" i="28"/>
  <c r="U72" i="28"/>
  <c r="U73" i="28"/>
  <c r="AH73" i="28"/>
  <c r="D73" i="28"/>
  <c r="AA73" i="28"/>
  <c r="R73" i="28"/>
  <c r="Y72" i="28"/>
  <c r="AI72" i="28"/>
  <c r="A74" i="28"/>
  <c r="C74" i="28" s="1"/>
  <c r="K73" i="28"/>
  <c r="J73" i="28"/>
  <c r="T72" i="28"/>
  <c r="H72" i="28"/>
  <c r="X72" i="28"/>
  <c r="M73" i="28"/>
  <c r="I73" i="28"/>
  <c r="W73" i="28"/>
  <c r="G73" i="28"/>
  <c r="AF73" i="28"/>
  <c r="X73" i="28"/>
  <c r="P73" i="28"/>
  <c r="H73" i="28"/>
  <c r="E73" i="28"/>
  <c r="AB72" i="28"/>
  <c r="AA72" i="28"/>
  <c r="P72" i="28"/>
  <c r="S72" i="28"/>
  <c r="V72" i="28"/>
  <c r="D72" i="28"/>
  <c r="O72" i="28"/>
  <c r="R72" i="28"/>
  <c r="AF72" i="28"/>
  <c r="AK73" i="28"/>
  <c r="AI73" i="28"/>
  <c r="S73" i="28"/>
  <c r="AL73" i="28"/>
  <c r="AD73" i="28"/>
  <c r="V73" i="28"/>
  <c r="N73" i="28"/>
  <c r="F73" i="28"/>
  <c r="AJ72" i="28"/>
  <c r="W72" i="28"/>
  <c r="Z72" i="28"/>
  <c r="AE72" i="28"/>
  <c r="AH72" i="28"/>
  <c r="J72" i="28"/>
  <c r="N72" i="28"/>
  <c r="AK72" i="28"/>
  <c r="M72" i="28"/>
  <c r="AG73" i="28"/>
  <c r="AC73" i="28"/>
  <c r="Y73" i="28"/>
  <c r="AE73" i="28"/>
  <c r="O73" i="28"/>
  <c r="AJ73" i="28"/>
  <c r="AB73" i="28"/>
  <c r="T73" i="28"/>
  <c r="L73" i="28"/>
  <c r="L72" i="28"/>
  <c r="Q72" i="28"/>
  <c r="C72" i="28"/>
  <c r="AL72" i="28"/>
  <c r="E72" i="28"/>
  <c r="AC72" i="28"/>
  <c r="AD72" i="28"/>
  <c r="I72" i="28"/>
  <c r="B72" i="28"/>
  <c r="K72" i="28"/>
  <c r="C66" i="49"/>
  <c r="D66" i="49"/>
  <c r="B66" i="49"/>
  <c r="E66" i="49"/>
  <c r="A67" i="49"/>
  <c r="B74" i="28" l="1"/>
  <c r="Y74" i="28"/>
  <c r="S74" i="28"/>
  <c r="AD74" i="28"/>
  <c r="K74" i="28"/>
  <c r="AB74" i="28"/>
  <c r="AC74" i="28"/>
  <c r="J74" i="28"/>
  <c r="D74" i="28"/>
  <c r="O74" i="28"/>
  <c r="M74" i="28"/>
  <c r="T74" i="28"/>
  <c r="A75" i="28"/>
  <c r="D75" i="28" s="1"/>
  <c r="G74" i="28"/>
  <c r="AL74" i="28"/>
  <c r="R74" i="28"/>
  <c r="AI74" i="28"/>
  <c r="AE74" i="28"/>
  <c r="AK74" i="28"/>
  <c r="U74" i="28"/>
  <c r="AJ74" i="28"/>
  <c r="Z74" i="28"/>
  <c r="N74" i="28"/>
  <c r="AM73" i="28"/>
  <c r="AA74" i="28"/>
  <c r="W74" i="28"/>
  <c r="AG74" i="28"/>
  <c r="Q74" i="28"/>
  <c r="AH74" i="28"/>
  <c r="V74" i="28"/>
  <c r="L74" i="28"/>
  <c r="E74" i="28"/>
  <c r="I74" i="28"/>
  <c r="AF74" i="28"/>
  <c r="X74" i="28"/>
  <c r="P74" i="28"/>
  <c r="H74" i="28"/>
  <c r="F74" i="28"/>
  <c r="AM72" i="28"/>
  <c r="B67" i="49"/>
  <c r="D67" i="49"/>
  <c r="E67" i="49"/>
  <c r="C67" i="49"/>
  <c r="A68" i="49"/>
  <c r="A76" i="28" l="1"/>
  <c r="A77" i="28" s="1"/>
  <c r="J77" i="28" s="1"/>
  <c r="V75" i="28"/>
  <c r="AG75" i="28"/>
  <c r="F75" i="28"/>
  <c r="AI75" i="28"/>
  <c r="AL75" i="28"/>
  <c r="Y75" i="28"/>
  <c r="AE75" i="28"/>
  <c r="AJ75" i="28"/>
  <c r="T75" i="28"/>
  <c r="C75" i="28"/>
  <c r="AK75" i="28"/>
  <c r="S75" i="28"/>
  <c r="AD75" i="28"/>
  <c r="N75" i="28"/>
  <c r="AC75" i="28"/>
  <c r="O75" i="28"/>
  <c r="AB75" i="28"/>
  <c r="L75" i="28"/>
  <c r="Q75" i="28"/>
  <c r="U75" i="28"/>
  <c r="AA75" i="28"/>
  <c r="K75" i="28"/>
  <c r="AH75" i="28"/>
  <c r="Z75" i="28"/>
  <c r="R75" i="28"/>
  <c r="J75" i="28"/>
  <c r="E75" i="28"/>
  <c r="B75" i="28"/>
  <c r="I75" i="28"/>
  <c r="M75" i="28"/>
  <c r="W75" i="28"/>
  <c r="G75" i="28"/>
  <c r="AF75" i="28"/>
  <c r="X75" i="28"/>
  <c r="P75" i="28"/>
  <c r="H75" i="28"/>
  <c r="AM74" i="28"/>
  <c r="X77" i="28"/>
  <c r="W77" i="28"/>
  <c r="Y77" i="28"/>
  <c r="AC77" i="28"/>
  <c r="F76" i="28"/>
  <c r="H76" i="28"/>
  <c r="J76" i="28"/>
  <c r="L76" i="28"/>
  <c r="N76" i="28"/>
  <c r="P76" i="28"/>
  <c r="R76" i="28"/>
  <c r="T76" i="28"/>
  <c r="V76" i="28"/>
  <c r="X76" i="28"/>
  <c r="Z76" i="28"/>
  <c r="AB76" i="28"/>
  <c r="AD76" i="28"/>
  <c r="AF76" i="28"/>
  <c r="AH76" i="28"/>
  <c r="AJ76" i="28"/>
  <c r="AL76" i="28"/>
  <c r="I76" i="28"/>
  <c r="M76" i="28"/>
  <c r="Q76" i="28"/>
  <c r="U76" i="28"/>
  <c r="Y76" i="28"/>
  <c r="AC76" i="28"/>
  <c r="AG76" i="28"/>
  <c r="AK76" i="28"/>
  <c r="K76" i="28"/>
  <c r="S76" i="28"/>
  <c r="AA76" i="28"/>
  <c r="AI76" i="28"/>
  <c r="G76" i="28"/>
  <c r="O76" i="28"/>
  <c r="W76" i="28"/>
  <c r="AE76" i="28"/>
  <c r="B76" i="28"/>
  <c r="D76" i="28"/>
  <c r="C76" i="28"/>
  <c r="D68" i="49"/>
  <c r="C68" i="49"/>
  <c r="B68" i="49"/>
  <c r="E68" i="49"/>
  <c r="A69" i="49"/>
  <c r="E77" i="28"/>
  <c r="A78" i="28"/>
  <c r="C77" i="28"/>
  <c r="B77" i="28"/>
  <c r="D77" i="28"/>
  <c r="U77" i="28" l="1"/>
  <c r="I77" i="28"/>
  <c r="O77" i="28"/>
  <c r="P77" i="28"/>
  <c r="M77" i="28"/>
  <c r="AI77" i="28"/>
  <c r="G77" i="28"/>
  <c r="H77" i="28"/>
  <c r="AK77" i="28"/>
  <c r="AG77" i="28"/>
  <c r="AE77" i="28"/>
  <c r="AF77" i="28"/>
  <c r="S77" i="28"/>
  <c r="AL77" i="28"/>
  <c r="AD77" i="28"/>
  <c r="V77" i="28"/>
  <c r="N77" i="28"/>
  <c r="F77" i="28"/>
  <c r="AJ77" i="28"/>
  <c r="AB77" i="28"/>
  <c r="T77" i="28"/>
  <c r="L77" i="28"/>
  <c r="E76" i="28"/>
  <c r="Q77" i="28"/>
  <c r="AA77" i="28"/>
  <c r="K77" i="28"/>
  <c r="AH77" i="28"/>
  <c r="Z77" i="28"/>
  <c r="R77" i="28"/>
  <c r="AM75" i="28"/>
  <c r="AM76" i="28"/>
  <c r="F78" i="28"/>
  <c r="H78" i="28"/>
  <c r="J78" i="28"/>
  <c r="L78" i="28"/>
  <c r="N78" i="28"/>
  <c r="P78" i="28"/>
  <c r="R78" i="28"/>
  <c r="T78" i="28"/>
  <c r="V78" i="28"/>
  <c r="X78" i="28"/>
  <c r="Z78" i="28"/>
  <c r="AB78" i="28"/>
  <c r="AD78" i="28"/>
  <c r="AF78" i="28"/>
  <c r="AH78" i="28"/>
  <c r="AJ78" i="28"/>
  <c r="AL78" i="28"/>
  <c r="I78" i="28"/>
  <c r="M78" i="28"/>
  <c r="Q78" i="28"/>
  <c r="U78" i="28"/>
  <c r="Y78" i="28"/>
  <c r="AC78" i="28"/>
  <c r="AG78" i="28"/>
  <c r="AK78" i="28"/>
  <c r="G78" i="28"/>
  <c r="O78" i="28"/>
  <c r="W78" i="28"/>
  <c r="AE78" i="28"/>
  <c r="K78" i="28"/>
  <c r="S78" i="28"/>
  <c r="AA78" i="28"/>
  <c r="AI78" i="28"/>
  <c r="C69" i="49"/>
  <c r="D69" i="49"/>
  <c r="E69" i="49"/>
  <c r="B69" i="49"/>
  <c r="A70" i="49"/>
  <c r="D78" i="28"/>
  <c r="B78" i="28"/>
  <c r="A79" i="28"/>
  <c r="C78" i="28"/>
  <c r="E78" i="28"/>
  <c r="AM77" i="28" l="1"/>
  <c r="F79" i="28"/>
  <c r="H79" i="28"/>
  <c r="J79" i="28"/>
  <c r="L79" i="28"/>
  <c r="N79" i="28"/>
  <c r="P79" i="28"/>
  <c r="R79" i="28"/>
  <c r="T79" i="28"/>
  <c r="V79" i="28"/>
  <c r="X79" i="28"/>
  <c r="Z79" i="28"/>
  <c r="AB79" i="28"/>
  <c r="AD79" i="28"/>
  <c r="AF79" i="28"/>
  <c r="AH79" i="28"/>
  <c r="AJ79" i="28"/>
  <c r="AL79" i="28"/>
  <c r="G79" i="28"/>
  <c r="K79" i="28"/>
  <c r="O79" i="28"/>
  <c r="S79" i="28"/>
  <c r="W79" i="28"/>
  <c r="AA79" i="28"/>
  <c r="AE79" i="28"/>
  <c r="AI79" i="28"/>
  <c r="M79" i="28"/>
  <c r="U79" i="28"/>
  <c r="AC79" i="28"/>
  <c r="AK79" i="28"/>
  <c r="I79" i="28"/>
  <c r="Q79" i="28"/>
  <c r="Y79" i="28"/>
  <c r="AG79" i="28"/>
  <c r="AM78" i="28"/>
  <c r="E70" i="49"/>
  <c r="B70" i="49"/>
  <c r="C70" i="49"/>
  <c r="D70" i="49"/>
  <c r="A71" i="49"/>
  <c r="A72" i="49" s="1"/>
  <c r="D79" i="28"/>
  <c r="C79" i="28"/>
  <c r="B79" i="28"/>
  <c r="E79" i="28"/>
  <c r="A80" i="28"/>
  <c r="F80" i="28" l="1"/>
  <c r="H80" i="28"/>
  <c r="J80" i="28"/>
  <c r="L80" i="28"/>
  <c r="N80" i="28"/>
  <c r="P80" i="28"/>
  <c r="R80" i="28"/>
  <c r="T80" i="28"/>
  <c r="V80" i="28"/>
  <c r="X80" i="28"/>
  <c r="Z80" i="28"/>
  <c r="AB80" i="28"/>
  <c r="AD80" i="28"/>
  <c r="AF80" i="28"/>
  <c r="AH80" i="28"/>
  <c r="AJ80" i="28"/>
  <c r="AL80" i="28"/>
  <c r="I80" i="28"/>
  <c r="M80" i="28"/>
  <c r="Q80" i="28"/>
  <c r="U80" i="28"/>
  <c r="Y80" i="28"/>
  <c r="AC80" i="28"/>
  <c r="AG80" i="28"/>
  <c r="AK80" i="28"/>
  <c r="K80" i="28"/>
  <c r="S80" i="28"/>
  <c r="AA80" i="28"/>
  <c r="AI80" i="28"/>
  <c r="G80" i="28"/>
  <c r="O80" i="28"/>
  <c r="W80" i="28"/>
  <c r="AE80" i="28"/>
  <c r="AM79" i="28"/>
  <c r="E72" i="49"/>
  <c r="B72" i="49"/>
  <c r="C72" i="49"/>
  <c r="D72" i="49"/>
  <c r="C71" i="49"/>
  <c r="D71" i="49"/>
  <c r="B71" i="49"/>
  <c r="E71" i="49"/>
  <c r="A73" i="49"/>
  <c r="C80" i="28"/>
  <c r="E80" i="28"/>
  <c r="A81" i="28"/>
  <c r="B80" i="28"/>
  <c r="D80" i="28"/>
  <c r="AM80" i="28" l="1"/>
  <c r="F81" i="28"/>
  <c r="H81" i="28"/>
  <c r="J81" i="28"/>
  <c r="L81" i="28"/>
  <c r="N81" i="28"/>
  <c r="P81" i="28"/>
  <c r="R81" i="28"/>
  <c r="T81" i="28"/>
  <c r="V81" i="28"/>
  <c r="X81" i="28"/>
  <c r="Z81" i="28"/>
  <c r="AB81" i="28"/>
  <c r="AD81" i="28"/>
  <c r="AF81" i="28"/>
  <c r="AH81" i="28"/>
  <c r="AJ81" i="28"/>
  <c r="AL81" i="28"/>
  <c r="G81" i="28"/>
  <c r="K81" i="28"/>
  <c r="O81" i="28"/>
  <c r="S81" i="28"/>
  <c r="W81" i="28"/>
  <c r="AA81" i="28"/>
  <c r="AE81" i="28"/>
  <c r="AI81" i="28"/>
  <c r="I81" i="28"/>
  <c r="Q81" i="28"/>
  <c r="Y81" i="28"/>
  <c r="AG81" i="28"/>
  <c r="M81" i="28"/>
  <c r="U81" i="28"/>
  <c r="AC81" i="28"/>
  <c r="AK81" i="28"/>
  <c r="B73" i="49"/>
  <c r="D73" i="49"/>
  <c r="C73" i="49"/>
  <c r="E73" i="49"/>
  <c r="A74" i="49"/>
  <c r="A82" i="28"/>
  <c r="C81" i="28"/>
  <c r="D81" i="28"/>
  <c r="B81" i="28"/>
  <c r="E81" i="28"/>
  <c r="F82" i="28" l="1"/>
  <c r="H82" i="28"/>
  <c r="J82" i="28"/>
  <c r="L82" i="28"/>
  <c r="N82" i="28"/>
  <c r="P82" i="28"/>
  <c r="R82" i="28"/>
  <c r="T82" i="28"/>
  <c r="V82" i="28"/>
  <c r="X82" i="28"/>
  <c r="Z82" i="28"/>
  <c r="AB82" i="28"/>
  <c r="AD82" i="28"/>
  <c r="AF82" i="28"/>
  <c r="AH82" i="28"/>
  <c r="AJ82" i="28"/>
  <c r="AL82" i="28"/>
  <c r="I82" i="28"/>
  <c r="M82" i="28"/>
  <c r="Q82" i="28"/>
  <c r="U82" i="28"/>
  <c r="Y82" i="28"/>
  <c r="AC82" i="28"/>
  <c r="AG82" i="28"/>
  <c r="AK82" i="28"/>
  <c r="G82" i="28"/>
  <c r="O82" i="28"/>
  <c r="W82" i="28"/>
  <c r="AE82" i="28"/>
  <c r="K82" i="28"/>
  <c r="S82" i="28"/>
  <c r="AA82" i="28"/>
  <c r="AI82" i="28"/>
  <c r="AM81" i="28"/>
  <c r="D74" i="49"/>
  <c r="B74" i="49"/>
  <c r="C74" i="49"/>
  <c r="E74" i="49"/>
  <c r="A75" i="49"/>
  <c r="B82" i="28"/>
  <c r="E82" i="28"/>
  <c r="C82" i="28"/>
  <c r="D82" i="28"/>
  <c r="A83" i="28"/>
  <c r="AM82" i="28" l="1"/>
  <c r="F83" i="28"/>
  <c r="H83" i="28"/>
  <c r="J83" i="28"/>
  <c r="L83" i="28"/>
  <c r="N83" i="28"/>
  <c r="P83" i="28"/>
  <c r="R83" i="28"/>
  <c r="G83" i="28"/>
  <c r="K83" i="28"/>
  <c r="O83" i="28"/>
  <c r="S83" i="28"/>
  <c r="U83" i="28"/>
  <c r="W83" i="28"/>
  <c r="Y83" i="28"/>
  <c r="AA83" i="28"/>
  <c r="AC83" i="28"/>
  <c r="AE83" i="28"/>
  <c r="AG83" i="28"/>
  <c r="AI83" i="28"/>
  <c r="AK83" i="28"/>
  <c r="M83" i="28"/>
  <c r="T83" i="28"/>
  <c r="X83" i="28"/>
  <c r="AB83" i="28"/>
  <c r="AF83" i="28"/>
  <c r="AJ83" i="28"/>
  <c r="I83" i="28"/>
  <c r="Q83" i="28"/>
  <c r="V83" i="28"/>
  <c r="Z83" i="28"/>
  <c r="AD83" i="28"/>
  <c r="AH83" i="28"/>
  <c r="AL83" i="28"/>
  <c r="A76" i="49"/>
  <c r="C75" i="49"/>
  <c r="E75" i="49"/>
  <c r="B75" i="49"/>
  <c r="D75" i="49"/>
  <c r="C83" i="28"/>
  <c r="D83" i="28"/>
  <c r="A84" i="28"/>
  <c r="E83" i="28"/>
  <c r="B83" i="28"/>
  <c r="G84" i="28" l="1"/>
  <c r="I84" i="28"/>
  <c r="K84" i="28"/>
  <c r="M84" i="28"/>
  <c r="O84" i="28"/>
  <c r="Q84" i="28"/>
  <c r="S84" i="28"/>
  <c r="U84" i="28"/>
  <c r="W84" i="28"/>
  <c r="Y84" i="28"/>
  <c r="AA84" i="28"/>
  <c r="AC84" i="28"/>
  <c r="AE84" i="28"/>
  <c r="AG84" i="28"/>
  <c r="AI84" i="28"/>
  <c r="AK84" i="28"/>
  <c r="F84" i="28"/>
  <c r="J84" i="28"/>
  <c r="N84" i="28"/>
  <c r="R84" i="28"/>
  <c r="V84" i="28"/>
  <c r="Z84" i="28"/>
  <c r="AD84" i="28"/>
  <c r="AH84" i="28"/>
  <c r="AL84" i="28"/>
  <c r="H84" i="28"/>
  <c r="L84" i="28"/>
  <c r="P84" i="28"/>
  <c r="T84" i="28"/>
  <c r="X84" i="28"/>
  <c r="AB84" i="28"/>
  <c r="AF84" i="28"/>
  <c r="AJ84" i="28"/>
  <c r="AM83" i="28"/>
  <c r="B76" i="49"/>
  <c r="C76" i="49"/>
  <c r="E76" i="49"/>
  <c r="D76" i="49"/>
  <c r="A77" i="49"/>
  <c r="A85" i="28"/>
  <c r="D84" i="28"/>
  <c r="C84" i="28"/>
  <c r="E84" i="28"/>
  <c r="B84" i="28"/>
  <c r="AM84" i="28" l="1"/>
  <c r="G85" i="28"/>
  <c r="I85" i="28"/>
  <c r="K85" i="28"/>
  <c r="M85" i="28"/>
  <c r="O85" i="28"/>
  <c r="Q85" i="28"/>
  <c r="S85" i="28"/>
  <c r="U85" i="28"/>
  <c r="W85" i="28"/>
  <c r="Y85" i="28"/>
  <c r="AA85" i="28"/>
  <c r="AC85" i="28"/>
  <c r="AE85" i="28"/>
  <c r="AG85" i="28"/>
  <c r="AI85" i="28"/>
  <c r="AK85" i="28"/>
  <c r="H85" i="28"/>
  <c r="L85" i="28"/>
  <c r="P85" i="28"/>
  <c r="T85" i="28"/>
  <c r="X85" i="28"/>
  <c r="AB85" i="28"/>
  <c r="AF85" i="28"/>
  <c r="AJ85" i="28"/>
  <c r="F85" i="28"/>
  <c r="J85" i="28"/>
  <c r="N85" i="28"/>
  <c r="R85" i="28"/>
  <c r="V85" i="28"/>
  <c r="Z85" i="28"/>
  <c r="AD85" i="28"/>
  <c r="AH85" i="28"/>
  <c r="AL85" i="28"/>
  <c r="E77" i="49"/>
  <c r="D77" i="49"/>
  <c r="C77" i="49"/>
  <c r="B77" i="49"/>
  <c r="A78" i="49"/>
  <c r="C85" i="28"/>
  <c r="B85" i="28"/>
  <c r="A86" i="28"/>
  <c r="E85" i="28"/>
  <c r="D85" i="28"/>
  <c r="G86" i="28" l="1"/>
  <c r="I86" i="28"/>
  <c r="K86" i="28"/>
  <c r="M86" i="28"/>
  <c r="O86" i="28"/>
  <c r="Q86" i="28"/>
  <c r="S86" i="28"/>
  <c r="U86" i="28"/>
  <c r="W86" i="28"/>
  <c r="Y86" i="28"/>
  <c r="AA86" i="28"/>
  <c r="AC86" i="28"/>
  <c r="AE86" i="28"/>
  <c r="AG86" i="28"/>
  <c r="AI86" i="28"/>
  <c r="AK86" i="28"/>
  <c r="F86" i="28"/>
  <c r="J86" i="28"/>
  <c r="N86" i="28"/>
  <c r="R86" i="28"/>
  <c r="V86" i="28"/>
  <c r="Z86" i="28"/>
  <c r="AD86" i="28"/>
  <c r="AH86" i="28"/>
  <c r="AL86" i="28"/>
  <c r="H86" i="28"/>
  <c r="L86" i="28"/>
  <c r="P86" i="28"/>
  <c r="T86" i="28"/>
  <c r="X86" i="28"/>
  <c r="AB86" i="28"/>
  <c r="AF86" i="28"/>
  <c r="AJ86" i="28"/>
  <c r="AM85" i="28"/>
  <c r="B78" i="49"/>
  <c r="D78" i="49"/>
  <c r="E78" i="49"/>
  <c r="C78" i="49"/>
  <c r="A79" i="49"/>
  <c r="E86" i="28"/>
  <c r="D86" i="28"/>
  <c r="A87" i="28"/>
  <c r="C86" i="28"/>
  <c r="B86" i="28"/>
  <c r="AM86" i="28" l="1"/>
  <c r="G87" i="28"/>
  <c r="I87" i="28"/>
  <c r="K87" i="28"/>
  <c r="M87" i="28"/>
  <c r="O87" i="28"/>
  <c r="Q87" i="28"/>
  <c r="S87" i="28"/>
  <c r="U87" i="28"/>
  <c r="W87" i="28"/>
  <c r="Y87" i="28"/>
  <c r="AA87" i="28"/>
  <c r="AC87" i="28"/>
  <c r="AE87" i="28"/>
  <c r="AG87" i="28"/>
  <c r="AI87" i="28"/>
  <c r="AK87" i="28"/>
  <c r="H87" i="28"/>
  <c r="L87" i="28"/>
  <c r="P87" i="28"/>
  <c r="T87" i="28"/>
  <c r="X87" i="28"/>
  <c r="AB87" i="28"/>
  <c r="AF87" i="28"/>
  <c r="AJ87" i="28"/>
  <c r="F87" i="28"/>
  <c r="J87" i="28"/>
  <c r="N87" i="28"/>
  <c r="R87" i="28"/>
  <c r="V87" i="28"/>
  <c r="Z87" i="28"/>
  <c r="AD87" i="28"/>
  <c r="AH87" i="28"/>
  <c r="AL87" i="28"/>
  <c r="E79" i="49"/>
  <c r="D79" i="49"/>
  <c r="B79" i="49"/>
  <c r="C79" i="49"/>
  <c r="A80" i="49"/>
  <c r="B87" i="28"/>
  <c r="E87" i="28"/>
  <c r="D87" i="28"/>
  <c r="C87" i="28"/>
  <c r="A88" i="28"/>
  <c r="G88" i="28" l="1"/>
  <c r="I88" i="28"/>
  <c r="K88" i="28"/>
  <c r="M88" i="28"/>
  <c r="O88" i="28"/>
  <c r="Q88" i="28"/>
  <c r="S88" i="28"/>
  <c r="U88" i="28"/>
  <c r="W88" i="28"/>
  <c r="Y88" i="28"/>
  <c r="AA88" i="28"/>
  <c r="AC88" i="28"/>
  <c r="AE88" i="28"/>
  <c r="AG88" i="28"/>
  <c r="AI88" i="28"/>
  <c r="AK88" i="28"/>
  <c r="F88" i="28"/>
  <c r="J88" i="28"/>
  <c r="N88" i="28"/>
  <c r="R88" i="28"/>
  <c r="V88" i="28"/>
  <c r="Z88" i="28"/>
  <c r="AD88" i="28"/>
  <c r="AH88" i="28"/>
  <c r="AL88" i="28"/>
  <c r="H88" i="28"/>
  <c r="L88" i="28"/>
  <c r="P88" i="28"/>
  <c r="T88" i="28"/>
  <c r="X88" i="28"/>
  <c r="AB88" i="28"/>
  <c r="AF88" i="28"/>
  <c r="AJ88" i="28"/>
  <c r="AM87" i="28"/>
  <c r="B80" i="49"/>
  <c r="C80" i="49"/>
  <c r="D80" i="49"/>
  <c r="E80" i="49"/>
  <c r="A81" i="49"/>
  <c r="E88" i="28"/>
  <c r="A89" i="28"/>
  <c r="C88" i="28"/>
  <c r="D88" i="28"/>
  <c r="B88" i="28"/>
  <c r="G89" i="28" l="1"/>
  <c r="I89" i="28"/>
  <c r="K89" i="28"/>
  <c r="M89" i="28"/>
  <c r="O89" i="28"/>
  <c r="Q89" i="28"/>
  <c r="S89" i="28"/>
  <c r="U89" i="28"/>
  <c r="W89" i="28"/>
  <c r="Y89" i="28"/>
  <c r="AA89" i="28"/>
  <c r="AC89" i="28"/>
  <c r="AE89" i="28"/>
  <c r="AG89" i="28"/>
  <c r="AI89" i="28"/>
  <c r="AK89" i="28"/>
  <c r="H89" i="28"/>
  <c r="L89" i="28"/>
  <c r="P89" i="28"/>
  <c r="T89" i="28"/>
  <c r="X89" i="28"/>
  <c r="AB89" i="28"/>
  <c r="AF89" i="28"/>
  <c r="AJ89" i="28"/>
  <c r="F89" i="28"/>
  <c r="J89" i="28"/>
  <c r="N89" i="28"/>
  <c r="R89" i="28"/>
  <c r="V89" i="28"/>
  <c r="Z89" i="28"/>
  <c r="AD89" i="28"/>
  <c r="AH89" i="28"/>
  <c r="AL89" i="28"/>
  <c r="AM88" i="28"/>
  <c r="E81" i="49"/>
  <c r="C81" i="49"/>
  <c r="B81" i="49"/>
  <c r="D81" i="49"/>
  <c r="A82" i="49"/>
  <c r="D89" i="28"/>
  <c r="B89" i="28"/>
  <c r="A90" i="28"/>
  <c r="C89" i="28"/>
  <c r="E89" i="28"/>
  <c r="F90" i="28" l="1"/>
  <c r="H90" i="28"/>
  <c r="J90" i="28"/>
  <c r="L90" i="28"/>
  <c r="N90" i="28"/>
  <c r="P90" i="28"/>
  <c r="R90" i="28"/>
  <c r="T90" i="28"/>
  <c r="V90" i="28"/>
  <c r="X90" i="28"/>
  <c r="Z90" i="28"/>
  <c r="AB90" i="28"/>
  <c r="AD90" i="28"/>
  <c r="AF90" i="28"/>
  <c r="AH90" i="28"/>
  <c r="AJ90" i="28"/>
  <c r="AL90" i="28"/>
  <c r="G90" i="28"/>
  <c r="K90" i="28"/>
  <c r="O90" i="28"/>
  <c r="S90" i="28"/>
  <c r="W90" i="28"/>
  <c r="AA90" i="28"/>
  <c r="AE90" i="28"/>
  <c r="AI90" i="28"/>
  <c r="I90" i="28"/>
  <c r="M90" i="28"/>
  <c r="Q90" i="28"/>
  <c r="U90" i="28"/>
  <c r="Y90" i="28"/>
  <c r="AC90" i="28"/>
  <c r="AG90" i="28"/>
  <c r="AK90" i="28"/>
  <c r="AM89" i="28"/>
  <c r="C82" i="49"/>
  <c r="E82" i="49"/>
  <c r="B82" i="49"/>
  <c r="D82" i="49"/>
  <c r="A83" i="49"/>
  <c r="C90" i="28"/>
  <c r="D90" i="28"/>
  <c r="A91" i="28"/>
  <c r="E90" i="28"/>
  <c r="B90" i="28"/>
  <c r="AM90" i="28" l="1"/>
  <c r="G91" i="28"/>
  <c r="I91" i="28"/>
  <c r="K91" i="28"/>
  <c r="M91" i="28"/>
  <c r="O91" i="28"/>
  <c r="Q91" i="28"/>
  <c r="S91" i="28"/>
  <c r="U91" i="28"/>
  <c r="W91" i="28"/>
  <c r="Y91" i="28"/>
  <c r="AA91" i="28"/>
  <c r="AC91" i="28"/>
  <c r="AE91" i="28"/>
  <c r="AG91" i="28"/>
  <c r="AI91" i="28"/>
  <c r="AK91" i="28"/>
  <c r="F91" i="28"/>
  <c r="J91" i="28"/>
  <c r="N91" i="28"/>
  <c r="R91" i="28"/>
  <c r="V91" i="28"/>
  <c r="Z91" i="28"/>
  <c r="AD91" i="28"/>
  <c r="AH91" i="28"/>
  <c r="AL91" i="28"/>
  <c r="H91" i="28"/>
  <c r="L91" i="28"/>
  <c r="P91" i="28"/>
  <c r="T91" i="28"/>
  <c r="X91" i="28"/>
  <c r="AB91" i="28"/>
  <c r="AF91" i="28"/>
  <c r="AJ91" i="28"/>
  <c r="B83" i="49"/>
  <c r="D83" i="49"/>
  <c r="C83" i="49"/>
  <c r="E83" i="49"/>
  <c r="A84" i="49"/>
  <c r="C91" i="28"/>
  <c r="B91" i="28"/>
  <c r="D91" i="28"/>
  <c r="E91" i="28"/>
  <c r="A92" i="28"/>
  <c r="G92" i="28" l="1"/>
  <c r="I92" i="28"/>
  <c r="K92" i="28"/>
  <c r="M92" i="28"/>
  <c r="O92" i="28"/>
  <c r="Q92" i="28"/>
  <c r="S92" i="28"/>
  <c r="U92" i="28"/>
  <c r="W92" i="28"/>
  <c r="Y92" i="28"/>
  <c r="AA92" i="28"/>
  <c r="AC92" i="28"/>
  <c r="AE92" i="28"/>
  <c r="AG92" i="28"/>
  <c r="AI92" i="28"/>
  <c r="AK92" i="28"/>
  <c r="H92" i="28"/>
  <c r="L92" i="28"/>
  <c r="P92" i="28"/>
  <c r="T92" i="28"/>
  <c r="X92" i="28"/>
  <c r="AB92" i="28"/>
  <c r="AF92" i="28"/>
  <c r="AJ92" i="28"/>
  <c r="F92" i="28"/>
  <c r="J92" i="28"/>
  <c r="N92" i="28"/>
  <c r="R92" i="28"/>
  <c r="V92" i="28"/>
  <c r="Z92" i="28"/>
  <c r="AD92" i="28"/>
  <c r="AH92" i="28"/>
  <c r="AL92" i="28"/>
  <c r="AM91" i="28"/>
  <c r="B84" i="49"/>
  <c r="D84" i="49"/>
  <c r="C84" i="49"/>
  <c r="E84" i="49"/>
  <c r="A85" i="49"/>
  <c r="A93" i="28"/>
  <c r="E92" i="28"/>
  <c r="B92" i="28"/>
  <c r="D92" i="28"/>
  <c r="C92" i="28"/>
  <c r="E93" i="28" l="1"/>
  <c r="F93" i="28"/>
  <c r="H93" i="28"/>
  <c r="J93" i="28"/>
  <c r="L93" i="28"/>
  <c r="N93" i="28"/>
  <c r="P93" i="28"/>
  <c r="R93" i="28"/>
  <c r="T93" i="28"/>
  <c r="V93" i="28"/>
  <c r="X93" i="28"/>
  <c r="Z93" i="28"/>
  <c r="AB93" i="28"/>
  <c r="AD93" i="28"/>
  <c r="AF93" i="28"/>
  <c r="AH93" i="28"/>
  <c r="AJ93" i="28"/>
  <c r="AL93" i="28"/>
  <c r="G93" i="28"/>
  <c r="K93" i="28"/>
  <c r="O93" i="28"/>
  <c r="S93" i="28"/>
  <c r="W93" i="28"/>
  <c r="AA93" i="28"/>
  <c r="AE93" i="28"/>
  <c r="AI93" i="28"/>
  <c r="I93" i="28"/>
  <c r="M93" i="28"/>
  <c r="Q93" i="28"/>
  <c r="U93" i="28"/>
  <c r="Y93" i="28"/>
  <c r="AC93" i="28"/>
  <c r="AG93" i="28"/>
  <c r="AK93" i="28"/>
  <c r="AM92" i="28"/>
  <c r="D85" i="49"/>
  <c r="B85" i="49"/>
  <c r="E85" i="49"/>
  <c r="C85" i="49"/>
  <c r="A86" i="49"/>
  <c r="B93" i="28"/>
  <c r="A94" i="28"/>
  <c r="C93" i="28"/>
  <c r="D93" i="28"/>
  <c r="G94" i="28" l="1"/>
  <c r="I94" i="28"/>
  <c r="K94" i="28"/>
  <c r="M94" i="28"/>
  <c r="O94" i="28"/>
  <c r="Q94" i="28"/>
  <c r="S94" i="28"/>
  <c r="U94" i="28"/>
  <c r="W94" i="28"/>
  <c r="Y94" i="28"/>
  <c r="AA94" i="28"/>
  <c r="AC94" i="28"/>
  <c r="AE94" i="28"/>
  <c r="AG94" i="28"/>
  <c r="AI94" i="28"/>
  <c r="AK94" i="28"/>
  <c r="F94" i="28"/>
  <c r="J94" i="28"/>
  <c r="N94" i="28"/>
  <c r="R94" i="28"/>
  <c r="V94" i="28"/>
  <c r="Z94" i="28"/>
  <c r="AD94" i="28"/>
  <c r="AH94" i="28"/>
  <c r="AL94" i="28"/>
  <c r="H94" i="28"/>
  <c r="L94" i="28"/>
  <c r="P94" i="28"/>
  <c r="T94" i="28"/>
  <c r="X94" i="28"/>
  <c r="AB94" i="28"/>
  <c r="AF94" i="28"/>
  <c r="AJ94" i="28"/>
  <c r="AM93" i="28"/>
  <c r="B86" i="49"/>
  <c r="D86" i="49"/>
  <c r="E86" i="49"/>
  <c r="C86" i="49"/>
  <c r="A87" i="49"/>
  <c r="A95" i="28"/>
  <c r="D94" i="28"/>
  <c r="E94" i="28"/>
  <c r="C94" i="28"/>
  <c r="B94" i="28"/>
  <c r="A96" i="28" l="1"/>
  <c r="E96" i="28" s="1"/>
  <c r="F95" i="28"/>
  <c r="H95" i="28"/>
  <c r="J95" i="28"/>
  <c r="L95" i="28"/>
  <c r="N95" i="28"/>
  <c r="P95" i="28"/>
  <c r="R95" i="28"/>
  <c r="T95" i="28"/>
  <c r="V95" i="28"/>
  <c r="X95" i="28"/>
  <c r="Z95" i="28"/>
  <c r="AB95" i="28"/>
  <c r="AD95" i="28"/>
  <c r="AF95" i="28"/>
  <c r="AH95" i="28"/>
  <c r="AJ95" i="28"/>
  <c r="AL95" i="28"/>
  <c r="I95" i="28"/>
  <c r="M95" i="28"/>
  <c r="Q95" i="28"/>
  <c r="U95" i="28"/>
  <c r="Y95" i="28"/>
  <c r="AC95" i="28"/>
  <c r="AG95" i="28"/>
  <c r="AK95" i="28"/>
  <c r="G95" i="28"/>
  <c r="K95" i="28"/>
  <c r="O95" i="28"/>
  <c r="S95" i="28"/>
  <c r="W95" i="28"/>
  <c r="AA95" i="28"/>
  <c r="AE95" i="28"/>
  <c r="AI95" i="28"/>
  <c r="AM94" i="28"/>
  <c r="B87" i="49"/>
  <c r="D87" i="49"/>
  <c r="E87" i="49"/>
  <c r="C87" i="49"/>
  <c r="A88" i="49"/>
  <c r="E95" i="28"/>
  <c r="D95" i="28"/>
  <c r="C95" i="28"/>
  <c r="B95" i="28"/>
  <c r="D96" i="28" l="1"/>
  <c r="B96" i="28"/>
  <c r="A97" i="28"/>
  <c r="F97" i="28" s="1"/>
  <c r="C96" i="28"/>
  <c r="AM95" i="28"/>
  <c r="G96" i="28"/>
  <c r="I96" i="28"/>
  <c r="K96" i="28"/>
  <c r="M96" i="28"/>
  <c r="O96" i="28"/>
  <c r="Q96" i="28"/>
  <c r="S96" i="28"/>
  <c r="U96" i="28"/>
  <c r="W96" i="28"/>
  <c r="Y96" i="28"/>
  <c r="AA96" i="28"/>
  <c r="AC96" i="28"/>
  <c r="AE96" i="28"/>
  <c r="AG96" i="28"/>
  <c r="AI96" i="28"/>
  <c r="AK96" i="28"/>
  <c r="H96" i="28"/>
  <c r="L96" i="28"/>
  <c r="P96" i="28"/>
  <c r="T96" i="28"/>
  <c r="X96" i="28"/>
  <c r="AB96" i="28"/>
  <c r="AF96" i="28"/>
  <c r="AJ96" i="28"/>
  <c r="F96" i="28"/>
  <c r="J96" i="28"/>
  <c r="N96" i="28"/>
  <c r="R96" i="28"/>
  <c r="V96" i="28"/>
  <c r="Z96" i="28"/>
  <c r="AD96" i="28"/>
  <c r="AH96" i="28"/>
  <c r="AL96" i="28"/>
  <c r="C88" i="49"/>
  <c r="E88" i="49"/>
  <c r="D88" i="49"/>
  <c r="B88" i="49"/>
  <c r="A89" i="49"/>
  <c r="E97" i="28" l="1"/>
  <c r="A98" i="28"/>
  <c r="I98" i="28" s="1"/>
  <c r="D97" i="28"/>
  <c r="B97" i="28"/>
  <c r="C97" i="28"/>
  <c r="Q97" i="28"/>
  <c r="AG97" i="28"/>
  <c r="AA97" i="28"/>
  <c r="Y97" i="28"/>
  <c r="I97" i="28"/>
  <c r="AH97" i="28"/>
  <c r="AK97" i="28"/>
  <c r="AC97" i="28"/>
  <c r="U97" i="28"/>
  <c r="M97" i="28"/>
  <c r="AI97" i="28"/>
  <c r="K97" i="28"/>
  <c r="V97" i="28"/>
  <c r="AE97" i="28"/>
  <c r="S97" i="28"/>
  <c r="AL97" i="28"/>
  <c r="AD97" i="28"/>
  <c r="N97" i="28"/>
  <c r="W97" i="28"/>
  <c r="O97" i="28"/>
  <c r="G97" i="28"/>
  <c r="AJ97" i="28"/>
  <c r="AF97" i="28"/>
  <c r="Z97" i="28"/>
  <c r="R97" i="28"/>
  <c r="J97" i="28"/>
  <c r="AB97" i="28"/>
  <c r="X97" i="28"/>
  <c r="T97" i="28"/>
  <c r="P97" i="28"/>
  <c r="L97" i="28"/>
  <c r="H97" i="28"/>
  <c r="G98" i="28"/>
  <c r="AM96" i="28"/>
  <c r="D89" i="49"/>
  <c r="E89" i="49"/>
  <c r="C89" i="49"/>
  <c r="B89" i="49"/>
  <c r="A90" i="49"/>
  <c r="AJ98" i="28" l="1"/>
  <c r="F98" i="28"/>
  <c r="AL98" i="28"/>
  <c r="W98" i="28"/>
  <c r="A99" i="28"/>
  <c r="A100" i="28" s="1"/>
  <c r="T98" i="28"/>
  <c r="V98" i="28"/>
  <c r="AE98" i="28"/>
  <c r="O98" i="28"/>
  <c r="C98" i="28"/>
  <c r="AB98" i="28"/>
  <c r="L98" i="28"/>
  <c r="AD98" i="28"/>
  <c r="N98" i="28"/>
  <c r="AI98" i="28"/>
  <c r="AA98" i="28"/>
  <c r="S98" i="28"/>
  <c r="K98" i="28"/>
  <c r="E98" i="28"/>
  <c r="B98" i="28"/>
  <c r="D98" i="28"/>
  <c r="AF98" i="28"/>
  <c r="X98" i="28"/>
  <c r="P98" i="28"/>
  <c r="H98" i="28"/>
  <c r="AH98" i="28"/>
  <c r="Z98" i="28"/>
  <c r="R98" i="28"/>
  <c r="J98" i="28"/>
  <c r="AK98" i="28"/>
  <c r="AG98" i="28"/>
  <c r="AC98" i="28"/>
  <c r="Y98" i="28"/>
  <c r="U98" i="28"/>
  <c r="Q98" i="28"/>
  <c r="M98" i="28"/>
  <c r="AM97" i="28"/>
  <c r="C90" i="49"/>
  <c r="D90" i="49"/>
  <c r="B90" i="49"/>
  <c r="E90" i="49"/>
  <c r="A91" i="49"/>
  <c r="AE99" i="28" l="1"/>
  <c r="AG99" i="28"/>
  <c r="B99" i="28"/>
  <c r="AJ99" i="28"/>
  <c r="T99" i="28"/>
  <c r="O99" i="28"/>
  <c r="Q99" i="28"/>
  <c r="AB99" i="28"/>
  <c r="L99" i="28"/>
  <c r="D99" i="28"/>
  <c r="W99" i="28"/>
  <c r="G99" i="28"/>
  <c r="Y99" i="28"/>
  <c r="I99" i="28"/>
  <c r="AF99" i="28"/>
  <c r="X99" i="28"/>
  <c r="P99" i="28"/>
  <c r="H99" i="28"/>
  <c r="C99" i="28"/>
  <c r="E99" i="28"/>
  <c r="AI99" i="28"/>
  <c r="AA99" i="28"/>
  <c r="S99" i="28"/>
  <c r="K99" i="28"/>
  <c r="AK99" i="28"/>
  <c r="AC99" i="28"/>
  <c r="U99" i="28"/>
  <c r="M99" i="28"/>
  <c r="AL99" i="28"/>
  <c r="AH99" i="28"/>
  <c r="AD99" i="28"/>
  <c r="Z99" i="28"/>
  <c r="V99" i="28"/>
  <c r="R99" i="28"/>
  <c r="N99" i="28"/>
  <c r="J99" i="28"/>
  <c r="F99" i="28"/>
  <c r="C100" i="28"/>
  <c r="G100" i="28"/>
  <c r="K100" i="28"/>
  <c r="O100" i="28"/>
  <c r="S100" i="28"/>
  <c r="W100" i="28"/>
  <c r="AA100" i="28"/>
  <c r="AE100" i="28"/>
  <c r="AI100" i="28"/>
  <c r="B100" i="28"/>
  <c r="F100" i="28"/>
  <c r="J100" i="28"/>
  <c r="N100" i="28"/>
  <c r="R100" i="28"/>
  <c r="V100" i="28"/>
  <c r="Z100" i="28"/>
  <c r="AD100" i="28"/>
  <c r="AH100" i="28"/>
  <c r="AL100" i="28"/>
  <c r="E100" i="28"/>
  <c r="M100" i="28"/>
  <c r="U100" i="28"/>
  <c r="AC100" i="28"/>
  <c r="AK100" i="28"/>
  <c r="H100" i="28"/>
  <c r="P100" i="28"/>
  <c r="X100" i="28"/>
  <c r="AF100" i="28"/>
  <c r="Q100" i="28"/>
  <c r="AG100" i="28"/>
  <c r="L100" i="28"/>
  <c r="AB100" i="28"/>
  <c r="I100" i="28"/>
  <c r="Y100" i="28"/>
  <c r="D100" i="28"/>
  <c r="T100" i="28"/>
  <c r="AJ100" i="28"/>
  <c r="A101" i="28"/>
  <c r="AM98" i="28"/>
  <c r="E91" i="49"/>
  <c r="C91" i="49"/>
  <c r="B91" i="49"/>
  <c r="D91" i="49"/>
  <c r="A92" i="49"/>
  <c r="G18" i="50"/>
  <c r="E13" i="50"/>
  <c r="E18" i="50" s="1"/>
  <c r="F18" i="50"/>
  <c r="H13" i="50"/>
  <c r="N13" i="50" s="1"/>
  <c r="H14" i="50"/>
  <c r="N14" i="50" s="1"/>
  <c r="AM99" i="28" l="1"/>
  <c r="I101" i="28"/>
  <c r="Q101" i="28"/>
  <c r="Y101" i="28"/>
  <c r="AG101" i="28"/>
  <c r="C101" i="28"/>
  <c r="M101" i="28"/>
  <c r="AC101" i="28"/>
  <c r="G101" i="28"/>
  <c r="O101" i="28"/>
  <c r="W101" i="28"/>
  <c r="AE101" i="28"/>
  <c r="D101" i="28"/>
  <c r="L101" i="28"/>
  <c r="T101" i="28"/>
  <c r="AB101" i="28"/>
  <c r="AJ101" i="28"/>
  <c r="F101" i="28"/>
  <c r="N101" i="28"/>
  <c r="V101" i="28"/>
  <c r="AD101" i="28"/>
  <c r="AL101" i="28"/>
  <c r="U101" i="28"/>
  <c r="K101" i="28"/>
  <c r="AA101" i="28"/>
  <c r="H101" i="28"/>
  <c r="X101" i="28"/>
  <c r="B101" i="28"/>
  <c r="R101" i="28"/>
  <c r="AH101" i="28"/>
  <c r="E101" i="28"/>
  <c r="S101" i="28"/>
  <c r="P101" i="28"/>
  <c r="J101" i="28"/>
  <c r="AK101" i="28"/>
  <c r="AI101" i="28"/>
  <c r="AF101" i="28"/>
  <c r="Z101" i="28"/>
  <c r="A102" i="28"/>
  <c r="AM100" i="28"/>
  <c r="E92" i="49"/>
  <c r="C92" i="49"/>
  <c r="B92" i="49"/>
  <c r="D92" i="49"/>
  <c r="A93" i="49"/>
  <c r="E3" i="28"/>
  <c r="N18" i="50"/>
  <c r="H18" i="50"/>
  <c r="I102" i="28" l="1"/>
  <c r="Q102" i="28"/>
  <c r="Y102" i="28"/>
  <c r="AG102" i="28"/>
  <c r="F102" i="28"/>
  <c r="V102" i="28"/>
  <c r="AL102" i="28"/>
  <c r="P102" i="28"/>
  <c r="AF102" i="28"/>
  <c r="G102" i="28"/>
  <c r="O102" i="28"/>
  <c r="W102" i="28"/>
  <c r="AE102" i="28"/>
  <c r="B102" i="28"/>
  <c r="R102" i="28"/>
  <c r="AH102" i="28"/>
  <c r="L102" i="28"/>
  <c r="AB102" i="28"/>
  <c r="M102" i="28"/>
  <c r="AC102" i="28"/>
  <c r="N102" i="28"/>
  <c r="H102" i="28"/>
  <c r="C102" i="28"/>
  <c r="S102" i="28"/>
  <c r="AI102" i="28"/>
  <c r="Z102" i="28"/>
  <c r="T102" i="28"/>
  <c r="U102" i="28"/>
  <c r="AD102" i="28"/>
  <c r="K102" i="28"/>
  <c r="J102" i="28"/>
  <c r="AJ102" i="28"/>
  <c r="E102" i="28"/>
  <c r="AK102" i="28"/>
  <c r="X102" i="28"/>
  <c r="AA102" i="28"/>
  <c r="D102" i="28"/>
  <c r="A103" i="28"/>
  <c r="AM101" i="28"/>
  <c r="B93" i="49"/>
  <c r="E93" i="49"/>
  <c r="D93" i="49"/>
  <c r="C93" i="49"/>
  <c r="A94" i="49"/>
  <c r="A5" i="28"/>
  <c r="AN201" i="27"/>
  <c r="B201" i="27"/>
  <c r="E23" i="58" s="1"/>
  <c r="B23" i="58" s="1"/>
  <c r="E19" i="58"/>
  <c r="B19" i="58" s="1"/>
  <c r="G16" i="58" l="1"/>
  <c r="C38" i="58"/>
  <c r="G33" i="58"/>
  <c r="C34" i="58"/>
  <c r="F13" i="58"/>
  <c r="F20" i="58"/>
  <c r="G19" i="58"/>
  <c r="H36" i="58"/>
  <c r="F15" i="58"/>
  <c r="G38" i="58"/>
  <c r="H10" i="58"/>
  <c r="G25" i="58"/>
  <c r="G18" i="58"/>
  <c r="C30" i="58"/>
  <c r="E35" i="58"/>
  <c r="B35" i="58" s="1"/>
  <c r="F11" i="58"/>
  <c r="C25" i="58"/>
  <c r="H20" i="58"/>
  <c r="H18" i="58"/>
  <c r="E31" i="58"/>
  <c r="B31" i="58" s="1"/>
  <c r="F38" i="58"/>
  <c r="G39" i="58"/>
  <c r="C14" i="58"/>
  <c r="H27" i="58"/>
  <c r="G8" i="58"/>
  <c r="C32" i="58"/>
  <c r="H23" i="58"/>
  <c r="C7" i="58"/>
  <c r="F39" i="58"/>
  <c r="C28" i="58"/>
  <c r="E27" i="58"/>
  <c r="B27" i="58" s="1"/>
  <c r="F31" i="58"/>
  <c r="G36" i="58"/>
  <c r="F25" i="58"/>
  <c r="F26" i="58"/>
  <c r="H31" i="58"/>
  <c r="C22" i="58"/>
  <c r="C18" i="58"/>
  <c r="F24" i="58"/>
  <c r="H22" i="58"/>
  <c r="E39" i="58"/>
  <c r="B39" i="58" s="1"/>
  <c r="E11" i="58"/>
  <c r="B11" i="58" s="1"/>
  <c r="G5" i="58"/>
  <c r="G6" i="58"/>
  <c r="E6" i="58"/>
  <c r="F6" i="58"/>
  <c r="H5" i="58"/>
  <c r="H6" i="58"/>
  <c r="C6" i="58"/>
  <c r="F5" i="58"/>
  <c r="E5" i="58"/>
  <c r="C5" i="58"/>
  <c r="B103" i="28"/>
  <c r="J103" i="28"/>
  <c r="R103" i="28"/>
  <c r="Z103" i="28"/>
  <c r="AH103" i="28"/>
  <c r="G103" i="28"/>
  <c r="W103" i="28"/>
  <c r="E103" i="28"/>
  <c r="U103" i="28"/>
  <c r="AK103" i="28"/>
  <c r="H103" i="28"/>
  <c r="P103" i="28"/>
  <c r="X103" i="28"/>
  <c r="AF103" i="28"/>
  <c r="C103" i="28"/>
  <c r="S103" i="28"/>
  <c r="AI103" i="28"/>
  <c r="Q103" i="28"/>
  <c r="AG103" i="28"/>
  <c r="N103" i="28"/>
  <c r="AD103" i="28"/>
  <c r="O103" i="28"/>
  <c r="M103" i="28"/>
  <c r="D103" i="28"/>
  <c r="T103" i="28"/>
  <c r="AJ103" i="28"/>
  <c r="AA103" i="28"/>
  <c r="Y103" i="28"/>
  <c r="F103" i="28"/>
  <c r="AL103" i="28"/>
  <c r="AC103" i="28"/>
  <c r="AB103" i="28"/>
  <c r="I103" i="28"/>
  <c r="V103" i="28"/>
  <c r="L103" i="28"/>
  <c r="AE103" i="28"/>
  <c r="K103" i="28"/>
  <c r="A104" i="28"/>
  <c r="AM102" i="28"/>
  <c r="B94" i="49"/>
  <c r="D94" i="49"/>
  <c r="E94" i="49"/>
  <c r="C94" i="49"/>
  <c r="A95" i="49"/>
  <c r="E15" i="58"/>
  <c r="B15" i="58" s="1"/>
  <c r="E7" i="58"/>
  <c r="B7" i="58" s="1"/>
  <c r="E8" i="58"/>
  <c r="B8" i="58" s="1"/>
  <c r="E10" i="58"/>
  <c r="B10" i="58" s="1"/>
  <c r="E12" i="58"/>
  <c r="B12" i="58" s="1"/>
  <c r="E14" i="58"/>
  <c r="B14" i="58" s="1"/>
  <c r="E16" i="58"/>
  <c r="B16" i="58" s="1"/>
  <c r="E18" i="58"/>
  <c r="B18" i="58" s="1"/>
  <c r="E20" i="58"/>
  <c r="B20" i="58" s="1"/>
  <c r="E22" i="58"/>
  <c r="B22" i="58" s="1"/>
  <c r="E24" i="58"/>
  <c r="B24" i="58" s="1"/>
  <c r="E26" i="58"/>
  <c r="B26" i="58" s="1"/>
  <c r="E28" i="58"/>
  <c r="B28" i="58" s="1"/>
  <c r="E30" i="58"/>
  <c r="B30" i="58" s="1"/>
  <c r="E32" i="58"/>
  <c r="B32" i="58" s="1"/>
  <c r="E34" i="58"/>
  <c r="B34" i="58" s="1"/>
  <c r="E36" i="58"/>
  <c r="B36" i="58" s="1"/>
  <c r="E38" i="58"/>
  <c r="B38" i="58" s="1"/>
  <c r="G11" i="58"/>
  <c r="H7" i="58"/>
  <c r="C20" i="58"/>
  <c r="G7" i="58"/>
  <c r="F37" i="58"/>
  <c r="H24" i="58"/>
  <c r="F33" i="58"/>
  <c r="G20" i="58"/>
  <c r="G28" i="58"/>
  <c r="H19" i="58"/>
  <c r="H11" i="58"/>
  <c r="G29" i="58"/>
  <c r="H29" i="58"/>
  <c r="F23" i="58"/>
  <c r="G26" i="58"/>
  <c r="H30" i="58"/>
  <c r="H28" i="58"/>
  <c r="H39" i="58"/>
  <c r="F12" i="58"/>
  <c r="C12" i="58"/>
  <c r="G34" i="58"/>
  <c r="G32" i="58"/>
  <c r="F19" i="58"/>
  <c r="G37" i="58"/>
  <c r="C24" i="58"/>
  <c r="C11" i="58"/>
  <c r="G10" i="58"/>
  <c r="H38" i="58"/>
  <c r="C29" i="58"/>
  <c r="H13" i="58"/>
  <c r="F21" i="58"/>
  <c r="G23" i="58"/>
  <c r="F27" i="58"/>
  <c r="G14" i="58"/>
  <c r="F30" i="58"/>
  <c r="G17" i="58"/>
  <c r="G35" i="58"/>
  <c r="F34" i="58"/>
  <c r="H25" i="58"/>
  <c r="H9" i="58"/>
  <c r="C13" i="58"/>
  <c r="F18" i="58"/>
  <c r="C16" i="58"/>
  <c r="C33" i="58"/>
  <c r="H15" i="58"/>
  <c r="F14" i="58"/>
  <c r="F32" i="58"/>
  <c r="G12" i="58"/>
  <c r="H12" i="58"/>
  <c r="H26" i="58"/>
  <c r="H21" i="58"/>
  <c r="C19" i="58"/>
  <c r="C9" i="58"/>
  <c r="G9" i="58"/>
  <c r="C31" i="58"/>
  <c r="G31" i="58"/>
  <c r="H17" i="58"/>
  <c r="F29" i="58"/>
  <c r="H34" i="58"/>
  <c r="F10" i="58"/>
  <c r="C35" i="58"/>
  <c r="F9" i="58"/>
  <c r="C39" i="58"/>
  <c r="C26" i="58"/>
  <c r="F7" i="58"/>
  <c r="G24" i="58"/>
  <c r="H8" i="58"/>
  <c r="F35" i="58"/>
  <c r="G27" i="58"/>
  <c r="C27" i="58"/>
  <c r="G22" i="58"/>
  <c r="F28" i="58"/>
  <c r="H33" i="58"/>
  <c r="C36" i="58"/>
  <c r="G15" i="58"/>
  <c r="H16" i="58"/>
  <c r="H37" i="58"/>
  <c r="F8" i="58"/>
  <c r="C10" i="58"/>
  <c r="H14" i="58"/>
  <c r="F16" i="58"/>
  <c r="C8" i="58"/>
  <c r="C15" i="58"/>
  <c r="F36" i="58"/>
  <c r="C17" i="58"/>
  <c r="F22" i="58"/>
  <c r="G13" i="58"/>
  <c r="C37" i="58"/>
  <c r="G30" i="58"/>
  <c r="H32" i="58"/>
  <c r="G21" i="58"/>
  <c r="F17" i="58"/>
  <c r="C21" i="58"/>
  <c r="H35" i="58"/>
  <c r="C23" i="58"/>
  <c r="E37" i="58"/>
  <c r="B37" i="58" s="1"/>
  <c r="E33" i="58"/>
  <c r="B33" i="58" s="1"/>
  <c r="E29" i="58"/>
  <c r="B29" i="58" s="1"/>
  <c r="E25" i="58"/>
  <c r="B25" i="58" s="1"/>
  <c r="E21" i="58"/>
  <c r="B21" i="58" s="1"/>
  <c r="E17" i="58"/>
  <c r="B17" i="58" s="1"/>
  <c r="E13" i="58"/>
  <c r="B13" i="58" s="1"/>
  <c r="E9" i="58"/>
  <c r="B9" i="58" s="1"/>
  <c r="I104" i="28" l="1"/>
  <c r="Q104" i="28"/>
  <c r="Y104" i="28"/>
  <c r="AG104" i="28"/>
  <c r="H104" i="28"/>
  <c r="X104" i="28"/>
  <c r="B104" i="28"/>
  <c r="R104" i="28"/>
  <c r="Z104" i="28"/>
  <c r="G104" i="28"/>
  <c r="O104" i="28"/>
  <c r="W104" i="28"/>
  <c r="AE104" i="28"/>
  <c r="D104" i="28"/>
  <c r="T104" i="28"/>
  <c r="AJ104" i="28"/>
  <c r="N104" i="28"/>
  <c r="AL104" i="28"/>
  <c r="E104" i="28"/>
  <c r="U104" i="28"/>
  <c r="AK104" i="28"/>
  <c r="AF104" i="28"/>
  <c r="AD104" i="28"/>
  <c r="K104" i="28"/>
  <c r="AA104" i="28"/>
  <c r="L104" i="28"/>
  <c r="F104" i="28"/>
  <c r="AH104" i="28"/>
  <c r="AC104" i="28"/>
  <c r="J104" i="28"/>
  <c r="S104" i="28"/>
  <c r="AB104" i="28"/>
  <c r="P104" i="28"/>
  <c r="AI104" i="28"/>
  <c r="M104" i="28"/>
  <c r="C104" i="28"/>
  <c r="V104" i="28"/>
  <c r="A105" i="28"/>
  <c r="AM103" i="28"/>
  <c r="E95" i="49"/>
  <c r="C95" i="49"/>
  <c r="D95" i="49"/>
  <c r="B95" i="49"/>
  <c r="A96" i="49"/>
  <c r="B5" i="58"/>
  <c r="B40" i="58"/>
  <c r="B6" i="58"/>
  <c r="B41" i="58"/>
  <c r="B105" i="28" l="1"/>
  <c r="J105" i="28"/>
  <c r="M105" i="28"/>
  <c r="U105" i="28"/>
  <c r="AC105" i="28"/>
  <c r="AK105" i="28"/>
  <c r="V105" i="28"/>
  <c r="AL105" i="28"/>
  <c r="T105" i="28"/>
  <c r="AJ105" i="28"/>
  <c r="H105" i="28"/>
  <c r="I105" i="28"/>
  <c r="S105" i="28"/>
  <c r="AA105" i="28"/>
  <c r="AI105" i="28"/>
  <c r="R105" i="28"/>
  <c r="AH105" i="28"/>
  <c r="P105" i="28"/>
  <c r="AF105" i="28"/>
  <c r="E105" i="28"/>
  <c r="Y105" i="28"/>
  <c r="N105" i="28"/>
  <c r="K105" i="28"/>
  <c r="D105" i="28"/>
  <c r="O105" i="28"/>
  <c r="AE105" i="28"/>
  <c r="Z105" i="28"/>
  <c r="X105" i="28"/>
  <c r="F105" i="28"/>
  <c r="AG105" i="28"/>
  <c r="AB105" i="28"/>
  <c r="W105" i="28"/>
  <c r="C105" i="28"/>
  <c r="Q105" i="28"/>
  <c r="AD105" i="28"/>
  <c r="L105" i="28"/>
  <c r="G105" i="28"/>
  <c r="A106" i="28"/>
  <c r="AM104" i="28"/>
  <c r="E96" i="49"/>
  <c r="B96" i="49"/>
  <c r="C96" i="49"/>
  <c r="D96" i="49"/>
  <c r="A97" i="49"/>
  <c r="A8" i="57"/>
  <c r="F8" i="57" s="1"/>
  <c r="F106" i="28" l="1"/>
  <c r="N106" i="28"/>
  <c r="V106" i="28"/>
  <c r="AD106" i="28"/>
  <c r="AL106" i="28"/>
  <c r="O106" i="28"/>
  <c r="AE106" i="28"/>
  <c r="M106" i="28"/>
  <c r="AC106" i="28"/>
  <c r="D106" i="28"/>
  <c r="L106" i="28"/>
  <c r="T106" i="28"/>
  <c r="AB106" i="28"/>
  <c r="AJ106" i="28"/>
  <c r="K106" i="28"/>
  <c r="AA106" i="28"/>
  <c r="I106" i="28"/>
  <c r="Y106" i="28"/>
  <c r="B106" i="28"/>
  <c r="R106" i="28"/>
  <c r="AH106" i="28"/>
  <c r="W106" i="28"/>
  <c r="U106" i="28"/>
  <c r="H106" i="28"/>
  <c r="X106" i="28"/>
  <c r="C106" i="28"/>
  <c r="AI106" i="28"/>
  <c r="AG106" i="28"/>
  <c r="Z106" i="28"/>
  <c r="E106" i="28"/>
  <c r="P106" i="28"/>
  <c r="S106" i="28"/>
  <c r="J106" i="28"/>
  <c r="G106" i="28"/>
  <c r="AK106" i="28"/>
  <c r="AF106" i="28"/>
  <c r="Q106" i="28"/>
  <c r="A107" i="28"/>
  <c r="AM105" i="28"/>
  <c r="D97" i="49"/>
  <c r="E97" i="49"/>
  <c r="C97" i="49"/>
  <c r="B97" i="49"/>
  <c r="A98" i="49"/>
  <c r="H8" i="57"/>
  <c r="G8" i="57"/>
  <c r="E8" i="57"/>
  <c r="I8" i="57"/>
  <c r="D8" i="57"/>
  <c r="A9" i="57"/>
  <c r="H9" i="57" s="1"/>
  <c r="B8" i="57"/>
  <c r="C8" i="57"/>
  <c r="C107" i="28" l="1"/>
  <c r="K107" i="28"/>
  <c r="S107" i="28"/>
  <c r="AA107" i="28"/>
  <c r="AI107" i="28"/>
  <c r="L107" i="28"/>
  <c r="AB107" i="28"/>
  <c r="F107" i="28"/>
  <c r="V107" i="28"/>
  <c r="AL107" i="28"/>
  <c r="I107" i="28"/>
  <c r="Q107" i="28"/>
  <c r="Y107" i="28"/>
  <c r="AG107" i="28"/>
  <c r="H107" i="28"/>
  <c r="X107" i="28"/>
  <c r="B107" i="28"/>
  <c r="R107" i="28"/>
  <c r="AH107" i="28"/>
  <c r="G107" i="28"/>
  <c r="W107" i="28"/>
  <c r="D107" i="28"/>
  <c r="AJ107" i="28"/>
  <c r="AD107" i="28"/>
  <c r="M107" i="28"/>
  <c r="AC107" i="28"/>
  <c r="P107" i="28"/>
  <c r="J107" i="28"/>
  <c r="O107" i="28"/>
  <c r="T107" i="28"/>
  <c r="E107" i="28"/>
  <c r="AK107" i="28"/>
  <c r="Z107" i="28"/>
  <c r="N107" i="28"/>
  <c r="AF107" i="28"/>
  <c r="AE107" i="28"/>
  <c r="U107" i="28"/>
  <c r="A108" i="28"/>
  <c r="AM106" i="28"/>
  <c r="C98" i="49"/>
  <c r="E98" i="49"/>
  <c r="B98" i="49"/>
  <c r="D98" i="49"/>
  <c r="A99" i="49"/>
  <c r="I9" i="57"/>
  <c r="E9" i="57"/>
  <c r="G9" i="57"/>
  <c r="F9" i="57"/>
  <c r="B9" i="57"/>
  <c r="A10" i="57"/>
  <c r="C10" i="57" s="1"/>
  <c r="D9" i="57"/>
  <c r="C9" i="57"/>
  <c r="D108" i="28" l="1"/>
  <c r="L108" i="28"/>
  <c r="T108" i="28"/>
  <c r="AB108" i="28"/>
  <c r="AJ108" i="28"/>
  <c r="M108" i="28"/>
  <c r="AC108" i="28"/>
  <c r="G108" i="28"/>
  <c r="W108" i="28"/>
  <c r="B108" i="28"/>
  <c r="J108" i="28"/>
  <c r="R108" i="28"/>
  <c r="Z108" i="28"/>
  <c r="AH108" i="28"/>
  <c r="I108" i="28"/>
  <c r="Y108" i="28"/>
  <c r="C108" i="28"/>
  <c r="S108" i="28"/>
  <c r="AI108" i="28"/>
  <c r="H108" i="28"/>
  <c r="X108" i="28"/>
  <c r="E108" i="28"/>
  <c r="AK108" i="28"/>
  <c r="AE108" i="28"/>
  <c r="N108" i="28"/>
  <c r="AD108" i="28"/>
  <c r="Q108" i="28"/>
  <c r="K108" i="28"/>
  <c r="P108" i="28"/>
  <c r="U108" i="28"/>
  <c r="F108" i="28"/>
  <c r="AL108" i="28"/>
  <c r="AA108" i="28"/>
  <c r="AF108" i="28"/>
  <c r="O108" i="28"/>
  <c r="V108" i="28"/>
  <c r="AG108" i="28"/>
  <c r="A109" i="28"/>
  <c r="AM107" i="28"/>
  <c r="C99" i="49"/>
  <c r="A4" i="49" s="1"/>
  <c r="D99" i="49"/>
  <c r="B99" i="49"/>
  <c r="E99" i="49"/>
  <c r="E9" i="49" s="1"/>
  <c r="F9" i="49" s="1"/>
  <c r="B10" i="57"/>
  <c r="G10" i="57"/>
  <c r="E10" i="57"/>
  <c r="D10" i="57"/>
  <c r="I10" i="57"/>
  <c r="A11" i="57"/>
  <c r="B11" i="57" s="1"/>
  <c r="H10" i="57"/>
  <c r="F10" i="57"/>
  <c r="G109" i="28" l="1"/>
  <c r="O109" i="28"/>
  <c r="W109" i="28"/>
  <c r="AE109" i="28"/>
  <c r="B109" i="28"/>
  <c r="R109" i="28"/>
  <c r="AH109" i="28"/>
  <c r="L109" i="28"/>
  <c r="AB109" i="28"/>
  <c r="E109" i="28"/>
  <c r="M109" i="28"/>
  <c r="U109" i="28"/>
  <c r="AC109" i="28"/>
  <c r="AK109" i="28"/>
  <c r="N109" i="28"/>
  <c r="AD109" i="28"/>
  <c r="H109" i="28"/>
  <c r="X109" i="28"/>
  <c r="K109" i="28"/>
  <c r="AA109" i="28"/>
  <c r="J109" i="28"/>
  <c r="D109" i="28"/>
  <c r="AJ109" i="28"/>
  <c r="Q109" i="28"/>
  <c r="AG109" i="28"/>
  <c r="V109" i="28"/>
  <c r="P109" i="28"/>
  <c r="C109" i="28"/>
  <c r="AI109" i="28"/>
  <c r="T109" i="28"/>
  <c r="Y109" i="28"/>
  <c r="AL109" i="28"/>
  <c r="S109" i="28"/>
  <c r="Z109" i="28"/>
  <c r="I109" i="28"/>
  <c r="F109" i="28"/>
  <c r="AF109" i="28"/>
  <c r="A110" i="28"/>
  <c r="AM108" i="28"/>
  <c r="C11" i="57"/>
  <c r="E11" i="57"/>
  <c r="H11" i="57"/>
  <c r="A12" i="57"/>
  <c r="A13" i="57" s="1"/>
  <c r="I11" i="57"/>
  <c r="G11" i="57"/>
  <c r="F11" i="57"/>
  <c r="D11" i="57"/>
  <c r="AM109" i="28" l="1"/>
  <c r="F110" i="28"/>
  <c r="F9" i="28" s="1"/>
  <c r="N110" i="28"/>
  <c r="N9" i="28" s="1"/>
  <c r="V110" i="28"/>
  <c r="V9" i="28" s="1"/>
  <c r="AD110" i="28"/>
  <c r="AD9" i="28" s="1"/>
  <c r="AL110" i="28"/>
  <c r="AL9" i="28" s="1"/>
  <c r="O110" i="28"/>
  <c r="O9" i="28" s="1"/>
  <c r="AE110" i="28"/>
  <c r="AE9" i="28" s="1"/>
  <c r="M110" i="28"/>
  <c r="M9" i="28" s="1"/>
  <c r="AC110" i="28"/>
  <c r="AC9" i="28" s="1"/>
  <c r="D110" i="28"/>
  <c r="L110" i="28"/>
  <c r="L9" i="28" s="1"/>
  <c r="T110" i="28"/>
  <c r="T9" i="28" s="1"/>
  <c r="AB110" i="28"/>
  <c r="AB9" i="28" s="1"/>
  <c r="AJ110" i="28"/>
  <c r="AJ9" i="28" s="1"/>
  <c r="K110" i="28"/>
  <c r="K9" i="28" s="1"/>
  <c r="AA110" i="28"/>
  <c r="AA9" i="28" s="1"/>
  <c r="I110" i="28"/>
  <c r="I9" i="28" s="1"/>
  <c r="Y110" i="28"/>
  <c r="Y9" i="28" s="1"/>
  <c r="J110" i="28"/>
  <c r="J9" i="28" s="1"/>
  <c r="Z110" i="28"/>
  <c r="Z9" i="28" s="1"/>
  <c r="G110" i="28"/>
  <c r="G9" i="28" s="1"/>
  <c r="E110" i="28"/>
  <c r="AK110" i="28"/>
  <c r="AK9" i="28" s="1"/>
  <c r="P110" i="28"/>
  <c r="P9" i="28" s="1"/>
  <c r="AF110" i="28"/>
  <c r="AF9" i="28" s="1"/>
  <c r="S110" i="28"/>
  <c r="S9" i="28" s="1"/>
  <c r="Q110" i="28"/>
  <c r="Q9" i="28" s="1"/>
  <c r="B110" i="28"/>
  <c r="AH110" i="28"/>
  <c r="AH9" i="28" s="1"/>
  <c r="U110" i="28"/>
  <c r="U9" i="28" s="1"/>
  <c r="X110" i="28"/>
  <c r="AI110" i="28"/>
  <c r="AI9" i="28" s="1"/>
  <c r="R110" i="28"/>
  <c r="R9" i="28" s="1"/>
  <c r="W110" i="28"/>
  <c r="W9" i="28" s="1"/>
  <c r="H110" i="28"/>
  <c r="H9" i="28" s="1"/>
  <c r="C110" i="28"/>
  <c r="AG110" i="28"/>
  <c r="AG9" i="28" s="1"/>
  <c r="H12" i="57"/>
  <c r="C12" i="57"/>
  <c r="G12" i="57"/>
  <c r="D12" i="57"/>
  <c r="I12" i="57"/>
  <c r="B12" i="57"/>
  <c r="F12" i="57"/>
  <c r="E12" i="57"/>
  <c r="F13" i="57"/>
  <c r="E13" i="57"/>
  <c r="G13" i="57"/>
  <c r="B13" i="57"/>
  <c r="H13" i="57"/>
  <c r="C13" i="57"/>
  <c r="A14" i="57"/>
  <c r="D13" i="57"/>
  <c r="I13" i="57"/>
  <c r="X9" i="28" l="1"/>
  <c r="AM110" i="28"/>
  <c r="AM9" i="28" s="1"/>
  <c r="AN9" i="28" s="1"/>
  <c r="F14" i="57"/>
  <c r="G14" i="57"/>
  <c r="I14" i="57"/>
  <c r="C14" i="57"/>
  <c r="E14" i="57"/>
  <c r="A15" i="57"/>
  <c r="D14" i="57"/>
  <c r="B14" i="57"/>
  <c r="H14" i="57"/>
  <c r="F15" i="57" l="1"/>
  <c r="I15" i="57"/>
  <c r="G15" i="57"/>
  <c r="E15" i="57"/>
  <c r="B15" i="57"/>
  <c r="H15" i="57"/>
  <c r="A16" i="57"/>
  <c r="D15" i="57"/>
  <c r="C15" i="57"/>
  <c r="A17" i="57" l="1"/>
  <c r="F16" i="57"/>
  <c r="G16" i="57"/>
  <c r="I16" i="57"/>
  <c r="B16" i="57"/>
  <c r="C16" i="57"/>
  <c r="D16" i="57"/>
  <c r="H16" i="57"/>
  <c r="E16" i="57"/>
  <c r="F17" i="57" l="1"/>
  <c r="H17" i="57"/>
  <c r="G17" i="57"/>
  <c r="E17" i="57"/>
  <c r="B17" i="57"/>
  <c r="C17" i="57"/>
  <c r="A18" i="57"/>
  <c r="D17" i="57"/>
  <c r="I17" i="57"/>
  <c r="A19" i="57" l="1"/>
  <c r="E18" i="57"/>
  <c r="B18" i="57"/>
  <c r="F18" i="57"/>
  <c r="D18" i="57"/>
  <c r="I18" i="57"/>
  <c r="C18" i="57"/>
  <c r="G18" i="57"/>
  <c r="H18" i="57"/>
  <c r="G19" i="57" l="1"/>
  <c r="E19" i="57"/>
  <c r="D19" i="57"/>
  <c r="I19" i="57"/>
  <c r="H19" i="57"/>
  <c r="F19" i="57"/>
  <c r="B19" i="57"/>
  <c r="A20" i="57"/>
  <c r="C19" i="57"/>
  <c r="F20" i="57" l="1"/>
  <c r="D20" i="57"/>
  <c r="E20" i="57"/>
  <c r="I20" i="57"/>
  <c r="G20" i="57"/>
  <c r="A21" i="57"/>
  <c r="C20" i="57"/>
  <c r="H20" i="57"/>
  <c r="B20" i="57"/>
  <c r="F21" i="57" l="1"/>
  <c r="C21" i="57"/>
  <c r="G21" i="57"/>
  <c r="I21" i="57"/>
  <c r="H21" i="57"/>
  <c r="B21" i="57"/>
  <c r="A22" i="57"/>
  <c r="D21" i="57"/>
  <c r="E21" i="57"/>
  <c r="F22" i="57" l="1"/>
  <c r="D22" i="57"/>
  <c r="B22" i="57"/>
  <c r="H22" i="57"/>
  <c r="G22" i="57"/>
  <c r="A23" i="57"/>
  <c r="E22" i="57"/>
  <c r="C22" i="57"/>
  <c r="I22" i="57"/>
  <c r="F23" i="57" l="1"/>
  <c r="E23" i="57"/>
  <c r="A24" i="57"/>
  <c r="I23" i="57"/>
  <c r="C23" i="57"/>
  <c r="G23" i="57"/>
  <c r="H23" i="57"/>
  <c r="D23" i="57"/>
  <c r="B23" i="57"/>
  <c r="F24" i="57" l="1"/>
  <c r="D24" i="57"/>
  <c r="B24" i="57"/>
  <c r="C24" i="57"/>
  <c r="G24" i="57"/>
  <c r="A25" i="57"/>
  <c r="I24" i="57"/>
  <c r="H24" i="57"/>
  <c r="E24" i="57"/>
  <c r="F25" i="57" l="1"/>
  <c r="B25" i="57"/>
  <c r="G25" i="57"/>
  <c r="I25" i="57"/>
  <c r="D25" i="57"/>
  <c r="E25" i="57"/>
  <c r="A26" i="57"/>
  <c r="H25" i="57"/>
  <c r="C25" i="57"/>
  <c r="I26" i="57" l="1"/>
  <c r="B26" i="57"/>
  <c r="C26" i="57"/>
  <c r="F26" i="57"/>
  <c r="G26" i="57"/>
  <c r="E26" i="57"/>
  <c r="D26" i="57"/>
  <c r="H26" i="57"/>
  <c r="A27" i="57"/>
  <c r="D27" i="57" l="1"/>
  <c r="G27" i="57"/>
  <c r="H27" i="57"/>
  <c r="E27" i="57"/>
  <c r="B27" i="57"/>
  <c r="I27" i="57"/>
  <c r="F27" i="57"/>
  <c r="A28" i="57"/>
  <c r="C27" i="57"/>
  <c r="C28" i="57" l="1"/>
  <c r="A29" i="57"/>
  <c r="D28" i="57"/>
  <c r="G28" i="57"/>
  <c r="B28" i="57"/>
  <c r="F28" i="57"/>
  <c r="I28" i="57"/>
  <c r="H28" i="57"/>
  <c r="E28" i="57"/>
  <c r="D29" i="57" l="1"/>
  <c r="F29" i="57"/>
  <c r="B29" i="57"/>
  <c r="E29" i="57"/>
  <c r="C29" i="57"/>
  <c r="A30" i="57"/>
  <c r="G29" i="57"/>
  <c r="H29" i="57"/>
  <c r="I29" i="57"/>
  <c r="F30" i="57" l="1"/>
  <c r="E30" i="57"/>
  <c r="I30" i="57"/>
  <c r="D30" i="57"/>
  <c r="H30" i="57"/>
  <c r="A31" i="57"/>
  <c r="B30" i="57"/>
  <c r="G30" i="57"/>
  <c r="C30" i="57"/>
  <c r="F31" i="57" l="1"/>
  <c r="A32" i="57"/>
  <c r="I31" i="57"/>
  <c r="B31" i="57"/>
  <c r="C31" i="57"/>
  <c r="H31" i="57"/>
  <c r="E31" i="57"/>
  <c r="D31" i="57"/>
  <c r="G31" i="57"/>
  <c r="F32" i="57" l="1"/>
  <c r="I32" i="57"/>
  <c r="B32" i="57"/>
  <c r="C32" i="57"/>
  <c r="H32" i="57"/>
  <c r="A33" i="57"/>
  <c r="D32" i="57"/>
  <c r="G32" i="57"/>
  <c r="E32" i="57"/>
  <c r="F33" i="57" l="1"/>
  <c r="B33" i="57"/>
  <c r="H33" i="57"/>
  <c r="I33" i="57"/>
  <c r="E33" i="57"/>
  <c r="G33" i="57"/>
  <c r="C33" i="57"/>
  <c r="D33" i="57"/>
  <c r="A34" i="57"/>
  <c r="F34" i="57" l="1"/>
  <c r="I34" i="57"/>
  <c r="E34" i="57"/>
  <c r="D34" i="57"/>
  <c r="C34" i="57"/>
  <c r="A35" i="57"/>
  <c r="H34" i="57"/>
  <c r="G34" i="57"/>
  <c r="B34" i="57"/>
  <c r="F35" i="57" l="1"/>
  <c r="A36" i="57"/>
  <c r="H35" i="57"/>
  <c r="E35" i="57"/>
  <c r="B35" i="57"/>
  <c r="C35" i="57"/>
  <c r="I35" i="57"/>
  <c r="D35" i="57"/>
  <c r="G35" i="57"/>
  <c r="F36" i="57" l="1"/>
  <c r="I36" i="57"/>
  <c r="B36" i="57"/>
  <c r="C36" i="57"/>
  <c r="H36" i="57"/>
  <c r="A37" i="57"/>
  <c r="D36" i="57"/>
  <c r="G36" i="57"/>
  <c r="E36" i="57"/>
  <c r="F37" i="57" l="1"/>
  <c r="H37" i="57"/>
  <c r="B37" i="57"/>
  <c r="I37" i="57"/>
  <c r="C37" i="57"/>
  <c r="G37" i="57"/>
  <c r="E37" i="57"/>
  <c r="D37" i="57"/>
  <c r="A38" i="57"/>
  <c r="F38" i="57" l="1"/>
  <c r="H38" i="57"/>
  <c r="C38" i="57"/>
  <c r="D38" i="57"/>
  <c r="I38" i="57"/>
  <c r="A39" i="57"/>
  <c r="E38" i="57"/>
  <c r="G38" i="57"/>
  <c r="B38" i="57"/>
  <c r="F39" i="57" l="1"/>
  <c r="A40" i="57"/>
  <c r="C39" i="57"/>
  <c r="H39" i="57"/>
  <c r="E39" i="57"/>
  <c r="B39" i="57"/>
  <c r="I39" i="57"/>
  <c r="D39" i="57"/>
  <c r="G39" i="57"/>
  <c r="F40" i="57" l="1"/>
  <c r="B40" i="57"/>
  <c r="E40" i="57"/>
  <c r="H40" i="57"/>
  <c r="I40" i="57"/>
  <c r="A41" i="57"/>
  <c r="D40" i="57"/>
  <c r="G40" i="57"/>
  <c r="C40" i="57"/>
  <c r="F41" i="57" l="1"/>
  <c r="H41" i="57"/>
  <c r="I41" i="57"/>
  <c r="C41" i="57"/>
  <c r="B41" i="57"/>
  <c r="G41" i="57"/>
  <c r="E41" i="57"/>
  <c r="D41" i="57"/>
  <c r="A42" i="57"/>
  <c r="F42" i="57" l="1"/>
  <c r="H42" i="57"/>
  <c r="E42" i="57"/>
  <c r="D42" i="57"/>
  <c r="C42" i="57"/>
  <c r="A43" i="57"/>
  <c r="I42" i="57"/>
  <c r="G42" i="57"/>
  <c r="B42" i="57"/>
  <c r="F43" i="57" l="1"/>
  <c r="G43" i="57"/>
  <c r="E43" i="57"/>
  <c r="A44" i="57"/>
  <c r="H43" i="57"/>
  <c r="B43" i="57"/>
  <c r="C43" i="57"/>
  <c r="I43" i="57"/>
  <c r="D43" i="57"/>
  <c r="F44" i="57" l="1"/>
  <c r="H44" i="57"/>
  <c r="C44" i="57"/>
  <c r="D44" i="57"/>
  <c r="I44" i="57"/>
  <c r="A45" i="57"/>
  <c r="B44" i="57"/>
  <c r="G44" i="57"/>
  <c r="E44" i="57"/>
  <c r="F45" i="57" l="1"/>
  <c r="A46" i="57"/>
  <c r="I45" i="57"/>
  <c r="H45" i="57"/>
  <c r="B45" i="57"/>
  <c r="C45" i="57"/>
  <c r="E45" i="57"/>
  <c r="G45" i="57"/>
  <c r="D45" i="57"/>
  <c r="F46" i="57" l="1"/>
  <c r="B46" i="57"/>
  <c r="H46" i="57"/>
  <c r="D46" i="57"/>
  <c r="E46" i="57"/>
  <c r="A47" i="57"/>
  <c r="I46" i="57"/>
  <c r="G46" i="57"/>
  <c r="C46" i="57"/>
  <c r="F47" i="57" l="1"/>
  <c r="G47" i="57"/>
  <c r="B47" i="57"/>
  <c r="A48" i="57"/>
  <c r="H47" i="57"/>
  <c r="E47" i="57"/>
  <c r="I47" i="57"/>
  <c r="C47" i="57"/>
  <c r="D47" i="57"/>
  <c r="F48" i="57" l="1"/>
  <c r="C48" i="57"/>
  <c r="B48" i="57"/>
  <c r="D48" i="57"/>
  <c r="H48" i="57"/>
  <c r="A49" i="57"/>
  <c r="I48" i="57"/>
  <c r="G48" i="57"/>
  <c r="E48" i="57"/>
  <c r="F49" i="57" l="1"/>
  <c r="A50" i="57"/>
  <c r="E49" i="57"/>
  <c r="H49" i="57"/>
  <c r="B49" i="57"/>
  <c r="C49" i="57"/>
  <c r="I49" i="57"/>
  <c r="G49" i="57"/>
  <c r="D49" i="57"/>
  <c r="F50" i="57" l="1"/>
  <c r="I50" i="57"/>
  <c r="H50" i="57"/>
  <c r="D50" i="57"/>
  <c r="C50" i="57"/>
  <c r="A51" i="57"/>
  <c r="E50" i="57"/>
  <c r="G50" i="57"/>
  <c r="B50" i="57"/>
  <c r="F51" i="57" l="1"/>
  <c r="G51" i="57"/>
  <c r="B51" i="57"/>
  <c r="A52" i="57"/>
  <c r="I51" i="57"/>
  <c r="H51" i="57"/>
  <c r="E51" i="57"/>
  <c r="C51" i="57"/>
  <c r="D51" i="57"/>
  <c r="F52" i="57" l="1"/>
  <c r="I52" i="57"/>
  <c r="E52" i="57"/>
  <c r="D52" i="57"/>
  <c r="B52" i="57"/>
  <c r="A53" i="57"/>
  <c r="C52" i="57"/>
  <c r="G52" i="57"/>
  <c r="H52" i="57"/>
  <c r="F53" i="57" l="1"/>
  <c r="A54" i="57"/>
  <c r="C53" i="57"/>
  <c r="I53" i="57"/>
  <c r="H53" i="57"/>
  <c r="E53" i="57"/>
  <c r="B53" i="57"/>
  <c r="G53" i="57"/>
  <c r="D53" i="57"/>
  <c r="F54" i="57" l="1"/>
  <c r="C54" i="57"/>
  <c r="H54" i="57"/>
  <c r="D54" i="57"/>
  <c r="B54" i="57"/>
  <c r="A55" i="57"/>
  <c r="I54" i="57"/>
  <c r="G54" i="57"/>
  <c r="E54" i="57"/>
  <c r="F55" i="57" l="1"/>
  <c r="G55" i="57"/>
  <c r="I55" i="57"/>
  <c r="A56" i="57"/>
  <c r="H55" i="57"/>
  <c r="C55" i="57"/>
  <c r="E55" i="57"/>
  <c r="B55" i="57"/>
  <c r="D55" i="57"/>
  <c r="F56" i="57" l="1"/>
  <c r="H56" i="57"/>
  <c r="B56" i="57"/>
  <c r="D56" i="57"/>
  <c r="I56" i="57"/>
  <c r="A57" i="57"/>
  <c r="E56" i="57"/>
  <c r="G56" i="57"/>
  <c r="C56" i="57"/>
  <c r="F57" i="57" l="1"/>
  <c r="A58" i="57"/>
  <c r="I57" i="57"/>
  <c r="H57" i="57"/>
  <c r="B57" i="57"/>
  <c r="C57" i="57"/>
  <c r="E57" i="57"/>
  <c r="G57" i="57"/>
  <c r="D57" i="57"/>
  <c r="F58" i="57" l="1"/>
  <c r="I58" i="57"/>
  <c r="E58" i="57"/>
  <c r="D58" i="57"/>
  <c r="C58" i="57"/>
  <c r="A59" i="57"/>
  <c r="B58" i="57"/>
  <c r="G58" i="57"/>
  <c r="H58" i="57"/>
  <c r="F59" i="57" l="1"/>
  <c r="G59" i="57"/>
  <c r="B59" i="57"/>
  <c r="A60" i="57"/>
  <c r="H59" i="57"/>
  <c r="E59" i="57"/>
  <c r="C59" i="57"/>
  <c r="I59" i="57"/>
  <c r="D59" i="57"/>
  <c r="F60" i="57" l="1"/>
  <c r="F7" i="57" s="1"/>
  <c r="H60" i="57"/>
  <c r="G60" i="57"/>
  <c r="G7" i="57" s="1"/>
  <c r="B60" i="57"/>
  <c r="D60" i="57"/>
  <c r="E3" i="57" s="1"/>
  <c r="C60" i="57"/>
  <c r="E60" i="57"/>
  <c r="I60" i="57"/>
  <c r="H7" i="57" l="1"/>
</calcChain>
</file>

<file path=xl/comments1.xml><?xml version="1.0" encoding="utf-8"?>
<comments xmlns="http://schemas.openxmlformats.org/spreadsheetml/2006/main">
  <authors>
    <author>VNN.R9</author>
  </authors>
  <commentList>
    <comment ref="E8" authorId="0" shapeId="0">
      <text>
        <r>
          <rPr>
            <b/>
            <sz val="9"/>
            <color indexed="81"/>
            <rFont val="Tahoma"/>
            <family val="2"/>
            <charset val="163"/>
          </rPr>
          <t>Tính từ đầu năm đến thời điểm báo cáo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<sst xmlns="http://schemas.openxmlformats.org/spreadsheetml/2006/main" count="1128" uniqueCount="669">
  <si>
    <t>STT</t>
  </si>
  <si>
    <t>Chứng từ</t>
  </si>
  <si>
    <t>Nội dung</t>
  </si>
  <si>
    <t>Ngày tháng</t>
  </si>
  <si>
    <t>Mã nguồn</t>
  </si>
  <si>
    <t>&lt;= Tra cứu</t>
  </si>
  <si>
    <t>Tổng số</t>
  </si>
  <si>
    <t>Chia ra</t>
  </si>
  <si>
    <t>Qúy I</t>
  </si>
  <si>
    <t>Qúy II</t>
  </si>
  <si>
    <t>Qúy III</t>
  </si>
  <si>
    <t>Qúy IV</t>
  </si>
  <si>
    <t>A</t>
  </si>
  <si>
    <t>1- Dự toán năm trước còn lại chuyển sang</t>
  </si>
  <si>
    <t>2- Dự toán giao đầu năm</t>
  </si>
  <si>
    <t>3- Dự toán giao bổ sung</t>
  </si>
  <si>
    <t>4- Dự toán được sử dụng (4=1+2+3)</t>
  </si>
  <si>
    <t>Số dự toán đã nhận</t>
  </si>
  <si>
    <t>Mục</t>
  </si>
  <si>
    <t>Khác</t>
  </si>
  <si>
    <t>B</t>
  </si>
  <si>
    <t>C</t>
  </si>
  <si>
    <t>D</t>
  </si>
  <si>
    <t>Số hiệu</t>
  </si>
  <si>
    <t>Sự nghiệp giao thông</t>
  </si>
  <si>
    <t>Sự nghiệp Khoa học công nghệ</t>
  </si>
  <si>
    <t>Khuyến thương</t>
  </si>
  <si>
    <t>Số dự toán còn lại</t>
  </si>
  <si>
    <t>E</t>
  </si>
  <si>
    <t>TỔNG CỘNG</t>
  </si>
  <si>
    <t>I</t>
  </si>
  <si>
    <t>II</t>
  </si>
  <si>
    <t>NSNN giao</t>
  </si>
  <si>
    <t>G</t>
  </si>
  <si>
    <t>A. CHI HOẠT ĐỘNG</t>
  </si>
  <si>
    <t>070</t>
  </si>
  <si>
    <t>Chi về hàng hóa dịch vụ</t>
  </si>
  <si>
    <t>Hội nghị</t>
  </si>
  <si>
    <t>In, mua tài liệu</t>
  </si>
  <si>
    <t>Thuê hội trường, phương tiện vận chuyển</t>
  </si>
  <si>
    <t>Chi bù tiền ăn</t>
  </si>
  <si>
    <t>Chi phí khác</t>
  </si>
  <si>
    <t>Công tác phí</t>
  </si>
  <si>
    <t>Phụ cấp công tác phí</t>
  </si>
  <si>
    <t>Tiền thuê phòng ngủ</t>
  </si>
  <si>
    <t>Chi phí nghiệp vụ chuyên môn từng ngành</t>
  </si>
  <si>
    <t>Chi mua, in ấn chỉ dùng cho chuyên môn của ngành</t>
  </si>
  <si>
    <t>Chi thanh toán hợp đồng với bên ngoài</t>
  </si>
  <si>
    <t>Chi khác</t>
  </si>
  <si>
    <t>Chi kỷ niệm các ngày lễ lớn</t>
  </si>
  <si>
    <t>Chi hỗ trợ khác</t>
  </si>
  <si>
    <t>Chi tiếp khách</t>
  </si>
  <si>
    <t>Chi các khoản khác</t>
  </si>
  <si>
    <t>370</t>
  </si>
  <si>
    <t>373</t>
  </si>
  <si>
    <t>Thông tin tuyên truyền liên lạc</t>
  </si>
  <si>
    <t>Cước phí Internet, thư viện điện tử</t>
  </si>
  <si>
    <t>Chi mua hàng hoá, vật tư dùng cho chuyên môn của từng ngành</t>
  </si>
  <si>
    <t>Chi thuê mướn</t>
  </si>
  <si>
    <t>Thuê phương tiện vận chuyển</t>
  </si>
  <si>
    <t>Chi thuê mướn khác</t>
  </si>
  <si>
    <t>220</t>
  </si>
  <si>
    <t>223</t>
  </si>
  <si>
    <t>Sửa chữa thường xuyên TSCĐ phục vụ công tác chuyên môn và duy tu, bảo dưỡng các công trình cơ sở hạ tầng</t>
  </si>
  <si>
    <t>Công trình văn hóa, công viên thể thao</t>
  </si>
  <si>
    <t>Đường điện, cấp thoát nước</t>
  </si>
  <si>
    <t>Đường sá, cầu cống, bến cảng, sân bay</t>
  </si>
  <si>
    <t>Các TSCĐ và công trình cơ sở hạ tầng khác</t>
  </si>
  <si>
    <t>Chi quy hoạch</t>
  </si>
  <si>
    <t>Mua sắm tài sản dùng cho công tác chuyên môn</t>
  </si>
  <si>
    <t>Thiết bị tin học</t>
  </si>
  <si>
    <t>230</t>
  </si>
  <si>
    <t>B. CHI ĐẦU TƯ XDCB</t>
  </si>
  <si>
    <t>Chi xây dựng</t>
  </si>
  <si>
    <t>Chi XD các công trình, hạng mục công trình</t>
  </si>
  <si>
    <t>Chi phí QLDA</t>
  </si>
  <si>
    <t>Chi phí tư vấn đầu tư XD</t>
  </si>
  <si>
    <t>Cộng</t>
  </si>
  <si>
    <t>NGƯỜI LẬP</t>
  </si>
  <si>
    <t>KẾ TOÁN</t>
  </si>
  <si>
    <t>TRƯỞNG PHÒNG</t>
  </si>
  <si>
    <t>Nội dung thanh toán</t>
  </si>
  <si>
    <t>Loại</t>
  </si>
  <si>
    <t>Khoản</t>
  </si>
  <si>
    <t>Nhóm mục chi</t>
  </si>
  <si>
    <t>Tiểu mục</t>
  </si>
  <si>
    <t>Nội dung chi</t>
  </si>
  <si>
    <t>Ngân sách Nhà nước</t>
  </si>
  <si>
    <t>Phí, lệ phí để lại</t>
  </si>
  <si>
    <t>Viện trợ</t>
  </si>
  <si>
    <t>Nguồn khác</t>
  </si>
  <si>
    <t>Đơn vị sử dụng ngân sách</t>
  </si>
  <si>
    <t>Kế toán trưởng</t>
  </si>
  <si>
    <t>Thủ trưởng đơn vị</t>
  </si>
  <si>
    <t>DỰ TOÁN GIAO NĂM:</t>
  </si>
  <si>
    <t>DỰ TOÁN ĐÃ CHI:</t>
  </si>
  <si>
    <t>Stt</t>
  </si>
  <si>
    <t>KH</t>
  </si>
  <si>
    <t>Khuyến công, nông thôn mới</t>
  </si>
  <si>
    <t>Vốn quy hoạch</t>
  </si>
  <si>
    <t>QH tổng thể phát triển KT-XH của cả nước, vùng, lãnh thổ</t>
  </si>
  <si>
    <t>QH phát triển ngành, lĩnh vực sp chủ yếu</t>
  </si>
  <si>
    <t>QH XD đô thị, điểm dân cư nông thôn</t>
  </si>
  <si>
    <t>khác</t>
  </si>
  <si>
    <t>QUY HOẠCH</t>
  </si>
  <si>
    <t>III</t>
  </si>
  <si>
    <t>Chi mua sắm tài sản dùng cho công tác chuyên môn</t>
  </si>
  <si>
    <t>Trang thiết bị kỹ thuật chuyên dụng</t>
  </si>
  <si>
    <t>Tài sản khác</t>
  </si>
  <si>
    <t>Kinh phí ATGT</t>
  </si>
  <si>
    <t>GRDT01</t>
  </si>
  <si>
    <t>Không ghi vào
 khu vực này</t>
  </si>
  <si>
    <t>GIẤY RÚT DỰ TOÁN NGÂN SÁCH</t>
  </si>
  <si>
    <t xml:space="preserve">Thực chi            </t>
  </si>
  <si>
    <t>Tạm ứng</t>
  </si>
  <si>
    <t>Ứng trước đủ ĐK thanh toán</t>
  </si>
  <si>
    <t>Ứng trước chưa đủ ĐK thanh toán</t>
  </si>
  <si>
    <t>Mã nguồn NSNN</t>
  </si>
  <si>
    <t>Tổng cộng</t>
  </si>
  <si>
    <t>Phần KBNN ghi</t>
  </si>
  <si>
    <t>Bộ phận kiểm soát của KBNN</t>
  </si>
  <si>
    <t>Kiểm soát</t>
  </si>
  <si>
    <t>Phụ trách</t>
  </si>
  <si>
    <t>Người nhận tiền</t>
  </si>
  <si>
    <t>Mã NDKT</t>
  </si>
  <si>
    <t>Số:</t>
  </si>
  <si>
    <t>Mã</t>
  </si>
  <si>
    <t>Giá trị</t>
  </si>
  <si>
    <t>Nội dung KT 1</t>
  </si>
  <si>
    <t>Nội dung KT 2</t>
  </si>
  <si>
    <t>Nội dung KT 3</t>
  </si>
  <si>
    <t>Nội dung KT 4</t>
  </si>
  <si>
    <t>Nội dung KT 5</t>
  </si>
  <si>
    <t>DANH MỤC MÃ SỐ NỘI DUNG KINH TẾ (MỤC, TIỂU MỤC)</t>
  </si>
  <si>
    <t>Mã số Mục</t>
  </si>
  <si>
    <t>Mã số Tiểu mục</t>
  </si>
  <si>
    <t>TÊN GỌI</t>
  </si>
  <si>
    <t>I. PHẦN THU</t>
  </si>
  <si>
    <t>Nhóm 0110:</t>
  </si>
  <si>
    <t>THU THUẾ, PHÍ VÀ LỆ PHÍ</t>
  </si>
  <si>
    <t>Tiểu nhóm 0111:</t>
  </si>
  <si>
    <t>Thuế thu nhập và thu nhập sau thuế thu nhập</t>
  </si>
  <si>
    <t>Thuế thu nhập cá nhân</t>
  </si>
  <si>
    <t>Thuế thu nhập từ tiền lương, tiền công của người lao động Việt Nam</t>
  </si>
  <si>
    <t>Thuế thu nhập cá nhân khác</t>
  </si>
  <si>
    <t>Tiểu nhóm 0114:</t>
  </si>
  <si>
    <t>Thu phí và lệ phí</t>
  </si>
  <si>
    <t>Phí thuộc lĩnh vực công nghiệp, xây dựng</t>
  </si>
  <si>
    <t>Phí xây dựng</t>
  </si>
  <si>
    <t>Phí thuộc lĩnh vực thương mại, đầu tư</t>
  </si>
  <si>
    <t>Phí thẩm định kinh doanh thương mại có điều kiện thuộc các lĩnh vực, các ngành nghề</t>
  </si>
  <si>
    <t>Phí thẩm định dự án đầu tư xây dựng (gồm: thẩm định phần thuyết minh và thiết kế cơ sở); thẩm định thiết kế kỹ thuật và các đồ án qui hoạch</t>
  </si>
  <si>
    <t>Nhóm 0200</t>
  </si>
  <si>
    <t>THU TỪ TÀI SẢN, ĐÓNG GÓP XÃ HỘI VÀ THU KHÁC</t>
  </si>
  <si>
    <t>Tiểu nhóm 0120:</t>
  </si>
  <si>
    <t>Các khoản huy động không hoàn trả và đóng góp</t>
  </si>
  <si>
    <t>Các khoản huy động theo quyết định của Nhà nước</t>
  </si>
  <si>
    <t>Các khoản đóng góp</t>
  </si>
  <si>
    <t>Đóng góp để ủng hộ đồng bào bị thiên tai, bão lụt</t>
  </si>
  <si>
    <t>Đóng góp quỹ an ninh, quốc phòng</t>
  </si>
  <si>
    <t>Đóng góp quỹ phát triển ngành</t>
  </si>
  <si>
    <t>Đóng góp để ủng hộ nước ngoài</t>
  </si>
  <si>
    <t>II. PHẦN CHI</t>
  </si>
  <si>
    <t>Nhóm 0500:</t>
  </si>
  <si>
    <t>CHI HOẠT ĐỘNG</t>
  </si>
  <si>
    <t>Tiểu nhóm 0129:</t>
  </si>
  <si>
    <t>Chi thanh toán cho cá nhân</t>
  </si>
  <si>
    <t>Tiền lương</t>
  </si>
  <si>
    <t>Lương ngạch, bậc theo quỹ lương được duyệt</t>
  </si>
  <si>
    <t>Lương tập sự, công chức dự bị</t>
  </si>
  <si>
    <t>Lương hợp đồng dài hạn</t>
  </si>
  <si>
    <t>Lương cán bộ công nhân viên dôi ra ngoài biên chế</t>
  </si>
  <si>
    <t>Lương khác</t>
  </si>
  <si>
    <t>Tiền công trả cho lao động thường xuyên theo hợp đồng</t>
  </si>
  <si>
    <t>Phụ cấp lương</t>
  </si>
  <si>
    <t>Phụ cấp chức vụ</t>
  </si>
  <si>
    <t>Phụ cấp khu vực</t>
  </si>
  <si>
    <t>Phụ cấp thu hút</t>
  </si>
  <si>
    <t>Phụ cấp đắt đỏ</t>
  </si>
  <si>
    <t>Phụ cấp làm đêm</t>
  </si>
  <si>
    <t>Phụ cấp thêm giờ</t>
  </si>
  <si>
    <t>Phụ cấp độc hại, nguy hiểm</t>
  </si>
  <si>
    <t>Phụ cấp lưu động</t>
  </si>
  <si>
    <t>Phụ cấp đại biểu Quốc hội, đại biểu Hội đồng nhân dân</t>
  </si>
  <si>
    <t>Phụ cấp ưu đãi nghề</t>
  </si>
  <si>
    <t>Phụ cấp trách nhiệm theo nghề, theo công việc</t>
  </si>
  <si>
    <t>Phụ cấp trực</t>
  </si>
  <si>
    <t>Phụ cấp thâm niên nghề</t>
  </si>
  <si>
    <t>Phụ cấp đặc biệt khác của ngành</t>
  </si>
  <si>
    <t>Phụ cấp thâm niên vượt khung</t>
  </si>
  <si>
    <t>Phụ cấp kiêm nhiệm</t>
  </si>
  <si>
    <t>Tiền thưởng</t>
  </si>
  <si>
    <t>Thưởng thường xuyên theo định mức</t>
  </si>
  <si>
    <t>Thưởng đột xuất theo định mức</t>
  </si>
  <si>
    <t>Các chi phí khác theo chế độ liên quan đến công tác khen thưởng</t>
  </si>
  <si>
    <t>Phúc lợi tập thể</t>
  </si>
  <si>
    <t>Trợ cấp khó khăn thường xuyên</t>
  </si>
  <si>
    <t>Trợ cấp khó khăn đột xuất</t>
  </si>
  <si>
    <t>Tiền tàu xe nghỉ phép năm</t>
  </si>
  <si>
    <t>Tiền thuốc y tế trong các cơ quan, đơn vị</t>
  </si>
  <si>
    <t>Tiền hoá chất vệ sinh phòng dịch</t>
  </si>
  <si>
    <t>Tiền khám bệnh định kỳ</t>
  </si>
  <si>
    <t>Tiền nước uống</t>
  </si>
  <si>
    <t>Các khoản khác</t>
  </si>
  <si>
    <t>Bảo hiểm xã hội</t>
  </si>
  <si>
    <t>Bảo hiểm y tế</t>
  </si>
  <si>
    <t>Kinh phí công đoàn</t>
  </si>
  <si>
    <t>Các khoản thanh toán khác cho cá nhân</t>
  </si>
  <si>
    <t>Tiền ăn</t>
  </si>
  <si>
    <t>Tiểu nhóm 0130</t>
  </si>
  <si>
    <t>Chi về hàng hoá, dịch vụ</t>
  </si>
  <si>
    <t>Thanh toán dịch vụ công cộng</t>
  </si>
  <si>
    <t>Thanh toán tiền điện</t>
  </si>
  <si>
    <t>Thanh toán tiền nước</t>
  </si>
  <si>
    <t>Thanh toán tiền nhiên liệu</t>
  </si>
  <si>
    <t>Thanh toán tiền vệ sinh, môi trường</t>
  </si>
  <si>
    <t>Thanh toán khoán phương tiện theo chế độ</t>
  </si>
  <si>
    <t>Vật tư văn phòng</t>
  </si>
  <si>
    <t>Văn phòng phẩm</t>
  </si>
  <si>
    <t>Mua sắm công cụ, dụng cụ văn phòng</t>
  </si>
  <si>
    <t>Khoán văn phòng phẩm</t>
  </si>
  <si>
    <t>Vật tư văn phòng khác</t>
  </si>
  <si>
    <t>Thông tin, tuyên truyền, liên lạc</t>
  </si>
  <si>
    <t>Cước phí điện thoại trong nước</t>
  </si>
  <si>
    <t>Cước phí điện thoại quốc tế</t>
  </si>
  <si>
    <t>Cước phí bưu chính</t>
  </si>
  <si>
    <t>Thuê bao kênh vệ tinh</t>
  </si>
  <si>
    <t>Tuyên truyền</t>
  </si>
  <si>
    <t>Quảng cáo</t>
  </si>
  <si>
    <t>Phim ảnh</t>
  </si>
  <si>
    <t>Ấn phẩm truyền thông</t>
  </si>
  <si>
    <t>Sách, báo, tạp chí thư viện</t>
  </si>
  <si>
    <t>Chi tuyên truyền, giáo dục pháp luật trong cơ quan, đơn vị theo chế độ</t>
  </si>
  <si>
    <t>Chi tủ sách pháp luật ở xã, phường, thị trấn theo chế độ</t>
  </si>
  <si>
    <t>Thuê bao đường điện thoại</t>
  </si>
  <si>
    <t>Thuê bao cáp truyền hình</t>
  </si>
  <si>
    <t>Khoán điện thoại</t>
  </si>
  <si>
    <t>Bồi dưỡng giảng viên, báo cáo viên</t>
  </si>
  <si>
    <t>Tiền vé máy bay, tàu xe</t>
  </si>
  <si>
    <t>Thuê phiên dịch, biên dịch phục vụ hội nghị</t>
  </si>
  <si>
    <t>Các khoản thuê mướn khác phục vụ hội nghị</t>
  </si>
  <si>
    <t>Tiền vé máy bay, tàu, xe</t>
  </si>
  <si>
    <t>Khoán công tác phí</t>
  </si>
  <si>
    <t>Công tác phí của trưởng thôn, bản ở miền núi</t>
  </si>
  <si>
    <t>Chi phí thuê mướn</t>
  </si>
  <si>
    <t>Thuê nhà</t>
  </si>
  <si>
    <t>Thuê đất</t>
  </si>
  <si>
    <t>Thuê thiết bị các loại</t>
  </si>
  <si>
    <t>Thuê chuyên gia và giảng viên nước ngoài</t>
  </si>
  <si>
    <t>Thuê chuyên gia và giảng viên trong nước</t>
  </si>
  <si>
    <t>Thuê lao động trong nước</t>
  </si>
  <si>
    <t>Không bao gồm: Thuê lao động theo hợp đồng thường xuyên - đã hạch toán ở Mục 6050; thuê lao động trong hợp đồng thực hiện nhiệm vụ chuyên môn - đã hạch toán ở Tiểu mục 7012.</t>
  </si>
  <si>
    <t>Thuê đào tạo lại cán bộ</t>
  </si>
  <si>
    <t>Thuê phiên dịch, biên dịch</t>
  </si>
  <si>
    <t>Chi phí thuê mướn khác</t>
  </si>
  <si>
    <t>Chi đoàn ra</t>
  </si>
  <si>
    <t>Tiền vé máy bay, tàu, xe (bao gồm cả thuê phương tiện đi lại)</t>
  </si>
  <si>
    <t>Tiền ở</t>
  </si>
  <si>
    <t>Tiền tiêu vặt</t>
  </si>
  <si>
    <t>Phí, lệ phí liên quan</t>
  </si>
  <si>
    <t>Khoán chi đoàn ra theo chế độ</t>
  </si>
  <si>
    <t>Chi đoàn vào</t>
  </si>
  <si>
    <t>Khoán chi đoàn vào theo chế độ</t>
  </si>
  <si>
    <t>Sửa chữa tài sản phục vụ công tác chuyên môn và duy tu, bảo dưỡng các công trình cơ sở hạ tầng từ kinh phí thường xuyên</t>
  </si>
  <si>
    <t>Sách, tài liệu và chế độ dùng cho công tác chuyên môn</t>
  </si>
  <si>
    <t>Bảo trì và hoàn thiện phần mềm máy tính</t>
  </si>
  <si>
    <t>Chi phí nghiệp vụ chuyên môn của từng ngành</t>
  </si>
  <si>
    <t>Chi mua, in ấn, phô tô tài liệu chỉ dùng cho chuyên môn của ngành</t>
  </si>
  <si>
    <t>Chi mua súc vật dùng cho hoạt động chuyên môn của ngành</t>
  </si>
  <si>
    <t>Chi mật phí</t>
  </si>
  <si>
    <t>Chi nuôi phạm nhân, can phạm</t>
  </si>
  <si>
    <t>Chi thanh toán hợp đồng thực hiện nghiệp vụ chuyên môn</t>
  </si>
  <si>
    <t>Chi trả nhuận bút theo chế độ</t>
  </si>
  <si>
    <t>Chi phí nghiệp vụ bảo quản theo chế độ</t>
  </si>
  <si>
    <t>Chi hỗ trợ xây dựng văn bản qui phạm pháp luật</t>
  </si>
  <si>
    <t>Chi phí nhập, xuất hàng dự trữ quốc gia</t>
  </si>
  <si>
    <t>Chi thực hiện đề tài nghiên cứu khoa học theo chế độ qui định</t>
  </si>
  <si>
    <t>Tiểu nhóm 0131:</t>
  </si>
  <si>
    <t>Chi hỗ trợ và bổ sung</t>
  </si>
  <si>
    <t>Chi xúc tiến thương mại và các khoản phụ thu</t>
  </si>
  <si>
    <t>Chi xúc tiến thương mại</t>
  </si>
  <si>
    <t>Chi từ phụ thu lắp đặt máy điện thoại</t>
  </si>
  <si>
    <t>Chi từ phụ thu giá bán điện</t>
  </si>
  <si>
    <t>Chi từ nguồn phụ thu giá bán nước</t>
  </si>
  <si>
    <t>Chi từ nguồn phụ thu giá mặt hàng nhựa (PVC)</t>
  </si>
  <si>
    <t>Tiểu nhóm 0132:</t>
  </si>
  <si>
    <t>Các khoản chi khác</t>
  </si>
  <si>
    <t>Chênh lệch tỷ giá ngoại tệ ngân sách nhà nước</t>
  </si>
  <si>
    <t>Chi khắc phục hậu quả thiên tai cho các đơn vị dự toán và cho các doanh nghiệp</t>
  </si>
  <si>
    <t>Chi thưởng và chi phí xử lý các hành vi vi phạm pháp luật của các vụ xử lý không có thu hoặc thu không đủ chi</t>
  </si>
  <si>
    <t>Chi đón tiếp Việt kiều</t>
  </si>
  <si>
    <t>Chi các khoản phí và lệ phí của các đơn vị dự toán</t>
  </si>
  <si>
    <t>Chi bảo hiểm tài sản và phương tiện của các đơn vị dự toán</t>
  </si>
  <si>
    <t>Chi bồi thường thiệt hại cho các đối tượng bị oan do cơ quan tố tụng gây ra theo chế độ qui định</t>
  </si>
  <si>
    <t>Chi bồi thường thiệt hại do công chức, viên chức nhà nước gây ra theo chế độ qui định</t>
  </si>
  <si>
    <t>Chi lập quỹ khen thưởng theo chế độ qui định</t>
  </si>
  <si>
    <t>Chi chiết khấu phát hành trái phiếu</t>
  </si>
  <si>
    <t>Chi quy hoạch tổng thể phát triển kinh tế - xã hội của cả nước, vùng, lãnh thổ</t>
  </si>
  <si>
    <t>Chi quy hoạch phát triển ngành, lĩnh vực, sản phẩm chủ yếu</t>
  </si>
  <si>
    <t>Chi quy hoạch xây dựng đô thị, điểm dân cư nông thôn</t>
  </si>
  <si>
    <t>Chi quy hoạch sử dụng đất</t>
  </si>
  <si>
    <t>Mua, đầu tư tài sản vô hình</t>
  </si>
  <si>
    <t>Tiểu  mục</t>
  </si>
  <si>
    <t>Mua bằng sáng chế</t>
  </si>
  <si>
    <t>Mua bản quyền nhãn hiệu thương mại</t>
  </si>
  <si>
    <t>Mua phần mềm máy tính</t>
  </si>
  <si>
    <t>Đầu tư, xây dựng phần mềm máy tính</t>
  </si>
  <si>
    <t>Sửa chữa tài sản phục vụ chuyên môn và các công trình cơ sở hạ tầng từ kinh phí đầu tư</t>
  </si>
  <si>
    <t>Hạch toán vào các Tiểu mục 9118,9121,9122,9123,9149 bao gồm cả chi phí thiết kế, lập dự toán theo chế độ</t>
  </si>
  <si>
    <t>Tiểu nhóm 0136</t>
  </si>
  <si>
    <t>Chi đầu tư xây dựng cơ bản</t>
  </si>
  <si>
    <t>Chi chuẩn bị đầu tư</t>
  </si>
  <si>
    <t>Chi điều tra, khảo sát</t>
  </si>
  <si>
    <t>Chi lập dự án đầu tư</t>
  </si>
  <si>
    <t>Chi tổ chức thẩm định dự án</t>
  </si>
  <si>
    <t>Chi đánh giá tác động của môi trường</t>
  </si>
  <si>
    <t>Chi bồi thường giải phóng mặt bằng, tái định cư</t>
  </si>
  <si>
    <t>Chi đền bù đất đai và các tài sản trên đất</t>
  </si>
  <si>
    <t>Chi thực hiện tái định cư</t>
  </si>
  <si>
    <t>Chi tổ chức bồi thường giải phóng mặt bằng</t>
  </si>
  <si>
    <t>Chi phí sử dụng đất trong thời gian xây dựng (nếu có)</t>
  </si>
  <si>
    <t>Chi đầu tư xây dựng hạ tầng kỹ thuật (nếu có)</t>
  </si>
  <si>
    <t>Chi xây dựng các công trình, hạng mục công trình</t>
  </si>
  <si>
    <t>Chi phá và tháo dỡ các vật kiến trúc cũ</t>
  </si>
  <si>
    <t>Chi san lấp mặt bằng xây dựng</t>
  </si>
  <si>
    <t>Chi xây dựng công trình tạm, công trình phụ trợ phục vụ thi công</t>
  </si>
  <si>
    <t>Chi xây dựng nhà tạm tại hiện trường để ở và điều hành thi công</t>
  </si>
  <si>
    <t>Chi thiết bị</t>
  </si>
  <si>
    <t>Chi mua sắm thiết bị công nghệ</t>
  </si>
  <si>
    <t>Chi lắp đặt, thí nghiệm, hiệu chỉnh thiết bị</t>
  </si>
  <si>
    <t>Chi đào tạo, chuyển giao công nghệ (nếu có)</t>
  </si>
  <si>
    <t>Chi phí vận chuyển, bảo hiểm</t>
  </si>
  <si>
    <t>Thuế và các loại phí liên quan</t>
  </si>
  <si>
    <t>Chi phí quản lý dự án</t>
  </si>
  <si>
    <t>Chi phí tư vấn đầu tư xây dựng</t>
  </si>
  <si>
    <t>Lệ phí cấp đất xây dựng, cấp giấy phép xây dựng</t>
  </si>
  <si>
    <t>Tên CTMT, DA</t>
  </si>
  <si>
    <t>Mã CTMT, DA</t>
  </si>
  <si>
    <t>Tên đơn vị</t>
  </si>
  <si>
    <t>Địa chỉ</t>
  </si>
  <si>
    <t>Mã ĐVQHNS</t>
  </si>
  <si>
    <t>Tài khoản</t>
  </si>
  <si>
    <t>Số tài khoản</t>
  </si>
  <si>
    <t>ĐƠN VỊ HƯỞNG</t>
  </si>
  <si>
    <t>Ngày cấp</t>
  </si>
  <si>
    <t>Nơi cấp</t>
  </si>
  <si>
    <t>Tên người nhận</t>
  </si>
  <si>
    <t>Số</t>
  </si>
  <si>
    <t>Giấy CMND/CCCD</t>
  </si>
  <si>
    <t>Tổng cộng:</t>
  </si>
  <si>
    <t>Mã cấp NS: 3</t>
  </si>
  <si>
    <t>S</t>
  </si>
  <si>
    <t>£</t>
  </si>
  <si>
    <t>Nguyễn Thị Thu Hiền</t>
  </si>
  <si>
    <t>(Ký, ghi rõ họ tên)</t>
  </si>
  <si>
    <t>Mã CT, Dự án</t>
  </si>
  <si>
    <t>TenCT</t>
  </si>
  <si>
    <t>BÁO CÁO THANH TOÁN</t>
  </si>
  <si>
    <t>Tên công trình/ dự án</t>
  </si>
  <si>
    <t>Dự toán được duyệt</t>
  </si>
  <si>
    <t>Dự toán đã cấp</t>
  </si>
  <si>
    <t>Đã thanh toán</t>
  </si>
  <si>
    <t>Dự toán còn thiếu</t>
  </si>
  <si>
    <t>CT01</t>
  </si>
  <si>
    <t>Huy động Xây dựng kết cấu hạ tầng</t>
  </si>
  <si>
    <t>Huy động Mục đích khác</t>
  </si>
  <si>
    <t>Đóng góp Xây dựng kết cấu hạ tầng tại địa phương</t>
  </si>
  <si>
    <t>Đóng góp Xây dựng nhà tình nghĩa</t>
  </si>
  <si>
    <t>Tiền công trả cho lao động thường xuyên theo hợp đồng khác</t>
  </si>
  <si>
    <t>Phụ cấp Khác</t>
  </si>
  <si>
    <t>Tiền thưởng Khác</t>
  </si>
  <si>
    <t>Phúc lợi khác</t>
  </si>
  <si>
    <t>Đóng góp Khác</t>
  </si>
  <si>
    <t>Thanh toán Tiền ăn</t>
  </si>
  <si>
    <t>Thanh toán Chi khám chữa bệnh cho cán bộ, công chức Việt Nam làm việc ở nước ngoài</t>
  </si>
  <si>
    <t>Thanh toán Sinh hoạt phí cho cán bộ, công chức Việt Nam làm việc ở nước ngoài</t>
  </si>
  <si>
    <t>Thanh toán Chi chênh lệch thu nhập thực tế so với lương ngạch bậc, chức vụ</t>
  </si>
  <si>
    <t>Thanh toán Trợ cấp, phụ cấp khác</t>
  </si>
  <si>
    <t>Thanh toán Khác</t>
  </si>
  <si>
    <t>Cươc Fax</t>
  </si>
  <si>
    <t>Chi Khác</t>
  </si>
  <si>
    <t>Chi phí khác Hội nghị</t>
  </si>
  <si>
    <t>Chi công tác phí Khác</t>
  </si>
  <si>
    <t>Chi sửa chữa, duy tu, bảo dưỡng Mô tô</t>
  </si>
  <si>
    <t>Chi sửa chữa, duy tu, bảo dưỡng Ô tô con, ô tô tải</t>
  </si>
  <si>
    <t>Chi sửa chữa, duy tu, bảo dưỡng Xe chuyên dùng</t>
  </si>
  <si>
    <t>Chi sửa chữa, duy tu, bảo dưỡng Tàu, thuyền</t>
  </si>
  <si>
    <t>Chi sửa chữa, duy tu, bảo dưỡng Trang thiết bị kỹ thuật chuyên dụng</t>
  </si>
  <si>
    <t>Chi sửa chữa, duy tu, bảo dưỡng Điều hoà nhiệt độ</t>
  </si>
  <si>
    <t>Chi sửa chữa, duy tu Nhà cửa</t>
  </si>
  <si>
    <t>Chi sửa chữa, duy tu, bảo dưỡng Thiết bị phòng cháy, chữa cháy</t>
  </si>
  <si>
    <t>Chi sửa chữa, duy tu, bảo dưỡng Thiết bị tin học</t>
  </si>
  <si>
    <t>Chi sửa chữa, duy tu, bảo dưỡng Máy photocopy</t>
  </si>
  <si>
    <t>Chi sửa chữa, duy tu, bảo dưỡng Máy fax</t>
  </si>
  <si>
    <t>Chi sửa chữa, duy tu, bảo dưỡng Máy phát điện</t>
  </si>
  <si>
    <t>Chi sửa chữa, duy tu, bảo dưỡng Máy bơm nước</t>
  </si>
  <si>
    <t>Chi sửa chữa, duy tu Công trình văn hoá, công viên, thể thao</t>
  </si>
  <si>
    <t>Chi sửa chữa, duy tu Đường điện, cấp thoát nước</t>
  </si>
  <si>
    <t>Chi sửa chữa, duy tu Đường sá, cầu cống, bến cảng, sân bay</t>
  </si>
  <si>
    <t>Chi sửa chữa, duy tu Đê điều, hồ đập, kênh mương</t>
  </si>
  <si>
    <t>Chi sửa chữa, duy tu, bảo dưỡng Các tài sản và công trình hạ tầng cơ sở khác</t>
  </si>
  <si>
    <t>Chi mua hàng hoá, vật tư dùng cho chuyên môn</t>
  </si>
  <si>
    <t>Chi mua Trang thiết bị kỹ thuật chuyên dụng (không phải là tài sản cố định)</t>
  </si>
  <si>
    <t>Chi mua Đồng phục, trang phục</t>
  </si>
  <si>
    <t>Chi mua Bảo hộ lao động</t>
  </si>
  <si>
    <t>Chi mua Sách, tài liệu, chế độ dùng cho công tác chuyên môn của ngành (không phải là tài sản cố định)</t>
  </si>
  <si>
    <t>Chi quy hoạch Khác</t>
  </si>
  <si>
    <t>Chi mua tài sản vô hình Khác</t>
  </si>
  <si>
    <t>Mua Mô tô</t>
  </si>
  <si>
    <t>Mua Ô tô con, ô tô tải</t>
  </si>
  <si>
    <t>Mua Xe chuyên dùng</t>
  </si>
  <si>
    <t>Mua Tàu, thuyền</t>
  </si>
  <si>
    <t>Mua Trang thiết bị kỹ thuật chuyên dụng</t>
  </si>
  <si>
    <t>Mua Điều hoà nhiệt độ</t>
  </si>
  <si>
    <t>Mua Nhà cửa</t>
  </si>
  <si>
    <t>Mua Thiết bị phòng cháy, chữa cháy</t>
  </si>
  <si>
    <t>Mua Sách, tài liệu và chế độ dùng cho công tác chuyên môn</t>
  </si>
  <si>
    <t>Mua Thiết bị tin học</t>
  </si>
  <si>
    <t>Mua Máy photocopy</t>
  </si>
  <si>
    <t>Mua Máy fax</t>
  </si>
  <si>
    <t>Mua Máy phát điện</t>
  </si>
  <si>
    <t>Mua Máy bơm nước</t>
  </si>
  <si>
    <t>Mua Tài sản khác</t>
  </si>
  <si>
    <t>Chi sửa chữa Mô tô</t>
  </si>
  <si>
    <t>Chi sửa chữa Ô tô con, ô tô tải</t>
  </si>
  <si>
    <t>Chi sửa chữa Xe chuyên dùng</t>
  </si>
  <si>
    <t>Chi sửa chữa Tàu, thuyền</t>
  </si>
  <si>
    <t>Chi sửa chữa Trang thiết bị kỹ thuật chuyên dụng</t>
  </si>
  <si>
    <t>Chi sửa chữa Điều hoà nhiệt độ</t>
  </si>
  <si>
    <t>Chi sửa chữa Nhà cửa</t>
  </si>
  <si>
    <t>Chi sửa chữa Thiết bị phòng cháy, chữa cháy</t>
  </si>
  <si>
    <t>Chi sửa chữa Sách, tài liệu và chế độ dùng cho công tác chuyên môn</t>
  </si>
  <si>
    <t>Chi sửa chữa Thiết bị tin học</t>
  </si>
  <si>
    <t>Chi sửa chữa Máy photocopy</t>
  </si>
  <si>
    <t>Chi sửa chữa Máy fax</t>
  </si>
  <si>
    <t>Chi sửa chữa Máy phát điện</t>
  </si>
  <si>
    <t>Chi sửa chữa Máy bơm nước</t>
  </si>
  <si>
    <t>Chi sửa chữa Công trình văn hoá, công viên, thể thao</t>
  </si>
  <si>
    <t>Chi sửa chữa Đường điện, cấp thoát nước</t>
  </si>
  <si>
    <t>Chi sửa chữa Đường sá, cầu cống, bến cảng, sân bay</t>
  </si>
  <si>
    <t>Chi sửa chữa Đê điều, hồ đập, kênh mương</t>
  </si>
  <si>
    <t>Chi sửa chữa Các tài sản và công trình hạ tầng cơ sở khác</t>
  </si>
  <si>
    <t>Chi phí chuẩn bị đầu tư khác</t>
  </si>
  <si>
    <t>Chi bồi thường giải phóng mặt bằng, tái định cư Khác</t>
  </si>
  <si>
    <t>Chi xây dựng khác</t>
  </si>
  <si>
    <t>Chi thiết bị Khác</t>
  </si>
  <si>
    <t>DANH MỤC NGUỒN VỐN</t>
  </si>
  <si>
    <t>GRDT</t>
  </si>
  <si>
    <t xml:space="preserve">CHƯƠNG TRÌNH QUẢN LÝ TÀI CHÍNH </t>
  </si>
  <si>
    <t xml:space="preserve">PHÒNG KINH TẾ VÀ HẠ TẦNG </t>
  </si>
  <si>
    <t>Ghi chú</t>
  </si>
  <si>
    <t>Mở tại</t>
  </si>
  <si>
    <t xml:space="preserve"> Mã chương</t>
  </si>
  <si>
    <t>Mã ngành KT</t>
  </si>
  <si>
    <t>Đơn vị nhận tiền:</t>
  </si>
  <si>
    <t>Hoặc người nhận tiền:</t>
  </si>
  <si>
    <t>Chuyển khoản</t>
  </si>
  <si>
    <t>Tiền mặt</t>
  </si>
  <si>
    <t>Tên CTMT, DA:</t>
  </si>
  <si>
    <t>Ngày tháng Kho bạc</t>
  </si>
  <si>
    <t>Mã chương: 620</t>
  </si>
  <si>
    <t>Mẫu số  01-SDKP/ĐVDT</t>
  </si>
  <si>
    <t>BẢNG ĐỐI CHIẾU DỰ TOÁN KINH PHÍ NGÂN SÁCH TẠI KHO BẠC</t>
  </si>
  <si>
    <t>Đơn vị tính: đồng</t>
  </si>
  <si>
    <t>Mã nguồn NS</t>
  </si>
  <si>
    <t>Mã ngành kinh tế</t>
  </si>
  <si>
    <t>DT năm trước chuyển sang</t>
  </si>
  <si>
    <t>Dự toán giao đầu năm</t>
  </si>
  <si>
    <t>DT năm nay</t>
  </si>
  <si>
    <t>DT được sử dụng trong năm</t>
  </si>
  <si>
    <t>DT đã sử dụng</t>
  </si>
  <si>
    <t>DT đã Cam kết chi</t>
  </si>
  <si>
    <t xml:space="preserve"> DT giữ lại</t>
  </si>
  <si>
    <t>DT còn lại</t>
  </si>
  <si>
    <t>DT còn lại trên hệ thống</t>
  </si>
  <si>
    <t>ngµnh</t>
  </si>
  <si>
    <t>CTMT,</t>
  </si>
  <si>
    <t xml:space="preserve"> n¨m tr­íc</t>
  </si>
  <si>
    <t>Trong kỳ</t>
  </si>
  <si>
    <t>Lũy kế đến kỳ báo cáo</t>
  </si>
  <si>
    <t>Số dư đến kỳ báo cáo</t>
  </si>
  <si>
    <t>KT</t>
  </si>
  <si>
    <t>DA</t>
  </si>
  <si>
    <t>chuyÓn sang</t>
  </si>
  <si>
    <t>5=1+4</t>
  </si>
  <si>
    <t>11=5-7-9</t>
  </si>
  <si>
    <t>Cộng:</t>
  </si>
  <si>
    <t>Phần KBNN ghi:</t>
  </si>
  <si>
    <t>Ghi chú: KBNN chỉ ghi vào "Phần KBNN ghi" trong trường hợp KBNN không nhập dự toán cấp 4 và có chênh lệch số liệu dự toán giao của đơn vị và trên hệ thống</t>
  </si>
  <si>
    <t>XÁC NHẬN CỦA KHO BẠC</t>
  </si>
  <si>
    <t>Kế toán</t>
  </si>
  <si>
    <t xml:space="preserve"> </t>
  </si>
  <si>
    <t xml:space="preserve">          </t>
  </si>
  <si>
    <t>BẢNG ĐỐI CHIẾU TÌNH HÌNH SỬ DỤNG KINH PHÍ NGÂN SÁCH TẠI KHO BẠC NHÀ NƯỚC</t>
  </si>
  <si>
    <t>Mục lục NSNN</t>
  </si>
  <si>
    <t>Thực chi</t>
  </si>
  <si>
    <t>Tổng</t>
  </si>
  <si>
    <t xml:space="preserve">Mã CTMT, DA </t>
  </si>
  <si>
    <t>Phát sinh trong kỳ</t>
  </si>
  <si>
    <t>5=1+3</t>
  </si>
  <si>
    <t>6=2+4</t>
  </si>
  <si>
    <t>Cộng Mã 223</t>
  </si>
  <si>
    <t>Cộng mã 432</t>
  </si>
  <si>
    <t>ĐƠN VỊ SỬ DỤNG NGÂN SÁCH</t>
  </si>
  <si>
    <t>Mã Chương: 620</t>
  </si>
  <si>
    <t>Cộng Mã 102</t>
  </si>
  <si>
    <t>Cộng Mã 194</t>
  </si>
  <si>
    <t>Cộng mã 373</t>
  </si>
  <si>
    <t>Quý I</t>
  </si>
  <si>
    <t>Quý II</t>
  </si>
  <si>
    <t>Quý III</t>
  </si>
  <si>
    <t>Quý IV</t>
  </si>
  <si>
    <t>M2</t>
  </si>
  <si>
    <t>M2L</t>
  </si>
  <si>
    <t>M1</t>
  </si>
  <si>
    <t>M1L</t>
  </si>
  <si>
    <t>GT Quý</t>
  </si>
  <si>
    <t>Nguồn giao dự toán</t>
  </si>
  <si>
    <t>GT lũy kế Quý</t>
  </si>
  <si>
    <t>TG</t>
  </si>
  <si>
    <t>Ngày TT</t>
  </si>
  <si>
    <t>Giá trị TT</t>
  </si>
  <si>
    <t>Khuyến công</t>
  </si>
  <si>
    <t>Công trình/Dự án:</t>
  </si>
  <si>
    <t>KHUYẾN CÔNG, NÔNG THÔN MỚI</t>
  </si>
  <si>
    <t>KHUYẾN THƯƠNG</t>
  </si>
  <si>
    <t>SỰ NGHIỆP KHCN</t>
  </si>
  <si>
    <t>Sự nghiệp Khoa học công nghệ (NS tỉnh)</t>
  </si>
  <si>
    <t>KC</t>
  </si>
  <si>
    <t>Hoạt động ATGT</t>
  </si>
  <si>
    <t>ATGT</t>
  </si>
  <si>
    <t>IV</t>
  </si>
  <si>
    <t>GT</t>
  </si>
  <si>
    <t>HĐ</t>
  </si>
  <si>
    <t>DT còn KB</t>
  </si>
  <si>
    <t>Dự toán chưa cấp</t>
  </si>
  <si>
    <t>Nội dung KT 6</t>
  </si>
  <si>
    <t>Nội dung KT 7</t>
  </si>
  <si>
    <t>GIAO DỰ TOÁN</t>
  </si>
  <si>
    <t>ĐƠN VỊ HƯỞNG THỤ</t>
  </si>
  <si>
    <t>Đơn vị tính: Đồng</t>
  </si>
  <si>
    <t>Chọn phiếu Chi</t>
  </si>
  <si>
    <t>Đơn vị tính: VNĐ</t>
  </si>
  <si>
    <t xml:space="preserve">Nội dung </t>
  </si>
  <si>
    <t>Số tiền</t>
  </si>
  <si>
    <t>Nguồn</t>
  </si>
  <si>
    <t>PC</t>
  </si>
  <si>
    <t>Mã Nguồn</t>
  </si>
  <si>
    <t>BÁO CÁO THU CHI</t>
  </si>
  <si>
    <t>Phát sinh</t>
  </si>
  <si>
    <t>Tồn</t>
  </si>
  <si>
    <t>Số Thu</t>
  </si>
  <si>
    <t>Số Chi</t>
  </si>
  <si>
    <t>Ngày</t>
  </si>
  <si>
    <t>Thu</t>
  </si>
  <si>
    <t>Chi</t>
  </si>
  <si>
    <t>Tổng phát sinh trong năm:</t>
  </si>
  <si>
    <t>XỬ LÝ</t>
  </si>
  <si>
    <t/>
  </si>
  <si>
    <t>PHIẾU CHI</t>
  </si>
  <si>
    <t>Mẫu số C31-BB</t>
  </si>
  <si>
    <t>Bộ phận</t>
  </si>
  <si>
    <t xml:space="preserve">Số: </t>
  </si>
  <si>
    <t>Mã ĐVSDNS</t>
  </si>
  <si>
    <r>
      <t>Nợ:</t>
    </r>
    <r>
      <rPr>
        <i/>
        <sz val="6"/>
        <rFont val="Arial"/>
        <family val="2"/>
      </rPr>
      <t>……………….……….……….</t>
    </r>
  </si>
  <si>
    <r>
      <t>Có:</t>
    </r>
    <r>
      <rPr>
        <i/>
        <sz val="6"/>
        <rFont val="Arial"/>
        <family val="2"/>
      </rPr>
      <t>…………………………………</t>
    </r>
  </si>
  <si>
    <t xml:space="preserve">Họ tên người nhận tiền: </t>
  </si>
  <si>
    <t>Địa chỉ:</t>
  </si>
  <si>
    <t xml:space="preserve">Số tiền: </t>
  </si>
  <si>
    <t>Chủ tài khoản</t>
  </si>
  <si>
    <t xml:space="preserve">Kế toán </t>
  </si>
  <si>
    <t>Người lập</t>
  </si>
  <si>
    <t xml:space="preserve">Người nhận </t>
  </si>
  <si>
    <t>Thủ quỹ</t>
  </si>
  <si>
    <r>
      <t>(</t>
    </r>
    <r>
      <rPr>
        <i/>
        <sz val="9"/>
        <rFont val="Arial"/>
        <family val="2"/>
      </rPr>
      <t>Ký, họ tên, đóng dấu</t>
    </r>
    <r>
      <rPr>
        <sz val="9"/>
        <rFont val="Arial"/>
        <family val="2"/>
      </rPr>
      <t>)</t>
    </r>
  </si>
  <si>
    <r>
      <t>(</t>
    </r>
    <r>
      <rPr>
        <i/>
        <sz val="9"/>
        <rFont val="Arial"/>
        <family val="2"/>
      </rPr>
      <t>Ký, họ tên</t>
    </r>
    <r>
      <rPr>
        <sz val="9"/>
        <rFont val="Arial"/>
        <family val="2"/>
      </rPr>
      <t>)</t>
    </r>
  </si>
  <si>
    <t>DANH SÁCH CHI</t>
  </si>
  <si>
    <t>Lý do chi:</t>
  </si>
  <si>
    <t>đồng</t>
  </si>
  <si>
    <t>Quyển số:</t>
  </si>
  <si>
    <t>(Ban hành theo QĐ số 19/2006/QĐ-BTC
ngày 30/06/2006 của Bộ trưởng BTC)</t>
  </si>
  <si>
    <t>Đơn vị: PHÒNG KINH TẾ &amp; HT</t>
  </si>
  <si>
    <t>THỦ QUỸ</t>
  </si>
  <si>
    <t>BẢNG TỔNG HỢP THU - CHI QUỸ TIỀN MẶT</t>
  </si>
  <si>
    <t>Mã hiệu</t>
  </si>
  <si>
    <t>Nguồn vốn</t>
  </si>
  <si>
    <t>Tồn năm trước</t>
  </si>
  <si>
    <t>GIẤY RÚT DỰ TOÁN</t>
  </si>
  <si>
    <t>223'</t>
  </si>
  <si>
    <t>373'</t>
  </si>
  <si>
    <t>V</t>
  </si>
  <si>
    <t>KHCN</t>
  </si>
  <si>
    <t>Khoa học và công nghệ</t>
  </si>
  <si>
    <t>SỰ NGHIỆP GIAO THÔNG VÀ HOẠT ĐỘNG ATGT</t>
  </si>
  <si>
    <t>QUYẾT TOÁN KINH PHÍ</t>
  </si>
  <si>
    <t>TH QUỸ TIỀN MẶT</t>
  </si>
  <si>
    <t>ĐỐI CHIẾU KB MẪU 01</t>
  </si>
  <si>
    <t>ĐỐI CHIẾU KB MẪU 02</t>
  </si>
  <si>
    <t>BÁO CÁO CHI TIẾT DỰ TOÁN</t>
  </si>
  <si>
    <t>BÁO CÁO DỰ TOÁN</t>
  </si>
  <si>
    <t>BÁO CÁO CÔNG TRÌNH</t>
  </si>
  <si>
    <t>DANH MỤC CÔNG TRÌNH</t>
  </si>
  <si>
    <t>Năm NS:</t>
  </si>
  <si>
    <t>Số CKC, HĐK :………………………………………………………..………..</t>
  </si>
  <si>
    <t>Tiền mặt tại KB</t>
  </si>
  <si>
    <t>Tiền mặt tại NH</t>
  </si>
  <si>
    <t>KHO BẠC NHÀ NƯỚC</t>
  </si>
  <si>
    <t>KHO BẠC NHÀ NƯỚC (NGÂN HÀNG) B</t>
  </si>
  <si>
    <t>Thanh toán bằng Tiền mặt tại Kho bạc</t>
  </si>
  <si>
    <t>Thanh toán bằng Tiền mặt tại Ngân hàng</t>
  </si>
  <si>
    <t>Đường ĐH.95 Thụy Dân - Thụy Ninh</t>
  </si>
  <si>
    <t>Thanh toán kinh phí XL đường ĐH.95 Thụy Dân-Thụy Ninh</t>
  </si>
  <si>
    <t xml:space="preserve">Đơn vị rút dự toán: Phòng Kinh tế và Hạ tầng huyện Thái Thụy                       </t>
  </si>
  <si>
    <t>Tại KBNN: huyện Thái Thụy</t>
  </si>
  <si>
    <t>Lê Sỹ Thiệp</t>
  </si>
  <si>
    <t>Đơn vị: Phòng Kinh tế và Hạ tầng huyện Thái Thụy</t>
  </si>
  <si>
    <t>Mã ĐVQHNS: 1018523</t>
  </si>
  <si>
    <t xml:space="preserve"> Mẫu số 02-SDKP/ĐVDT</t>
  </si>
  <si>
    <t xml:space="preserve"> (Ban hành theo Quyết định số 4377/QĐ-KBNN </t>
  </si>
  <si>
    <t>ngày 15/9/2017 của TGĐ KBNN)</t>
  </si>
  <si>
    <t xml:space="preserve">(Ban hành kèm theo Quyết định số 4377/QĐ-KBNN </t>
  </si>
  <si>
    <t>ngày 15/9/2017 của TGĐ KBNN )</t>
  </si>
  <si>
    <t>…………………………………………………………………………………………………………………………………………………………………………………………..……………………………………………………………………………………………………………………</t>
  </si>
  <si>
    <r>
      <t>Kèm theo</t>
    </r>
    <r>
      <rPr>
        <sz val="6"/>
        <rFont val="Arial"/>
        <family val="2"/>
      </rPr>
      <t>………………………………………………………………….……..</t>
    </r>
    <r>
      <rPr>
        <sz val="12"/>
        <rFont val="Arial"/>
        <family val="2"/>
      </rPr>
      <t>chứng từ kế toán</t>
    </r>
    <r>
      <rPr>
        <sz val="6"/>
        <rFont val="Arial"/>
        <family val="2"/>
      </rPr>
      <t xml:space="preserve"> </t>
    </r>
    <r>
      <rPr>
        <sz val="12"/>
        <rFont val="Arial"/>
        <family val="2"/>
      </rPr>
      <t>khác</t>
    </r>
    <r>
      <rPr>
        <sz val="6"/>
        <rFont val="Arial"/>
        <family val="2"/>
      </rPr>
      <t>…………………………………………….……………………...……………………………...……………………………………</t>
    </r>
  </si>
  <si>
    <r>
      <t>Đã nhận đủ số tiền (</t>
    </r>
    <r>
      <rPr>
        <i/>
        <sz val="12"/>
        <rFont val="Arial"/>
        <family val="2"/>
      </rPr>
      <t>viết bằng chữ):</t>
    </r>
    <r>
      <rPr>
        <i/>
        <sz val="11"/>
        <rFont val="Arial"/>
        <family val="2"/>
      </rPr>
      <t xml:space="preserve"> </t>
    </r>
    <r>
      <rPr>
        <sz val="6"/>
        <rFont val="Arial"/>
        <family val="2"/>
      </rPr>
      <t>………………….………………………………………………………………..………………………….………………………………………………...……………………………………</t>
    </r>
  </si>
  <si>
    <r>
      <t xml:space="preserve"> + Tỷ giá ngoại tệ (vàng, bạc, đá quý) : </t>
    </r>
    <r>
      <rPr>
        <sz val="6"/>
        <rFont val="Arial"/>
        <family val="2"/>
      </rPr>
      <t>……………………………………………………………………………………………………………………….………………………………………………………………………….</t>
    </r>
  </si>
  <si>
    <r>
      <t xml:space="preserve"> + Số tiền quy đổi : </t>
    </r>
    <r>
      <rPr>
        <sz val="6"/>
        <rFont val="Arial"/>
        <family val="2"/>
      </rPr>
      <t>………………………………………..……………………………………………………………………………………………………………………………………………….………………………………………………………………..</t>
    </r>
  </si>
  <si>
    <t>QĐ giao DT+BS</t>
  </si>
  <si>
    <t>Đã cấp</t>
  </si>
  <si>
    <t xml:space="preserve">Còn </t>
  </si>
  <si>
    <t>Có TK :….….……….</t>
  </si>
  <si>
    <t>Nợ TK :……..…....….</t>
  </si>
  <si>
    <t>Mã ĐBHC :…..……..</t>
  </si>
  <si>
    <t>Cấp ngày:</t>
  </si>
  <si>
    <t>……………………………………………………………………………………………</t>
  </si>
  <si>
    <t>Số CKC, HĐTH :…………………….……</t>
  </si>
  <si>
    <t>Thủ quỹ      Kế toán      Kế toán trưởng      Giám đốc</t>
  </si>
  <si>
    <t>Kế toán     Kế toán trưởng     Giám đốc</t>
  </si>
  <si>
    <r>
      <rPr>
        <b/>
        <sz val="8"/>
        <color indexed="8"/>
        <rFont val="Arial"/>
        <family val="2"/>
      </rPr>
      <t xml:space="preserve"> Mẫu số: C2-02a/NS</t>
    </r>
    <r>
      <rPr>
        <sz val="8"/>
        <color indexed="8"/>
        <rFont val="Arial"/>
        <family val="2"/>
      </rPr>
      <t xml:space="preserve">
(Theo TT số 77/2017/TT-BTC ngày  
28/7/2017 của Bộ Tài chính)</t>
    </r>
  </si>
  <si>
    <t>Mẫu số : 01</t>
  </si>
  <si>
    <t>BẢNG KÊ CHỨNG TỪ THANH TOÁN/ TẠM ỨNG</t>
  </si>
  <si>
    <t>Hóa đơn</t>
  </si>
  <si>
    <t>Mã NKT</t>
  </si>
  <si>
    <t>Số lượng</t>
  </si>
  <si>
    <t>Định mức</t>
  </si>
  <si>
    <t>Thành tiền</t>
  </si>
  <si>
    <t xml:space="preserve">Tổng cộng </t>
  </si>
  <si>
    <t>NHẬP LIỆU</t>
  </si>
  <si>
    <t>BẢNG KÊ CHỨNG TỪ</t>
  </si>
  <si>
    <t>Ngày tháng năm</t>
  </si>
  <si>
    <r>
      <t xml:space="preserve">Thanh toán tạm ứng   </t>
    </r>
    <r>
      <rPr>
        <sz val="13"/>
        <rFont val="Wingdings 2"/>
        <family val="1"/>
        <charset val="2"/>
      </rPr>
      <t>£</t>
    </r>
  </si>
  <si>
    <r>
      <t xml:space="preserve">Tạm ứng                     </t>
    </r>
    <r>
      <rPr>
        <sz val="13"/>
        <rFont val="Wingdings 2"/>
        <family val="1"/>
        <charset val="2"/>
      </rPr>
      <t>£</t>
    </r>
  </si>
  <si>
    <r>
      <t xml:space="preserve">Thanh toán trực tiếp   </t>
    </r>
    <r>
      <rPr>
        <sz val="13"/>
        <rFont val="Wingdings 2"/>
        <family val="1"/>
        <charset val="2"/>
      </rPr>
      <t>T</t>
    </r>
  </si>
  <si>
    <t>Mã nguồn :         12</t>
  </si>
  <si>
    <t>Mã CTMTQD, MÃ ODA....</t>
  </si>
  <si>
    <t>Mã đơn vị :        1018523</t>
  </si>
  <si>
    <t>Đơn vị SDNS :  Phòng Kinh tế và Hạ tầng huyện Thái Thụy</t>
  </si>
  <si>
    <t>Hoạt động sự nghiệp giao thông</t>
  </si>
  <si>
    <t>PC08</t>
  </si>
  <si>
    <t>Niên độ kế toán:</t>
  </si>
  <si>
    <t>Năm 2017</t>
  </si>
  <si>
    <t>Thanh toán tiền thẩm định</t>
  </si>
  <si>
    <t>Thanh toán tiền VPP</t>
  </si>
  <si>
    <t>Thanh toán tiền giám sát</t>
  </si>
  <si>
    <t xml:space="preserve">Công ty cổ phần </t>
  </si>
  <si>
    <t xml:space="preserve">Phòng Tài chính - </t>
  </si>
  <si>
    <t xml:space="preserve">Phòng Kinh tế và Hạ tầng huyện </t>
  </si>
  <si>
    <t>UBND huyện T</t>
  </si>
  <si>
    <t>Đường ĐH 90 đoạn qua xã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</si>
</sst>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7">
    <numFmt numFmtId="43" formatCode="_-* #,##0.00\ _₫_-;\-* #,##0.00\ _₫_-;_-* &quot;-&quot;??\ _₫_-;_-@_-"/>
    <numFmt numFmtId="164" formatCode="_(* #,##0.00_);_(* \(#,##0.00\);_(* &quot;-&quot;??_);_(@_)"/>
    <numFmt numFmtId="165" formatCode="_-* #,##0_-;\-* #,##0_-;_-* &quot;-&quot;_-;_-@_-"/>
    <numFmt numFmtId="166" formatCode="_-* #,##0.00_-;\-* #,##0.00_-;_-* &quot;-&quot;??_-;_-@_-"/>
    <numFmt numFmtId="167" formatCode="_(* #,##0_);_(* \(#,##0\);_(* &quot;-&quot;??_);_(@_)"/>
    <numFmt numFmtId="168" formatCode="_ * #,##0_)\ _$_ ;_ * \(#,##0\)\ _$_ ;_ * &quot;-&quot;_)\ _$_ ;_ @_ "/>
    <numFmt numFmtId="169" formatCode="###\ ###\ ###\ ###\ ##0"/>
    <numFmt numFmtId="170" formatCode="#,#00;[Red]\-#,#00;_@&quot;-&quot;"/>
    <numFmt numFmtId="171" formatCode="_-* #,##0_-;\-* #,##0_-;_-* &quot;-&quot;??_-;_-@_-"/>
    <numFmt numFmtId="172" formatCode="dd/mm/yy;@"/>
    <numFmt numFmtId="173" formatCode="dd/mm/yyyy;@"/>
    <numFmt numFmtId="174" formatCode="_-* #,##0.00\ &quot;$&quot;_-;\-* #,##0.00\ &quot;$&quot;_-;_-* &quot;-&quot;??\ &quot;$&quot;_-;_-@_-"/>
    <numFmt numFmtId="175" formatCode="00#"/>
    <numFmt numFmtId="176" formatCode="0#"/>
    <numFmt numFmtId="177" formatCode="&quot;\&quot;#,##0.00;[Red]&quot;\&quot;&quot;\&quot;&quot;\&quot;&quot;\&quot;&quot;\&quot;&quot;\&quot;\-#,##0.00"/>
    <numFmt numFmtId="178" formatCode="&quot;\&quot;#,##0;[Red]&quot;\&quot;&quot;\&quot;\-#,##0"/>
    <numFmt numFmtId="179" formatCode=";;"/>
    <numFmt numFmtId="180" formatCode="0.000_)"/>
    <numFmt numFmtId="181" formatCode="&quot;$&quot;\ \ \ \ #,##0_);\(&quot;$&quot;\ \ \ #,##0\)"/>
    <numFmt numFmtId="182" formatCode="&quot;$&quot;\ \ \ \ \ #,##0_);\(&quot;$&quot;\ \ \ \ \ #,##0\)"/>
    <numFmt numFmtId="183" formatCode="_-* #.##0.000000_-;\-* #.##0.000000_-;_-* &quot;-&quot;??_-;_-@_-"/>
    <numFmt numFmtId="184" formatCode="#,##0.00\ &quot;F&quot;;[Red]\-#,##0.00\ &quot;F&quot;"/>
    <numFmt numFmtId="185" formatCode="_-* #,##0\ &quot;F&quot;_-;\-* #,##0\ &quot;F&quot;_-;_-* &quot;-&quot;\ &quot;F&quot;_-;_-@_-"/>
    <numFmt numFmtId="186" formatCode="#,##0\ &quot;F&quot;;[Red]\-#,##0\ &quot;F&quot;"/>
    <numFmt numFmtId="187" formatCode="#,##0.00\ &quot;F&quot;;\-#,##0.00\ &quot;F&quot;"/>
    <numFmt numFmtId="188" formatCode="#,##0\ &quot;$&quot;_);\(#,##0\ &quot;$&quot;\)"/>
    <numFmt numFmtId="189" formatCode="#,##0.00_ ;\-#,##0.00\ "/>
    <numFmt numFmtId="190" formatCode="0.000000"/>
    <numFmt numFmtId="191" formatCode="_-&quot;$&quot;* #,##0_-;\-&quot;$&quot;* #,##0_-;_-&quot;$&quot;* &quot;-&quot;_-;_-@_-"/>
    <numFmt numFmtId="192" formatCode="&quot;$&quot;#,##0;[Red]\-&quot;$&quot;#,##0"/>
    <numFmt numFmtId="193" formatCode="_-&quot;$&quot;* #,##0.00_-;\-&quot;$&quot;* #,##0.00_-;_-&quot;$&quot;* &quot;-&quot;??_-;_-@_-"/>
    <numFmt numFmtId="194" formatCode="[$-F800]dddd\,\ mmmm\ dd\,\ yyyy"/>
    <numFmt numFmtId="195" formatCode="0.000000000"/>
    <numFmt numFmtId="196" formatCode="0E+00;\趰"/>
    <numFmt numFmtId="197" formatCode="0.000%"/>
    <numFmt numFmtId="198" formatCode="0.0E+00;\趰"/>
    <numFmt numFmtId="199" formatCode="0.0%"/>
    <numFmt numFmtId="200" formatCode="_ * #,##0_ ;_ * \-#,##0_ ;_ * &quot;-&quot;_ ;_ @_ "/>
    <numFmt numFmtId="201" formatCode="0.0000%"/>
    <numFmt numFmtId="202" formatCode="_ * #,##0.00_ ;_ * \-#,##0.00_ ;_ * &quot;-&quot;??_ ;_ @_ "/>
    <numFmt numFmtId="203" formatCode="#,##0;\(#,##0\)"/>
    <numFmt numFmtId="204" formatCode="\t0.00%"/>
    <numFmt numFmtId="205" formatCode="0.000"/>
    <numFmt numFmtId="206" formatCode="\t#\ ??/??"/>
    <numFmt numFmtId="207" formatCode="#."/>
    <numFmt numFmtId="208" formatCode="#,###"/>
    <numFmt numFmtId="209" formatCode="#,##0\ &quot;$&quot;_);[Red]\(#,##0\ &quot;$&quot;\)"/>
    <numFmt numFmtId="210" formatCode="&quot;$&quot;###,0&quot;.&quot;00_);[Red]\(&quot;$&quot;###,0&quot;.&quot;00\)"/>
    <numFmt numFmtId="211" formatCode="m/d"/>
    <numFmt numFmtId="212" formatCode="&quot;ß&quot;#,##0;\-&quot;&quot;\ß&quot;&quot;#,##0"/>
    <numFmt numFmtId="213" formatCode="_-* #,##0.0\ _F_-;\-* #,##0.0\ _F_-;_-* &quot;-&quot;??\ _F_-;_-@_-"/>
    <numFmt numFmtId="214" formatCode="_-* #,##0\ &quot;DM&quot;_-;\-* #,##0\ &quot;DM&quot;_-;_-* &quot;-&quot;\ &quot;DM&quot;_-;_-@_-"/>
    <numFmt numFmtId="215" formatCode="_-* #,##0.00\ &quot;DM&quot;_-;\-* #,##0.00\ &quot;DM&quot;_-;_-* &quot;-&quot;??\ &quot;DM&quot;_-;_-@_-"/>
    <numFmt numFmtId="216" formatCode="&quot;Ngày&quot;\ dd&quot; tháng&quot;\ mm&quot; năm&quot;\ yyyy"/>
    <numFmt numFmtId="217" formatCode="&quot;Ngày  &quot;dd&quot; tháng &quot;mm&quot; năm &quot;yyyy"/>
    <numFmt numFmtId="218" formatCode="&quot;Ngày hiện tại : &quot;dd/mm/yyyy"/>
    <numFmt numFmtId="219" formatCode="#,##0_ ;[Red]\-#,##0\ "/>
  </numFmts>
  <fonts count="199">
    <font>
      <sz val="10"/>
      <name val="Arial"/>
    </font>
    <font>
      <sz val="8"/>
      <name val="Arial"/>
      <family val="2"/>
      <charset val="163"/>
    </font>
    <font>
      <sz val="10"/>
      <name val="Arial"/>
      <family val="2"/>
      <charset val="163"/>
    </font>
    <font>
      <b/>
      <sz val="14"/>
      <name val="Times New Roman"/>
      <family val="1"/>
    </font>
    <font>
      <sz val="12"/>
      <name val="VNI-Times"/>
    </font>
    <font>
      <sz val="10"/>
      <name val="Arial"/>
      <family val="2"/>
    </font>
    <font>
      <sz val="11"/>
      <name val="VNbook-Antiqua"/>
    </font>
    <font>
      <sz val="10"/>
      <name val=".VnArial"/>
      <family val="2"/>
    </font>
    <font>
      <sz val="10"/>
      <name val="VNbook-Antiqua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8"/>
      <color indexed="10"/>
      <name val="Arial"/>
      <family val="2"/>
      <charset val="163"/>
    </font>
    <font>
      <sz val="10"/>
      <color indexed="9"/>
      <name val="Arial"/>
      <family val="2"/>
      <charset val="163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8"/>
      <color indexed="10"/>
      <name val="Times New Roman"/>
      <family val="1"/>
    </font>
    <font>
      <sz val="12"/>
      <color indexed="8"/>
      <name val="Times New Roman"/>
      <family val="1"/>
      <charset val="163"/>
    </font>
    <font>
      <sz val="12"/>
      <color indexed="10"/>
      <name val="Times New Roman"/>
      <family val="1"/>
      <charset val="163"/>
    </font>
    <font>
      <sz val="12"/>
      <name val="Times New Roman"/>
      <family val="1"/>
      <charset val="163"/>
    </font>
    <font>
      <i/>
      <sz val="8"/>
      <color indexed="10"/>
      <name val="Arial"/>
      <family val="2"/>
      <charset val="163"/>
    </font>
    <font>
      <b/>
      <i/>
      <sz val="11"/>
      <name val="Times New Roman"/>
      <family val="1"/>
    </font>
    <font>
      <b/>
      <i/>
      <sz val="12"/>
      <name val="Times New Roman"/>
      <family val="1"/>
    </font>
    <font>
      <i/>
      <sz val="10"/>
      <name val="Arial"/>
      <family val="2"/>
      <charset val="163"/>
    </font>
    <font>
      <sz val="14"/>
      <name val="vntime"/>
      <charset val="163"/>
    </font>
    <font>
      <sz val="8"/>
      <name val="vntime"/>
      <charset val="163"/>
    </font>
    <font>
      <sz val="14"/>
      <name val=".VnTime"/>
      <family val="2"/>
    </font>
    <font>
      <sz val="10"/>
      <name val=".VnTime"/>
      <family val="2"/>
    </font>
    <font>
      <sz val="12"/>
      <name val=".VnTime"/>
      <family val="2"/>
    </font>
    <font>
      <b/>
      <sz val="13"/>
      <name val="Times New Roman"/>
      <family val="1"/>
      <charset val="163"/>
    </font>
    <font>
      <sz val="14"/>
      <name val="Times New Roman"/>
      <family val="1"/>
    </font>
    <font>
      <sz val="13"/>
      <color indexed="10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color indexed="10"/>
      <name val="Times New Roman"/>
      <family val="1"/>
    </font>
    <font>
      <b/>
      <sz val="14"/>
      <color indexed="12"/>
      <name val="Times New Roman"/>
      <family val="1"/>
    </font>
    <font>
      <sz val="14"/>
      <color indexed="12"/>
      <name val="Times New Roman"/>
      <family val="1"/>
    </font>
    <font>
      <b/>
      <u/>
      <sz val="13"/>
      <color indexed="12"/>
      <name val="Times New Roman"/>
      <family val="1"/>
    </font>
    <font>
      <b/>
      <u/>
      <sz val="12"/>
      <color indexed="12"/>
      <name val="Times New Roman"/>
      <family val="1"/>
    </font>
    <font>
      <b/>
      <sz val="12"/>
      <color indexed="12"/>
      <name val="Times New Roman"/>
      <family val="1"/>
    </font>
    <font>
      <b/>
      <sz val="14"/>
      <name val="Times New Roman"/>
      <family val="1"/>
      <charset val="163"/>
    </font>
    <font>
      <b/>
      <sz val="11"/>
      <name val="Times New Roman"/>
      <family val="1"/>
      <charset val="163"/>
    </font>
    <font>
      <b/>
      <i/>
      <sz val="11"/>
      <name val="Times New Roman"/>
      <family val="1"/>
      <charset val="163"/>
    </font>
    <font>
      <sz val="14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4"/>
      <name val="Times New Roman"/>
      <family val="1"/>
      <charset val="163"/>
    </font>
    <font>
      <b/>
      <i/>
      <sz val="12"/>
      <name val="Times New Roman"/>
      <family val="1"/>
      <charset val="163"/>
    </font>
    <font>
      <sz val="8"/>
      <color indexed="9"/>
      <name val="Arial"/>
      <family val="2"/>
      <charset val="163"/>
    </font>
    <font>
      <b/>
      <i/>
      <sz val="11"/>
      <name val="VNtimes new roman"/>
      <family val="2"/>
    </font>
    <font>
      <sz val="11"/>
      <name val="VNtimes new roman"/>
      <family val="2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9"/>
      <color indexed="10"/>
      <name val="Times New Roman"/>
      <family val="1"/>
    </font>
    <font>
      <sz val="12"/>
      <color indexed="12"/>
      <name val="Times New Roman"/>
      <family val="1"/>
    </font>
    <font>
      <sz val="9"/>
      <color indexed="12"/>
      <name val="Times New Roman"/>
      <family val="1"/>
    </font>
    <font>
      <sz val="13"/>
      <color indexed="12"/>
      <name val="Times New Roman"/>
      <family val="1"/>
    </font>
    <font>
      <sz val="12"/>
      <color indexed="8"/>
      <name val="Times New Roman"/>
      <family val="2"/>
      <charset val="1"/>
    </font>
    <font>
      <sz val="14"/>
      <name val="??"/>
      <family val="3"/>
      <charset val="129"/>
    </font>
    <font>
      <sz val="12"/>
      <name val="????"/>
      <charset val="136"/>
    </font>
    <font>
      <sz val="10"/>
      <name val="???"/>
      <family val="3"/>
      <charset val="129"/>
    </font>
    <font>
      <sz val="12"/>
      <name val="¹UAAA¼"/>
      <family val="3"/>
      <charset val="129"/>
    </font>
    <font>
      <sz val="8"/>
      <name val="Times New Roman"/>
      <family val="1"/>
      <charset val="163"/>
    </font>
    <font>
      <sz val="12"/>
      <name val="Tms Rmn"/>
    </font>
    <font>
      <sz val="10"/>
      <name val="MS Sans Serif"/>
      <family val="2"/>
    </font>
    <font>
      <sz val="11"/>
      <name val="Tms Rmn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color indexed="9"/>
      <name val="Tms Rmn"/>
    </font>
    <font>
      <b/>
      <sz val="12"/>
      <name val="Arial"/>
      <family val="2"/>
    </font>
    <font>
      <b/>
      <sz val="18"/>
      <name val="Arial"/>
      <family val="2"/>
    </font>
    <font>
      <b/>
      <sz val="8"/>
      <name val="MS Sans Serif"/>
      <family val="2"/>
    </font>
    <font>
      <sz val="12"/>
      <name val="Arial"/>
      <family val="2"/>
    </font>
    <font>
      <sz val="8"/>
      <name val="Wingdings"/>
      <charset val="2"/>
    </font>
    <font>
      <sz val="8"/>
      <name val="Helv"/>
    </font>
    <font>
      <sz val="8"/>
      <name val="MS Sans Serif"/>
      <family val="2"/>
    </font>
    <font>
      <b/>
      <sz val="8"/>
      <color indexed="8"/>
      <name val="Helv"/>
    </font>
    <font>
      <sz val="13"/>
      <name val=".VnTime"/>
      <family val="2"/>
    </font>
    <font>
      <sz val="10"/>
      <name val="VN Helvetica"/>
    </font>
    <font>
      <b/>
      <sz val="10"/>
      <name val="VN Helvetica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0"/>
      <name val="굴림체"/>
      <family val="3"/>
    </font>
    <font>
      <sz val="12"/>
      <name val="Courier"/>
      <family val="3"/>
    </font>
    <font>
      <sz val="9"/>
      <color indexed="8"/>
      <name val="Arial"/>
      <family val="2"/>
      <charset val="163"/>
    </font>
    <font>
      <b/>
      <sz val="9"/>
      <color indexed="8"/>
      <name val="Arial"/>
      <family val="2"/>
      <charset val="163"/>
    </font>
    <font>
      <b/>
      <i/>
      <sz val="9"/>
      <color indexed="8"/>
      <name val="Arial"/>
      <family val="2"/>
      <charset val="163"/>
    </font>
    <font>
      <i/>
      <sz val="9"/>
      <color indexed="8"/>
      <name val="Arial"/>
      <family val="2"/>
      <charset val="163"/>
    </font>
    <font>
      <sz val="16"/>
      <name val="Wingdings 2"/>
      <family val="1"/>
      <charset val="2"/>
    </font>
    <font>
      <sz val="11"/>
      <name val="??"/>
      <family val="3"/>
      <charset val="129"/>
    </font>
    <font>
      <sz val="10"/>
      <name val="Helv"/>
      <family val="2"/>
    </font>
    <font>
      <b/>
      <u/>
      <sz val="14"/>
      <color indexed="8"/>
      <name val=".VnBook-AntiquaH"/>
      <family val="2"/>
    </font>
    <font>
      <sz val="12"/>
      <name val="¹ÙÅÁÃ¼"/>
      <charset val="129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name val="µ¸¿ò"/>
      <charset val="129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b/>
      <sz val="10"/>
      <name val="Helv"/>
    </font>
    <font>
      <b/>
      <sz val="12"/>
      <name val="Helv"/>
    </font>
    <font>
      <b/>
      <sz val="1"/>
      <color indexed="8"/>
      <name val="Courier"/>
      <family val="3"/>
    </font>
    <font>
      <b/>
      <sz val="11"/>
      <name val="Helv"/>
    </font>
    <font>
      <sz val="10"/>
      <name val=".VnAvant"/>
      <family val="2"/>
    </font>
    <font>
      <sz val="7"/>
      <name val="Small Fonts"/>
      <family val="2"/>
    </font>
    <font>
      <sz val="12"/>
      <color indexed="8"/>
      <name val="Times New Roman"/>
      <family val="2"/>
    </font>
    <font>
      <sz val="8.25"/>
      <color indexed="8"/>
      <name val="Microsoft Sans Serif"/>
      <family val="2"/>
    </font>
    <font>
      <sz val="11"/>
      <name val="–¾’©"/>
      <family val="1"/>
      <charset val="128"/>
    </font>
    <font>
      <sz val="11"/>
      <color indexed="32"/>
      <name val="VNI-Times"/>
    </font>
    <font>
      <sz val="14"/>
      <name val=".VnArial"/>
      <family val="2"/>
    </font>
    <font>
      <sz val="12"/>
      <name val="바탕체"/>
      <family val="1"/>
      <charset val="129"/>
    </font>
    <font>
      <sz val="9"/>
      <name val="Arial"/>
      <family val="2"/>
    </font>
    <font>
      <b/>
      <sz val="12"/>
      <color indexed="8"/>
      <name val="Times New Roman"/>
      <family val="1"/>
      <charset val="163"/>
    </font>
    <font>
      <b/>
      <sz val="14"/>
      <color indexed="10"/>
      <name val="Times New Roman"/>
      <family val="1"/>
    </font>
    <font>
      <sz val="12"/>
      <color indexed="10"/>
      <name val="Times New Roman"/>
      <family val="1"/>
    </font>
    <font>
      <b/>
      <sz val="10"/>
      <name val="Arial"/>
      <family val="2"/>
      <charset val="163"/>
    </font>
    <font>
      <b/>
      <sz val="14"/>
      <name val="Times New Roman"/>
      <family val="1"/>
      <charset val="163"/>
      <scheme val="major"/>
    </font>
    <font>
      <sz val="12"/>
      <name val="Times New Roman"/>
      <family val="1"/>
      <charset val="163"/>
      <scheme val="major"/>
    </font>
    <font>
      <b/>
      <sz val="12"/>
      <color rgb="FFFF0000"/>
      <name val="Times New Roman"/>
      <family val="1"/>
      <charset val="163"/>
    </font>
    <font>
      <b/>
      <sz val="14"/>
      <color indexed="10"/>
      <name val="Times New Roman"/>
      <family val="1"/>
      <charset val="163"/>
      <scheme val="major"/>
    </font>
    <font>
      <b/>
      <sz val="18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u/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b/>
      <i/>
      <sz val="14"/>
      <color rgb="FFFFC000"/>
      <name val="Times New Roman"/>
      <family val="1"/>
    </font>
    <font>
      <sz val="16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i/>
      <sz val="11"/>
      <name val="Times New Roman"/>
      <family val="1"/>
    </font>
    <font>
      <sz val="12"/>
      <color theme="0"/>
      <name val="Times New Roman"/>
      <family val="1"/>
    </font>
    <font>
      <sz val="20"/>
      <name val="Times New Roman"/>
      <family val="1"/>
    </font>
    <font>
      <sz val="12"/>
      <color indexed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sz val="12"/>
      <color indexed="8"/>
      <name val="Times New Roman"/>
      <family val="1"/>
    </font>
    <font>
      <sz val="10"/>
      <color theme="0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  <charset val="163"/>
    </font>
    <font>
      <b/>
      <sz val="11"/>
      <name val="Arial"/>
      <family val="2"/>
      <charset val="163"/>
    </font>
    <font>
      <i/>
      <sz val="12"/>
      <name val="Times New Roman"/>
      <family val="1"/>
    </font>
    <font>
      <sz val="11"/>
      <color theme="1"/>
      <name val="Times New Roman"/>
      <family val="1"/>
      <charset val="163"/>
    </font>
    <font>
      <b/>
      <sz val="10"/>
      <name val="Arial"/>
      <family val="2"/>
    </font>
    <font>
      <sz val="11"/>
      <color theme="0"/>
      <name val="Times New Roman"/>
      <family val="1"/>
    </font>
    <font>
      <u/>
      <sz val="10"/>
      <color theme="10"/>
      <name val="Arial"/>
      <family val="2"/>
    </font>
    <font>
      <sz val="14"/>
      <color theme="1"/>
      <name val="Times New Roman"/>
      <family val="1"/>
    </font>
    <font>
      <sz val="8"/>
      <color rgb="FFFF0000"/>
      <name val="Arial"/>
      <family val="2"/>
      <charset val="163"/>
    </font>
    <font>
      <b/>
      <sz val="12"/>
      <color indexed="8"/>
      <name val="Times New Roman"/>
      <family val="1"/>
    </font>
    <font>
      <b/>
      <sz val="16"/>
      <color rgb="FFFF0000"/>
      <name val="Times New Roman"/>
      <family val="1"/>
    </font>
    <font>
      <sz val="10"/>
      <color rgb="FFFF0000"/>
      <name val="Arial"/>
      <family val="2"/>
      <charset val="163"/>
    </font>
    <font>
      <b/>
      <sz val="11"/>
      <color rgb="FFFF0000"/>
      <name val="Times New Roman"/>
      <family val="1"/>
    </font>
    <font>
      <b/>
      <sz val="11"/>
      <color theme="0"/>
      <name val="Times New Roman"/>
      <family val="1"/>
    </font>
    <font>
      <sz val="11"/>
      <name val="Arial"/>
      <family val="2"/>
    </font>
    <font>
      <sz val="20"/>
      <color theme="0"/>
      <name val="Arial"/>
      <family val="2"/>
      <charset val="163"/>
    </font>
    <font>
      <sz val="12"/>
      <color indexed="9"/>
      <name val="Arial"/>
      <family val="2"/>
      <charset val="163"/>
    </font>
    <font>
      <sz val="12"/>
      <name val="Arial"/>
      <family val="2"/>
      <charset val="163"/>
    </font>
    <font>
      <b/>
      <sz val="20"/>
      <name val="Times New Roman"/>
      <family val="1"/>
    </font>
    <font>
      <b/>
      <sz val="12"/>
      <color rgb="FFFF0000"/>
      <name val="Arial"/>
      <family val="2"/>
      <charset val="163"/>
    </font>
    <font>
      <sz val="16"/>
      <color theme="0"/>
      <name val="Arial"/>
      <family val="2"/>
      <charset val="163"/>
    </font>
    <font>
      <sz val="16"/>
      <name val="Arial"/>
      <family val="2"/>
      <charset val="163"/>
    </font>
    <font>
      <sz val="10"/>
      <color indexed="10"/>
      <name val="Arial"/>
      <family val="2"/>
      <charset val="163"/>
    </font>
    <font>
      <u/>
      <sz val="11"/>
      <name val="Arial"/>
      <family val="2"/>
    </font>
    <font>
      <b/>
      <sz val="20"/>
      <name val="Arial"/>
      <family val="2"/>
    </font>
    <font>
      <b/>
      <sz val="9.5"/>
      <name val="Arial"/>
      <family val="2"/>
    </font>
    <font>
      <b/>
      <sz val="17"/>
      <name val="Arial"/>
      <family val="2"/>
    </font>
    <font>
      <sz val="8.5"/>
      <name val="Arial"/>
      <family val="2"/>
    </font>
    <font>
      <i/>
      <sz val="11"/>
      <name val="Arial"/>
      <family val="2"/>
    </font>
    <font>
      <i/>
      <sz val="6"/>
      <name val="Arial"/>
      <family val="2"/>
    </font>
    <font>
      <b/>
      <sz val="11"/>
      <name val="Arial"/>
      <family val="2"/>
    </font>
    <font>
      <sz val="6"/>
      <name val="Arial"/>
      <family val="2"/>
    </font>
    <font>
      <i/>
      <sz val="12"/>
      <name val="Arial"/>
      <family val="2"/>
    </font>
    <font>
      <i/>
      <sz val="9"/>
      <name val="Arial"/>
      <family val="2"/>
    </font>
    <font>
      <b/>
      <sz val="14"/>
      <color indexed="61"/>
      <name val="Times New Roman"/>
      <family val="1"/>
    </font>
    <font>
      <sz val="10"/>
      <name val="Times New Roman"/>
      <family val="1"/>
    </font>
    <font>
      <b/>
      <sz val="16"/>
      <color rgb="FFC00000"/>
      <name val="Times New Roman"/>
      <family val="1"/>
    </font>
    <font>
      <b/>
      <sz val="14"/>
      <color indexed="10"/>
      <name val="Times New Roman"/>
      <family val="1"/>
    </font>
    <font>
      <b/>
      <sz val="16"/>
      <color indexed="12"/>
      <name val="Times New Roman"/>
      <family val="1"/>
    </font>
    <font>
      <sz val="12"/>
      <color theme="0"/>
      <name val="Times New Roman"/>
      <family val="1"/>
      <charset val="163"/>
    </font>
    <font>
      <b/>
      <sz val="10"/>
      <color theme="10"/>
      <name val="Arial"/>
      <family val="2"/>
      <charset val="163"/>
    </font>
    <font>
      <sz val="12"/>
      <name val="Times New Roman"/>
      <family val="1"/>
      <charset val="163"/>
    </font>
    <font>
      <sz val="10"/>
      <color theme="0"/>
      <name val="Times New Roman"/>
      <family val="1"/>
    </font>
    <font>
      <b/>
      <i/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i/>
      <sz val="8"/>
      <name val="Arial"/>
      <family val="2"/>
    </font>
    <font>
      <b/>
      <sz val="13"/>
      <name val="Times New Roman"/>
      <family val="1"/>
    </font>
    <font>
      <sz val="13"/>
      <name val="Wingdings 2"/>
      <family val="1"/>
      <charset val="2"/>
    </font>
    <font>
      <sz val="11"/>
      <name val="Wingdings 2"/>
      <family val="1"/>
      <charset val="2"/>
    </font>
    <font>
      <b/>
      <sz val="18"/>
      <color rgb="FFFF0000"/>
      <name val="Arial"/>
      <family val="2"/>
      <charset val="163"/>
    </font>
    <font>
      <i/>
      <sz val="13"/>
      <name val="Times New Roman"/>
      <family val="1"/>
    </font>
    <font>
      <sz val="10"/>
      <color rgb="FFFF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</fills>
  <borders count="71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auto="1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68">
    <xf numFmtId="0" fontId="0" fillId="0" borderId="0"/>
    <xf numFmtId="0" fontId="31" fillId="0" borderId="0" applyNumberFormat="0" applyFill="0" applyBorder="0" applyAlignment="0" applyProtection="0"/>
    <xf numFmtId="169" fontId="4" fillId="0" borderId="0" applyFont="0" applyFill="0" applyBorder="0" applyAlignment="0" applyProtection="0">
      <protection locked="0"/>
    </xf>
    <xf numFmtId="177" fontId="5" fillId="0" borderId="0" applyFont="0" applyFill="0" applyBorder="0" applyAlignment="0" applyProtection="0"/>
    <xf numFmtId="0" fontId="61" fillId="0" borderId="0" applyFont="0" applyFill="0" applyBorder="0" applyAlignment="0" applyProtection="0"/>
    <xf numFmtId="178" fontId="5" fillId="0" borderId="0" applyFont="0" applyFill="0" applyBorder="0" applyAlignment="0" applyProtection="0"/>
    <xf numFmtId="40" fontId="61" fillId="0" borderId="0" applyFont="0" applyFill="0" applyBorder="0" applyAlignment="0" applyProtection="0"/>
    <xf numFmtId="38" fontId="61" fillId="0" borderId="0" applyFont="0" applyFill="0" applyBorder="0" applyAlignment="0" applyProtection="0"/>
    <xf numFmtId="165" fontId="62" fillId="0" borderId="0" applyFont="0" applyFill="0" applyBorder="0" applyAlignment="0" applyProtection="0"/>
    <xf numFmtId="9" fontId="95" fillId="0" borderId="0" applyFont="0" applyFill="0" applyBorder="0" applyAlignment="0" applyProtection="0"/>
    <xf numFmtId="0" fontId="63" fillId="0" borderId="0"/>
    <xf numFmtId="0" fontId="30" fillId="0" borderId="0" applyNumberFormat="0" applyFill="0" applyBorder="0" applyAlignment="0" applyProtection="0"/>
    <xf numFmtId="0" fontId="96" fillId="0" borderId="0"/>
    <xf numFmtId="0" fontId="5" fillId="0" borderId="0"/>
    <xf numFmtId="0" fontId="5" fillId="0" borderId="0"/>
    <xf numFmtId="170" fontId="4" fillId="0" borderId="0" applyFont="0" applyFill="0" applyBorder="0" applyAlignment="0" applyProtection="0"/>
    <xf numFmtId="0" fontId="97" fillId="2" borderId="0"/>
    <xf numFmtId="9" fontId="98" fillId="0" borderId="0" applyFont="0" applyFill="0" applyBorder="0" applyAlignment="0" applyProtection="0"/>
    <xf numFmtId="0" fontId="99" fillId="2" borderId="0"/>
    <xf numFmtId="0" fontId="31" fillId="0" borderId="0"/>
    <xf numFmtId="0" fontId="100" fillId="2" borderId="0"/>
    <xf numFmtId="0" fontId="101" fillId="0" borderId="0">
      <alignment wrapText="1"/>
    </xf>
    <xf numFmtId="0" fontId="30" fillId="0" borderId="0"/>
    <xf numFmtId="0" fontId="30" fillId="0" borderId="0"/>
    <xf numFmtId="195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196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198" fontId="31" fillId="0" borderId="0" applyFont="0" applyFill="0" applyBorder="0" applyAlignment="0" applyProtection="0"/>
    <xf numFmtId="0" fontId="65" fillId="0" borderId="0">
      <alignment horizontal="center" wrapText="1"/>
      <protection locked="0"/>
    </xf>
    <xf numFmtId="199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200" fontId="98" fillId="0" borderId="0" applyFont="0" applyFill="0" applyBorder="0" applyAlignment="0" applyProtection="0"/>
    <xf numFmtId="201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202" fontId="98" fillId="0" borderId="0" applyFont="0" applyFill="0" applyBorder="0" applyAlignment="0" applyProtection="0"/>
    <xf numFmtId="0" fontId="31" fillId="0" borderId="0"/>
    <xf numFmtId="0" fontId="27" fillId="0" borderId="0"/>
    <xf numFmtId="0" fontId="66" fillId="0" borderId="0" applyNumberFormat="0" applyFill="0" applyBorder="0" applyAlignment="0" applyProtection="0"/>
    <xf numFmtId="0" fontId="64" fillId="0" borderId="0"/>
    <xf numFmtId="0" fontId="102" fillId="0" borderId="0"/>
    <xf numFmtId="0" fontId="64" fillId="0" borderId="0"/>
    <xf numFmtId="0" fontId="103" fillId="0" borderId="0"/>
    <xf numFmtId="0" fontId="104" fillId="0" borderId="0"/>
    <xf numFmtId="179" fontId="67" fillId="0" borderId="0" applyFill="0" applyBorder="0" applyAlignment="0"/>
    <xf numFmtId="0" fontId="105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66" fontId="6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3" fontId="17" fillId="0" borderId="0"/>
    <xf numFmtId="3" fontId="5" fillId="0" borderId="0" applyFont="0" applyFill="0" applyBorder="0" applyAlignment="0" applyProtection="0"/>
    <xf numFmtId="0" fontId="69" fillId="0" borderId="0" applyNumberFormat="0" applyAlignment="0">
      <alignment horizontal="left"/>
    </xf>
    <xf numFmtId="168" fontId="7" fillId="0" borderId="0" applyFont="0" applyFill="0" applyBorder="0" applyAlignment="0" applyProtection="0"/>
    <xf numFmtId="204" fontId="2" fillId="0" borderId="0"/>
    <xf numFmtId="205" fontId="31" fillId="0" borderId="1"/>
    <xf numFmtId="0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4" fontId="4" fillId="0" borderId="0" applyFont="0" applyFill="0" applyBorder="0" applyAlignment="0" applyProtection="0"/>
    <xf numFmtId="181" fontId="67" fillId="0" borderId="0" applyFont="0" applyFill="0" applyBorder="0" applyAlignment="0" applyProtection="0"/>
    <xf numFmtId="182" fontId="67" fillId="0" borderId="0" applyFont="0" applyFill="0" applyBorder="0" applyAlignment="0" applyProtection="0"/>
    <xf numFmtId="206" fontId="2" fillId="0" borderId="0"/>
    <xf numFmtId="3" fontId="31" fillId="0" borderId="0" applyFont="0" applyBorder="0" applyAlignment="0"/>
    <xf numFmtId="0" fontId="70" fillId="0" borderId="0" applyNumberFormat="0" applyAlignment="0">
      <alignment horizontal="left"/>
    </xf>
    <xf numFmtId="3" fontId="31" fillId="0" borderId="0" applyFont="0" applyBorder="0" applyAlignment="0"/>
    <xf numFmtId="2" fontId="5" fillId="0" borderId="0" applyFont="0" applyFill="0" applyBorder="0" applyAlignment="0" applyProtection="0"/>
    <xf numFmtId="38" fontId="71" fillId="2" borderId="0" applyNumberFormat="0" applyBorder="0" applyAlignment="0" applyProtection="0"/>
    <xf numFmtId="0" fontId="72" fillId="3" borderId="0"/>
    <xf numFmtId="0" fontId="106" fillId="0" borderId="0">
      <alignment horizontal="left"/>
    </xf>
    <xf numFmtId="0" fontId="73" fillId="0" borderId="3" applyNumberFormat="0" applyAlignment="0" applyProtection="0">
      <alignment horizontal="left" vertical="center"/>
    </xf>
    <xf numFmtId="0" fontId="73" fillId="0" borderId="4">
      <alignment horizontal="left" vertical="center"/>
    </xf>
    <xf numFmtId="0" fontId="7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207" fontId="107" fillId="0" borderId="0">
      <protection locked="0"/>
    </xf>
    <xf numFmtId="207" fontId="107" fillId="0" borderId="0">
      <protection locked="0"/>
    </xf>
    <xf numFmtId="0" fontId="75" fillId="0" borderId="5">
      <alignment horizontal="center"/>
    </xf>
    <xf numFmtId="0" fontId="75" fillId="0" borderId="0">
      <alignment horizontal="center"/>
    </xf>
    <xf numFmtId="10" fontId="71" fillId="4" borderId="6" applyNumberFormat="0" applyBorder="0" applyAlignment="0" applyProtection="0"/>
    <xf numFmtId="0" fontId="5" fillId="0" borderId="0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0" fontId="108" fillId="0" borderId="5"/>
    <xf numFmtId="208" fontId="109" fillId="0" borderId="7"/>
    <xf numFmtId="209" fontId="67" fillId="0" borderId="0" applyFont="0" applyFill="0" applyBorder="0" applyAlignment="0" applyProtection="0"/>
    <xf numFmtId="210" fontId="67" fillId="0" borderId="0" applyFont="0" applyFill="0" applyBorder="0" applyAlignment="0" applyProtection="0"/>
    <xf numFmtId="211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0" fontId="76" fillId="0" borderId="0" applyNumberFormat="0" applyFont="0" applyFill="0" applyAlignment="0"/>
    <xf numFmtId="0" fontId="17" fillId="0" borderId="0"/>
    <xf numFmtId="37" fontId="110" fillId="0" borderId="0"/>
    <xf numFmtId="183" fontId="31" fillId="0" borderId="0"/>
    <xf numFmtId="0" fontId="5" fillId="0" borderId="0"/>
    <xf numFmtId="0" fontId="5" fillId="0" borderId="0"/>
    <xf numFmtId="0" fontId="111" fillId="0" borderId="0"/>
    <xf numFmtId="0" fontId="112" fillId="0" borderId="0"/>
    <xf numFmtId="169" fontId="4" fillId="0" borderId="0">
      <protection locked="0"/>
    </xf>
    <xf numFmtId="0" fontId="30" fillId="0" borderId="0"/>
    <xf numFmtId="0" fontId="30" fillId="0" borderId="0"/>
    <xf numFmtId="0" fontId="17" fillId="0" borderId="0"/>
    <xf numFmtId="0" fontId="27" fillId="0" borderId="0"/>
    <xf numFmtId="0" fontId="16" fillId="0" borderId="0"/>
    <xf numFmtId="0" fontId="31" fillId="0" borderId="0"/>
    <xf numFmtId="166" fontId="113" fillId="0" borderId="0" applyFont="0" applyFill="0" applyBorder="0" applyAlignment="0" applyProtection="0"/>
    <xf numFmtId="165" fontId="113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36" fillId="0" borderId="0"/>
    <xf numFmtId="14" fontId="65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0" fontId="77" fillId="5" borderId="0" applyNumberFormat="0" applyFont="0" applyBorder="0" applyAlignment="0">
      <alignment horizontal="center"/>
    </xf>
    <xf numFmtId="14" fontId="78" fillId="0" borderId="0" applyNumberFormat="0" applyFill="0" applyBorder="0" applyAlignment="0" applyProtection="0">
      <alignment horizontal="left"/>
    </xf>
    <xf numFmtId="0" fontId="31" fillId="0" borderId="0" applyNumberFormat="0" applyFill="0" applyBorder="0" applyAlignment="0" applyProtection="0"/>
    <xf numFmtId="0" fontId="77" fillId="1" borderId="4" applyNumberFormat="0" applyFont="0" applyAlignment="0">
      <alignment horizontal="center"/>
    </xf>
    <xf numFmtId="0" fontId="79" fillId="0" borderId="0" applyNumberFormat="0" applyFill="0" applyBorder="0" applyAlignment="0">
      <alignment horizontal="center"/>
    </xf>
    <xf numFmtId="0" fontId="2" fillId="0" borderId="0"/>
    <xf numFmtId="0" fontId="30" fillId="0" borderId="0" applyNumberFormat="0" applyFill="0" applyBorder="0" applyAlignment="0" applyProtection="0"/>
    <xf numFmtId="14" fontId="8" fillId="0" borderId="0"/>
    <xf numFmtId="0" fontId="114" fillId="0" borderId="0"/>
    <xf numFmtId="0" fontId="108" fillId="0" borderId="0"/>
    <xf numFmtId="40" fontId="80" fillId="0" borderId="0" applyBorder="0">
      <alignment horizontal="right"/>
    </xf>
    <xf numFmtId="184" fontId="81" fillId="0" borderId="8">
      <alignment horizontal="right" vertical="center"/>
    </xf>
    <xf numFmtId="213" fontId="31" fillId="0" borderId="8">
      <alignment horizontal="right" vertical="center"/>
    </xf>
    <xf numFmtId="213" fontId="31" fillId="0" borderId="8">
      <alignment horizontal="right" vertical="center"/>
    </xf>
    <xf numFmtId="0" fontId="5" fillId="0" borderId="9" applyNumberFormat="0" applyFont="0" applyFill="0" applyAlignment="0" applyProtection="0"/>
    <xf numFmtId="185" fontId="81" fillId="0" borderId="8">
      <alignment horizontal="center"/>
    </xf>
    <xf numFmtId="0" fontId="8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86" fontId="81" fillId="0" borderId="0"/>
    <xf numFmtId="187" fontId="81" fillId="0" borderId="6"/>
    <xf numFmtId="188" fontId="82" fillId="0" borderId="10">
      <alignment horizontal="left" vertical="top"/>
    </xf>
    <xf numFmtId="188" fontId="83" fillId="0" borderId="11">
      <alignment horizontal="left" vertical="top"/>
    </xf>
    <xf numFmtId="214" fontId="2" fillId="0" borderId="0" applyFont="0" applyFill="0" applyBorder="0" applyAlignment="0" applyProtection="0"/>
    <xf numFmtId="215" fontId="2" fillId="0" borderId="0" applyFont="0" applyFill="0" applyBorder="0" applyAlignment="0" applyProtection="0"/>
    <xf numFmtId="0" fontId="115" fillId="0" borderId="0" applyNumberForma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0" fillId="0" borderId="0">
      <alignment vertical="center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9" fontId="86" fillId="0" borderId="0" applyFont="0" applyFill="0" applyBorder="0" applyAlignment="0" applyProtection="0"/>
    <xf numFmtId="0" fontId="87" fillId="0" borderId="0"/>
    <xf numFmtId="0" fontId="116" fillId="0" borderId="0" applyFont="0" applyFill="0" applyBorder="0" applyAlignment="0" applyProtection="0"/>
    <xf numFmtId="0" fontId="116" fillId="0" borderId="0" applyFont="0" applyFill="0" applyBorder="0" applyAlignment="0" applyProtection="0"/>
    <xf numFmtId="189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88" fillId="0" borderId="0"/>
    <xf numFmtId="0" fontId="76" fillId="0" borderId="0"/>
    <xf numFmtId="165" fontId="117" fillId="0" borderId="0" applyFont="0" applyFill="0" applyBorder="0" applyAlignment="0" applyProtection="0"/>
    <xf numFmtId="166" fontId="117" fillId="0" borderId="0" applyFont="0" applyFill="0" applyBorder="0" applyAlignment="0" applyProtection="0"/>
    <xf numFmtId="191" fontId="117" fillId="0" borderId="0" applyFont="0" applyFill="0" applyBorder="0" applyAlignment="0" applyProtection="0"/>
    <xf numFmtId="192" fontId="89" fillId="0" borderId="0" applyFont="0" applyFill="0" applyBorder="0" applyAlignment="0" applyProtection="0"/>
    <xf numFmtId="193" fontId="117" fillId="0" borderId="0" applyFont="0" applyFill="0" applyBorder="0" applyAlignment="0" applyProtection="0"/>
    <xf numFmtId="0" fontId="152" fillId="0" borderId="0" applyNumberFormat="0" applyFill="0" applyBorder="0" applyAlignment="0" applyProtection="0"/>
    <xf numFmtId="0" fontId="2" fillId="0" borderId="0"/>
    <xf numFmtId="0" fontId="6" fillId="0" borderId="0"/>
    <xf numFmtId="164" fontId="6" fillId="0" borderId="0" applyFont="0" applyFill="0" applyBorder="0" applyAlignment="0" applyProtection="0"/>
    <xf numFmtId="0" fontId="6" fillId="0" borderId="0"/>
  </cellStyleXfs>
  <cellXfs count="1085">
    <xf numFmtId="0" fontId="0" fillId="0" borderId="0" xfId="0"/>
    <xf numFmtId="3" fontId="9" fillId="2" borderId="6" xfId="106" applyNumberFormat="1" applyFont="1" applyFill="1" applyBorder="1" applyAlignment="1">
      <alignment vertical="center"/>
    </xf>
    <xf numFmtId="0" fontId="10" fillId="0" borderId="12" xfId="106" applyFont="1" applyBorder="1" applyAlignment="1">
      <alignment vertical="center"/>
    </xf>
    <xf numFmtId="3" fontId="10" fillId="0" borderId="12" xfId="106" applyNumberFormat="1" applyFont="1" applyBorder="1" applyAlignment="1">
      <alignment vertical="center"/>
    </xf>
    <xf numFmtId="0" fontId="10" fillId="0" borderId="13" xfId="106" applyFont="1" applyBorder="1" applyAlignment="1">
      <alignment vertical="center"/>
    </xf>
    <xf numFmtId="3" fontId="10" fillId="0" borderId="13" xfId="106" applyNumberFormat="1" applyFont="1" applyBorder="1" applyAlignment="1">
      <alignment vertical="center"/>
    </xf>
    <xf numFmtId="2" fontId="9" fillId="2" borderId="6" xfId="106" applyNumberFormat="1" applyFont="1" applyFill="1" applyBorder="1" applyAlignment="1">
      <alignment horizontal="center" vertical="center"/>
    </xf>
    <xf numFmtId="0" fontId="12" fillId="7" borderId="6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Alignment="1" applyProtection="1">
      <alignment vertical="center"/>
      <protection hidden="1"/>
    </xf>
    <xf numFmtId="0" fontId="12" fillId="7" borderId="6" xfId="0" applyNumberFormat="1" applyFont="1" applyFill="1" applyBorder="1" applyAlignment="1" applyProtection="1">
      <alignment horizontal="center" vertical="center" wrapText="1"/>
      <protection hidden="1"/>
    </xf>
    <xf numFmtId="14" fontId="12" fillId="7" borderId="6" xfId="0" applyNumberFormat="1" applyFont="1" applyFill="1" applyBorder="1" applyAlignment="1" applyProtection="1">
      <alignment horizontal="center" vertical="center" wrapText="1"/>
      <protection hidden="1"/>
    </xf>
    <xf numFmtId="0" fontId="39" fillId="8" borderId="6" xfId="0" applyFont="1" applyFill="1" applyBorder="1" applyAlignment="1" applyProtection="1">
      <alignment vertical="center"/>
      <protection hidden="1"/>
    </xf>
    <xf numFmtId="0" fontId="40" fillId="8" borderId="6" xfId="0" applyNumberFormat="1" applyFont="1" applyFill="1" applyBorder="1" applyAlignment="1" applyProtection="1">
      <alignment horizontal="center" vertical="center"/>
      <protection hidden="1"/>
    </xf>
    <xf numFmtId="0" fontId="39" fillId="8" borderId="6" xfId="0" applyFont="1" applyFill="1" applyBorder="1" applyAlignment="1" applyProtection="1">
      <alignment horizontal="center" vertical="center"/>
      <protection hidden="1"/>
    </xf>
    <xf numFmtId="14" fontId="39" fillId="8" borderId="6" xfId="0" applyNumberFormat="1" applyFont="1" applyFill="1" applyBorder="1" applyAlignment="1" applyProtection="1">
      <alignment horizontal="center" vertical="center"/>
      <protection hidden="1"/>
    </xf>
    <xf numFmtId="0" fontId="41" fillId="8" borderId="6" xfId="0" applyFont="1" applyFill="1" applyBorder="1" applyAlignment="1" applyProtection="1">
      <alignment vertical="center"/>
      <protection hidden="1"/>
    </xf>
    <xf numFmtId="3" fontId="42" fillId="8" borderId="6" xfId="65" applyNumberFormat="1" applyFont="1" applyFill="1" applyBorder="1" applyAlignment="1" applyProtection="1">
      <alignment vertical="center"/>
      <protection hidden="1"/>
    </xf>
    <xf numFmtId="0" fontId="13" fillId="0" borderId="0" xfId="0" applyFont="1" applyFill="1" applyAlignment="1" applyProtection="1">
      <alignment vertical="center"/>
      <protection hidden="1"/>
    </xf>
    <xf numFmtId="0" fontId="37" fillId="0" borderId="14" xfId="0" applyNumberFormat="1" applyFont="1" applyFill="1" applyBorder="1" applyAlignment="1" applyProtection="1">
      <alignment horizontal="center" vertical="center" wrapText="1"/>
      <protection hidden="1"/>
    </xf>
    <xf numFmtId="0" fontId="37" fillId="0" borderId="14" xfId="0" applyFont="1" applyFill="1" applyBorder="1" applyAlignment="1" applyProtection="1">
      <alignment horizontal="center" vertical="center" wrapText="1"/>
      <protection hidden="1"/>
    </xf>
    <xf numFmtId="172" fontId="37" fillId="0" borderId="14" xfId="0" applyNumberFormat="1" applyFont="1" applyFill="1" applyBorder="1" applyAlignment="1" applyProtection="1">
      <alignment horizontal="center" vertical="center" wrapText="1"/>
      <protection hidden="1"/>
    </xf>
    <xf numFmtId="0" fontId="37" fillId="0" borderId="12" xfId="0" applyFont="1" applyFill="1" applyBorder="1" applyAlignment="1" applyProtection="1">
      <alignment horizontal="center" vertical="center"/>
      <protection hidden="1"/>
    </xf>
    <xf numFmtId="0" fontId="13" fillId="0" borderId="0" xfId="0" applyFont="1" applyFill="1" applyBorder="1" applyAlignment="1" applyProtection="1">
      <alignment vertical="center"/>
      <protection hidden="1"/>
    </xf>
    <xf numFmtId="0" fontId="36" fillId="0" borderId="0" xfId="0" applyFont="1" applyFill="1" applyBorder="1" applyAlignment="1" applyProtection="1">
      <alignment vertical="center"/>
      <protection hidden="1"/>
    </xf>
    <xf numFmtId="0" fontId="10" fillId="0" borderId="12" xfId="0" applyFont="1" applyFill="1" applyBorder="1" applyAlignment="1" applyProtection="1">
      <alignment horizontal="center" vertical="center"/>
      <protection hidden="1"/>
    </xf>
    <xf numFmtId="3" fontId="45" fillId="0" borderId="6" xfId="107" applyNumberFormat="1" applyFont="1" applyFill="1" applyBorder="1" applyAlignment="1">
      <alignment horizontal="right" vertical="center"/>
    </xf>
    <xf numFmtId="3" fontId="48" fillId="0" borderId="6" xfId="107" applyNumberFormat="1" applyFont="1" applyFill="1" applyBorder="1" applyAlignment="1">
      <alignment horizontal="right" vertical="center"/>
    </xf>
    <xf numFmtId="0" fontId="46" fillId="0" borderId="6" xfId="107" quotePrefix="1" applyFont="1" applyFill="1" applyBorder="1" applyAlignment="1">
      <alignment horizontal="center" vertical="center"/>
    </xf>
    <xf numFmtId="0" fontId="48" fillId="0" borderId="6" xfId="107" quotePrefix="1" applyFont="1" applyFill="1" applyBorder="1" applyAlignment="1">
      <alignment horizontal="center" vertical="center"/>
    </xf>
    <xf numFmtId="0" fontId="48" fillId="0" borderId="6" xfId="107" applyFont="1" applyFill="1" applyBorder="1" applyAlignment="1">
      <alignment horizontal="left" vertical="center"/>
    </xf>
    <xf numFmtId="0" fontId="46" fillId="0" borderId="0" xfId="107" applyFont="1" applyFill="1" applyAlignment="1">
      <alignment vertical="center"/>
    </xf>
    <xf numFmtId="0" fontId="49" fillId="0" borderId="0" xfId="107" applyFont="1" applyFill="1" applyAlignment="1">
      <alignment vertical="center"/>
    </xf>
    <xf numFmtId="3" fontId="48" fillId="7" borderId="7" xfId="107" applyNumberFormat="1" applyFont="1" applyFill="1" applyBorder="1" applyAlignment="1">
      <alignment horizontal="right" vertical="center"/>
    </xf>
    <xf numFmtId="3" fontId="48" fillId="0" borderId="12" xfId="107" applyNumberFormat="1" applyFont="1" applyFill="1" applyBorder="1" applyAlignment="1">
      <alignment horizontal="right" vertical="center"/>
    </xf>
    <xf numFmtId="0" fontId="46" fillId="0" borderId="12" xfId="107" quotePrefix="1" applyFont="1" applyFill="1" applyBorder="1" applyAlignment="1">
      <alignment horizontal="center" vertical="center"/>
    </xf>
    <xf numFmtId="0" fontId="48" fillId="0" borderId="12" xfId="107" quotePrefix="1" applyFont="1" applyFill="1" applyBorder="1" applyAlignment="1">
      <alignment horizontal="center" vertical="center"/>
    </xf>
    <xf numFmtId="0" fontId="46" fillId="0" borderId="12" xfId="107" applyFont="1" applyFill="1" applyBorder="1" applyAlignment="1">
      <alignment horizontal="center" vertical="center"/>
    </xf>
    <xf numFmtId="3" fontId="46" fillId="0" borderId="12" xfId="107" applyNumberFormat="1" applyFont="1" applyFill="1" applyBorder="1" applyAlignment="1">
      <alignment horizontal="right" vertical="center"/>
    </xf>
    <xf numFmtId="0" fontId="48" fillId="0" borderId="13" xfId="107" quotePrefix="1" applyFont="1" applyFill="1" applyBorder="1" applyAlignment="1">
      <alignment horizontal="center" vertical="center"/>
    </xf>
    <xf numFmtId="3" fontId="48" fillId="0" borderId="13" xfId="107" applyNumberFormat="1" applyFont="1" applyFill="1" applyBorder="1" applyAlignment="1">
      <alignment horizontal="right" vertical="center"/>
    </xf>
    <xf numFmtId="0" fontId="47" fillId="0" borderId="0" xfId="107" applyFont="1" applyFill="1" applyAlignment="1">
      <alignment vertical="center"/>
    </xf>
    <xf numFmtId="0" fontId="32" fillId="0" borderId="6" xfId="107" applyFont="1" applyFill="1" applyBorder="1" applyAlignment="1">
      <alignment horizontal="center" vertical="center"/>
    </xf>
    <xf numFmtId="0" fontId="32" fillId="0" borderId="0" xfId="107" applyFont="1" applyFill="1" applyAlignment="1">
      <alignment vertical="center"/>
    </xf>
    <xf numFmtId="0" fontId="44" fillId="0" borderId="0" xfId="107" applyFont="1" applyFill="1" applyAlignment="1">
      <alignment vertical="center"/>
    </xf>
    <xf numFmtId="0" fontId="48" fillId="0" borderId="6" xfId="107" applyFont="1" applyFill="1" applyBorder="1" applyAlignment="1">
      <alignment vertical="center"/>
    </xf>
    <xf numFmtId="0" fontId="48" fillId="0" borderId="6" xfId="107" quotePrefix="1" applyFont="1" applyFill="1" applyBorder="1" applyAlignment="1">
      <alignment vertical="center"/>
    </xf>
    <xf numFmtId="0" fontId="48" fillId="0" borderId="0" xfId="107" applyFont="1" applyFill="1" applyAlignment="1">
      <alignment vertical="center"/>
    </xf>
    <xf numFmtId="49" fontId="48" fillId="0" borderId="12" xfId="107" applyNumberFormat="1" applyFont="1" applyFill="1" applyBorder="1" applyAlignment="1">
      <alignment horizontal="center" vertical="center"/>
    </xf>
    <xf numFmtId="0" fontId="46" fillId="0" borderId="12" xfId="107" applyFont="1" applyFill="1" applyBorder="1" applyAlignment="1">
      <alignment vertical="center"/>
    </xf>
    <xf numFmtId="0" fontId="48" fillId="0" borderId="12" xfId="107" applyFont="1" applyFill="1" applyBorder="1" applyAlignment="1">
      <alignment horizontal="center" vertical="center"/>
    </xf>
    <xf numFmtId="0" fontId="48" fillId="0" borderId="12" xfId="107" applyFont="1" applyFill="1" applyBorder="1" applyAlignment="1">
      <alignment vertical="center"/>
    </xf>
    <xf numFmtId="49" fontId="48" fillId="0" borderId="12" xfId="107" quotePrefix="1" applyNumberFormat="1" applyFont="1" applyFill="1" applyBorder="1" applyAlignment="1">
      <alignment horizontal="center" vertical="center"/>
    </xf>
    <xf numFmtId="49" fontId="48" fillId="0" borderId="13" xfId="107" applyNumberFormat="1" applyFont="1" applyFill="1" applyBorder="1" applyAlignment="1">
      <alignment horizontal="center" vertical="center"/>
    </xf>
    <xf numFmtId="49" fontId="48" fillId="0" borderId="13" xfId="107" quotePrefix="1" applyNumberFormat="1" applyFont="1" applyFill="1" applyBorder="1" applyAlignment="1">
      <alignment horizontal="center" vertical="center"/>
    </xf>
    <xf numFmtId="0" fontId="48" fillId="0" borderId="13" xfId="107" applyFont="1" applyFill="1" applyBorder="1" applyAlignment="1">
      <alignment vertical="center"/>
    </xf>
    <xf numFmtId="0" fontId="45" fillId="0" borderId="0" xfId="107" applyFont="1" applyFill="1" applyAlignment="1">
      <alignment vertical="center"/>
    </xf>
    <xf numFmtId="49" fontId="48" fillId="0" borderId="6" xfId="107" applyNumberFormat="1" applyFont="1" applyFill="1" applyBorder="1" applyAlignment="1">
      <alignment vertical="center"/>
    </xf>
    <xf numFmtId="49" fontId="48" fillId="0" borderId="6" xfId="107" quotePrefix="1" applyNumberFormat="1" applyFont="1" applyFill="1" applyBorder="1" applyAlignment="1">
      <alignment vertical="center"/>
    </xf>
    <xf numFmtId="0" fontId="45" fillId="0" borderId="12" xfId="107" applyFont="1" applyFill="1" applyBorder="1" applyAlignment="1">
      <alignment horizontal="center" vertical="center"/>
    </xf>
    <xf numFmtId="0" fontId="45" fillId="0" borderId="12" xfId="107" applyFont="1" applyFill="1" applyBorder="1" applyAlignment="1">
      <alignment vertical="center"/>
    </xf>
    <xf numFmtId="49" fontId="45" fillId="0" borderId="12" xfId="107" applyNumberFormat="1" applyFont="1" applyFill="1" applyBorder="1" applyAlignment="1">
      <alignment horizontal="center" vertical="center"/>
    </xf>
    <xf numFmtId="3" fontId="45" fillId="0" borderId="12" xfId="107" applyNumberFormat="1" applyFont="1" applyFill="1" applyBorder="1" applyAlignment="1">
      <alignment horizontal="right" vertical="center"/>
    </xf>
    <xf numFmtId="3" fontId="50" fillId="7" borderId="7" xfId="107" applyNumberFormat="1" applyFont="1" applyFill="1" applyBorder="1" applyAlignment="1">
      <alignment horizontal="right" vertical="center"/>
    </xf>
    <xf numFmtId="0" fontId="46" fillId="0" borderId="12" xfId="107" applyFont="1" applyFill="1" applyBorder="1" applyAlignment="1">
      <alignment horizontal="right" vertical="center"/>
    </xf>
    <xf numFmtId="0" fontId="48" fillId="0" borderId="12" xfId="107" applyFont="1" applyFill="1" applyBorder="1" applyAlignment="1">
      <alignment horizontal="right" vertical="center"/>
    </xf>
    <xf numFmtId="0" fontId="48" fillId="0" borderId="13" xfId="107" applyFont="1" applyFill="1" applyBorder="1" applyAlignment="1">
      <alignment horizontal="center" vertical="center"/>
    </xf>
    <xf numFmtId="0" fontId="48" fillId="0" borderId="13" xfId="107" applyFont="1" applyFill="1" applyBorder="1" applyAlignment="1">
      <alignment horizontal="right" vertical="center"/>
    </xf>
    <xf numFmtId="0" fontId="47" fillId="0" borderId="12" xfId="107" applyFont="1" applyFill="1" applyBorder="1" applyAlignment="1">
      <alignment horizontal="center" vertical="center"/>
    </xf>
    <xf numFmtId="49" fontId="48" fillId="0" borderId="12" xfId="107" applyNumberFormat="1" applyFont="1" applyFill="1" applyBorder="1" applyAlignment="1">
      <alignment vertical="center"/>
    </xf>
    <xf numFmtId="49" fontId="48" fillId="0" borderId="12" xfId="107" quotePrefix="1" applyNumberFormat="1" applyFont="1" applyFill="1" applyBorder="1" applyAlignment="1">
      <alignment vertical="center"/>
    </xf>
    <xf numFmtId="49" fontId="48" fillId="0" borderId="13" xfId="107" applyNumberFormat="1" applyFont="1" applyFill="1" applyBorder="1" applyAlignment="1">
      <alignment vertical="center"/>
    </xf>
    <xf numFmtId="49" fontId="48" fillId="0" borderId="13" xfId="107" quotePrefix="1" applyNumberFormat="1" applyFont="1" applyFill="1" applyBorder="1" applyAlignment="1">
      <alignment vertical="center"/>
    </xf>
    <xf numFmtId="0" fontId="46" fillId="0" borderId="13" xfId="107" quotePrefix="1" applyFont="1" applyFill="1" applyBorder="1" applyAlignment="1">
      <alignment horizontal="center" vertical="center"/>
    </xf>
    <xf numFmtId="49" fontId="45" fillId="7" borderId="6" xfId="107" applyNumberFormat="1" applyFont="1" applyFill="1" applyBorder="1" applyAlignment="1">
      <alignment vertical="center"/>
    </xf>
    <xf numFmtId="0" fontId="45" fillId="7" borderId="6" xfId="107" applyFont="1" applyFill="1" applyBorder="1" applyAlignment="1">
      <alignment vertical="center"/>
    </xf>
    <xf numFmtId="0" fontId="45" fillId="7" borderId="6" xfId="107" applyFont="1" applyFill="1" applyBorder="1" applyAlignment="1">
      <alignment horizontal="center" vertical="center"/>
    </xf>
    <xf numFmtId="0" fontId="44" fillId="7" borderId="6" xfId="107" applyFont="1" applyFill="1" applyBorder="1" applyAlignment="1">
      <alignment horizontal="center" vertical="center"/>
    </xf>
    <xf numFmtId="0" fontId="11" fillId="0" borderId="12" xfId="0" applyFont="1" applyFill="1" applyBorder="1" applyAlignment="1" applyProtection="1">
      <alignment horizontal="left" vertical="center" wrapText="1"/>
      <protection hidden="1"/>
    </xf>
    <xf numFmtId="0" fontId="9" fillId="0" borderId="0" xfId="107" applyFont="1" applyFill="1" applyAlignment="1">
      <alignment vertical="center"/>
    </xf>
    <xf numFmtId="0" fontId="25" fillId="0" borderId="6" xfId="107" applyFont="1" applyFill="1" applyBorder="1" applyAlignment="1">
      <alignment horizontal="center" vertical="center" wrapText="1"/>
    </xf>
    <xf numFmtId="0" fontId="53" fillId="0" borderId="0" xfId="107" applyFont="1"/>
    <xf numFmtId="0" fontId="11" fillId="0" borderId="0" xfId="107" applyFont="1"/>
    <xf numFmtId="0" fontId="11" fillId="0" borderId="12" xfId="107" applyFont="1" applyBorder="1" applyAlignment="1">
      <alignment horizontal="center"/>
    </xf>
    <xf numFmtId="0" fontId="24" fillId="0" borderId="12" xfId="107" applyFont="1" applyBorder="1" applyAlignment="1">
      <alignment horizontal="center"/>
    </xf>
    <xf numFmtId="0" fontId="24" fillId="0" borderId="12" xfId="107" applyFont="1" applyBorder="1" applyAlignment="1">
      <alignment horizontal="center" vertical="center"/>
    </xf>
    <xf numFmtId="3" fontId="11" fillId="0" borderId="12" xfId="107" applyNumberFormat="1" applyFont="1" applyBorder="1" applyAlignment="1">
      <alignment horizontal="right" vertical="center"/>
    </xf>
    <xf numFmtId="0" fontId="11" fillId="0" borderId="12" xfId="107" applyFont="1" applyBorder="1" applyAlignment="1">
      <alignment horizontal="right" vertical="center"/>
    </xf>
    <xf numFmtId="49" fontId="11" fillId="0" borderId="12" xfId="107" applyNumberFormat="1" applyFont="1" applyBorder="1" applyAlignment="1">
      <alignment horizontal="center"/>
    </xf>
    <xf numFmtId="49" fontId="11" fillId="0" borderId="12" xfId="107" quotePrefix="1" applyNumberFormat="1" applyFont="1" applyBorder="1" applyAlignment="1">
      <alignment horizontal="center"/>
    </xf>
    <xf numFmtId="0" fontId="11" fillId="0" borderId="12" xfId="107" applyFont="1" applyBorder="1"/>
    <xf numFmtId="0" fontId="52" fillId="0" borderId="12" xfId="107" quotePrefix="1" applyFont="1" applyBorder="1" applyAlignment="1">
      <alignment horizontal="center" vertical="center"/>
    </xf>
    <xf numFmtId="3" fontId="53" fillId="0" borderId="12" xfId="107" applyNumberFormat="1" applyFont="1" applyBorder="1" applyAlignment="1">
      <alignment horizontal="right" vertical="center"/>
    </xf>
    <xf numFmtId="0" fontId="11" fillId="0" borderId="12" xfId="107" quotePrefix="1" applyFont="1" applyBorder="1" applyAlignment="1">
      <alignment horizontal="center" vertical="center"/>
    </xf>
    <xf numFmtId="0" fontId="11" fillId="0" borderId="12" xfId="107" applyFont="1" applyBorder="1" applyAlignment="1">
      <alignment horizontal="center" vertical="center"/>
    </xf>
    <xf numFmtId="49" fontId="45" fillId="0" borderId="14" xfId="107" applyNumberFormat="1" applyFont="1" applyFill="1" applyBorder="1" applyAlignment="1">
      <alignment horizontal="center" vertical="center"/>
    </xf>
    <xf numFmtId="0" fontId="45" fillId="0" borderId="14" xfId="107" applyFont="1" applyFill="1" applyBorder="1" applyAlignment="1">
      <alignment horizontal="center" vertical="center"/>
    </xf>
    <xf numFmtId="0" fontId="45" fillId="0" borderId="14" xfId="107" applyFont="1" applyFill="1" applyBorder="1" applyAlignment="1">
      <alignment vertical="center"/>
    </xf>
    <xf numFmtId="3" fontId="45" fillId="0" borderId="14" xfId="107" applyNumberFormat="1" applyFont="1" applyFill="1" applyBorder="1" applyAlignment="1">
      <alignment horizontal="right" vertical="center"/>
    </xf>
    <xf numFmtId="3" fontId="43" fillId="7" borderId="6" xfId="0" applyNumberFormat="1" applyFont="1" applyFill="1" applyBorder="1" applyAlignment="1" applyProtection="1">
      <alignment vertical="center" wrapText="1"/>
      <protection hidden="1"/>
    </xf>
    <xf numFmtId="0" fontId="37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1" fillId="7" borderId="7" xfId="107" applyFont="1" applyFill="1" applyBorder="1" applyAlignment="1">
      <alignment horizontal="center" vertical="center"/>
    </xf>
    <xf numFmtId="3" fontId="52" fillId="7" borderId="7" xfId="107" applyNumberFormat="1" applyFont="1" applyFill="1" applyBorder="1" applyAlignment="1">
      <alignment horizontal="right" vertical="center"/>
    </xf>
    <xf numFmtId="0" fontId="11" fillId="7" borderId="7" xfId="107" applyFont="1" applyFill="1" applyBorder="1" applyAlignment="1">
      <alignment horizontal="right" vertical="center"/>
    </xf>
    <xf numFmtId="0" fontId="53" fillId="7" borderId="0" xfId="107" applyFont="1" applyFill="1"/>
    <xf numFmtId="3" fontId="47" fillId="0" borderId="0" xfId="107" applyNumberFormat="1" applyFont="1" applyFill="1" applyAlignment="1">
      <alignment vertical="center"/>
    </xf>
    <xf numFmtId="0" fontId="56" fillId="0" borderId="12" xfId="0" applyFont="1" applyFill="1" applyBorder="1" applyAlignment="1" applyProtection="1">
      <alignment horizontal="center" vertical="center"/>
      <protection hidden="1"/>
    </xf>
    <xf numFmtId="0" fontId="34" fillId="0" borderId="0" xfId="0" applyFont="1" applyFill="1" applyBorder="1" applyAlignment="1" applyProtection="1">
      <alignment vertical="center"/>
      <protection hidden="1"/>
    </xf>
    <xf numFmtId="0" fontId="38" fillId="0" borderId="0" xfId="0" applyFont="1" applyFill="1" applyBorder="1" applyAlignment="1" applyProtection="1">
      <alignment vertical="center"/>
      <protection hidden="1"/>
    </xf>
    <xf numFmtId="0" fontId="58" fillId="0" borderId="12" xfId="0" applyFont="1" applyFill="1" applyBorder="1" applyAlignment="1" applyProtection="1">
      <alignment horizontal="center" vertical="center"/>
      <protection hidden="1"/>
    </xf>
    <xf numFmtId="0" fontId="59" fillId="0" borderId="0" xfId="0" applyFont="1" applyFill="1" applyAlignment="1" applyProtection="1">
      <alignment vertical="center"/>
      <protection hidden="1"/>
    </xf>
    <xf numFmtId="3" fontId="10" fillId="0" borderId="14" xfId="0" applyNumberFormat="1" applyFont="1" applyFill="1" applyBorder="1" applyAlignment="1" applyProtection="1">
      <alignment vertical="center" wrapText="1"/>
      <protection hidden="1"/>
    </xf>
    <xf numFmtId="0" fontId="13" fillId="0" borderId="0" xfId="0" applyFont="1" applyFill="1" applyAlignment="1" applyProtection="1">
      <alignment vertical="center" wrapText="1"/>
      <protection hidden="1"/>
    </xf>
    <xf numFmtId="0" fontId="37" fillId="0" borderId="12" xfId="0" applyFont="1" applyFill="1" applyBorder="1" applyAlignment="1" applyProtection="1">
      <alignment horizontal="center" vertical="center" wrapText="1"/>
      <protection hidden="1"/>
    </xf>
    <xf numFmtId="3" fontId="13" fillId="0" borderId="0" xfId="0" applyNumberFormat="1" applyFont="1" applyFill="1" applyAlignment="1" applyProtection="1">
      <alignment vertical="center" wrapText="1"/>
      <protection hidden="1"/>
    </xf>
    <xf numFmtId="0" fontId="2" fillId="0" borderId="0" xfId="0" applyFont="1" applyAlignment="1">
      <alignment horizontal="center" vertical="center"/>
    </xf>
    <xf numFmtId="38" fontId="10" fillId="7" borderId="6" xfId="65" applyNumberFormat="1" applyFont="1" applyFill="1" applyBorder="1" applyAlignment="1" applyProtection="1">
      <alignment horizontal="center" vertical="center" wrapText="1"/>
      <protection hidden="1"/>
    </xf>
    <xf numFmtId="38" fontId="18" fillId="7" borderId="11" xfId="65" applyNumberFormat="1" applyFont="1" applyFill="1" applyBorder="1" applyAlignment="1" applyProtection="1">
      <alignment horizontal="center" vertical="center" wrapText="1"/>
      <protection hidden="1"/>
    </xf>
    <xf numFmtId="0" fontId="90" fillId="0" borderId="6" xfId="0" applyFont="1" applyBorder="1" applyAlignment="1">
      <alignment horizontal="center"/>
    </xf>
    <xf numFmtId="0" fontId="91" fillId="0" borderId="6" xfId="0" applyFont="1" applyBorder="1" applyAlignment="1">
      <alignment horizontal="center" wrapText="1"/>
    </xf>
    <xf numFmtId="0" fontId="91" fillId="0" borderId="6" xfId="0" applyFont="1" applyBorder="1" applyAlignment="1">
      <alignment horizontal="center"/>
    </xf>
    <xf numFmtId="0" fontId="91" fillId="0" borderId="6" xfId="0" applyFont="1" applyBorder="1" applyAlignment="1">
      <alignment wrapText="1"/>
    </xf>
    <xf numFmtId="0" fontId="91" fillId="0" borderId="6" xfId="0" applyFont="1" applyBorder="1"/>
    <xf numFmtId="0" fontId="90" fillId="0" borderId="6" xfId="0" applyFont="1" applyBorder="1" applyAlignment="1">
      <alignment wrapText="1"/>
    </xf>
    <xf numFmtId="0" fontId="90" fillId="0" borderId="6" xfId="0" applyFont="1" applyBorder="1" applyAlignment="1">
      <alignment horizontal="center" wrapText="1"/>
    </xf>
    <xf numFmtId="0" fontId="92" fillId="0" borderId="6" xfId="0" applyFont="1" applyBorder="1" applyAlignment="1">
      <alignment wrapText="1"/>
    </xf>
    <xf numFmtId="0" fontId="92" fillId="0" borderId="6" xfId="0" applyFont="1" applyBorder="1" applyAlignment="1">
      <alignment horizontal="center" wrapText="1"/>
    </xf>
    <xf numFmtId="0" fontId="91" fillId="0" borderId="2" xfId="0" applyFont="1" applyBorder="1" applyAlignment="1">
      <alignment wrapText="1"/>
    </xf>
    <xf numFmtId="0" fontId="91" fillId="0" borderId="2" xfId="0" applyFont="1" applyBorder="1" applyAlignment="1">
      <alignment horizontal="center" wrapText="1"/>
    </xf>
    <xf numFmtId="0" fontId="91" fillId="0" borderId="2" xfId="0" applyFont="1" applyBorder="1" applyAlignment="1">
      <alignment horizontal="center"/>
    </xf>
    <xf numFmtId="0" fontId="90" fillId="0" borderId="2" xfId="0" applyFont="1" applyBorder="1" applyAlignment="1">
      <alignment wrapText="1"/>
    </xf>
    <xf numFmtId="0" fontId="90" fillId="0" borderId="2" xfId="0" applyFont="1" applyBorder="1" applyAlignment="1">
      <alignment horizontal="center" wrapText="1"/>
    </xf>
    <xf numFmtId="0" fontId="90" fillId="0" borderId="2" xfId="0" applyFont="1" applyBorder="1" applyAlignment="1">
      <alignment horizontal="center"/>
    </xf>
    <xf numFmtId="0" fontId="93" fillId="0" borderId="2" xfId="0" applyFont="1" applyBorder="1" applyAlignment="1">
      <alignment wrapText="1"/>
    </xf>
    <xf numFmtId="0" fontId="91" fillId="0" borderId="18" xfId="0" applyFont="1" applyBorder="1" applyAlignment="1"/>
    <xf numFmtId="0" fontId="91" fillId="0" borderId="19" xfId="0" applyFont="1" applyBorder="1" applyAlignment="1"/>
    <xf numFmtId="0" fontId="91" fillId="0" borderId="20" xfId="0" applyFont="1" applyBorder="1" applyAlignment="1"/>
    <xf numFmtId="173" fontId="22" fillId="0" borderId="26" xfId="0" applyNumberFormat="1" applyFont="1" applyFill="1" applyBorder="1" applyAlignment="1" applyProtection="1">
      <alignment horizontal="center" vertical="center" wrapText="1"/>
      <protection locked="0"/>
    </xf>
    <xf numFmtId="49" fontId="25" fillId="11" borderId="24" xfId="65" applyNumberFormat="1" applyFont="1" applyFill="1" applyBorder="1" applyAlignment="1" applyProtection="1">
      <alignment horizontal="center" vertical="center" wrapText="1"/>
      <protection hidden="1"/>
    </xf>
    <xf numFmtId="38" fontId="57" fillId="11" borderId="14" xfId="65" applyNumberFormat="1" applyFont="1" applyFill="1" applyBorder="1" applyAlignment="1" applyProtection="1">
      <alignment horizontal="right" vertical="center" wrapText="1"/>
      <protection hidden="1"/>
    </xf>
    <xf numFmtId="49" fontId="25" fillId="15" borderId="24" xfId="65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38" applyFont="1" applyFill="1" applyAlignment="1">
      <alignment vertical="center"/>
    </xf>
    <xf numFmtId="0" fontId="37" fillId="0" borderId="28" xfId="0" applyFont="1" applyFill="1" applyBorder="1" applyAlignment="1" applyProtection="1">
      <alignment horizontal="center" vertical="center"/>
      <protection hidden="1"/>
    </xf>
    <xf numFmtId="3" fontId="10" fillId="0" borderId="26" xfId="0" applyNumberFormat="1" applyFont="1" applyFill="1" applyBorder="1" applyAlignment="1" applyProtection="1">
      <alignment vertical="center" wrapText="1"/>
      <protection hidden="1"/>
    </xf>
    <xf numFmtId="0" fontId="0" fillId="0" borderId="6" xfId="0" applyBorder="1"/>
    <xf numFmtId="0" fontId="123" fillId="0" borderId="6" xfId="0" applyFont="1" applyBorder="1" applyAlignment="1">
      <alignment horizontal="center" vertical="center"/>
    </xf>
    <xf numFmtId="0" fontId="123" fillId="0" borderId="6" xfId="0" applyFont="1" applyBorder="1" applyAlignment="1">
      <alignment horizontal="left" vertical="center"/>
    </xf>
    <xf numFmtId="0" fontId="16" fillId="0" borderId="0" xfId="107" applyFont="1" applyFill="1" applyAlignment="1">
      <alignment vertical="center"/>
    </xf>
    <xf numFmtId="0" fontId="44" fillId="7" borderId="7" xfId="107" applyNumberFormat="1" applyFont="1" applyFill="1" applyBorder="1" applyAlignment="1">
      <alignment horizontal="center" vertical="center"/>
    </xf>
    <xf numFmtId="0" fontId="48" fillId="7" borderId="7" xfId="107" applyNumberFormat="1" applyFont="1" applyFill="1" applyBorder="1" applyAlignment="1">
      <alignment vertical="center"/>
    </xf>
    <xf numFmtId="0" fontId="27" fillId="7" borderId="0" xfId="107" applyFont="1" applyFill="1"/>
    <xf numFmtId="0" fontId="27" fillId="0" borderId="0" xfId="107" applyFont="1"/>
    <xf numFmtId="3" fontId="48" fillId="0" borderId="7" xfId="107" applyNumberFormat="1" applyFont="1" applyFill="1" applyBorder="1" applyAlignment="1">
      <alignment horizontal="right" vertical="center"/>
    </xf>
    <xf numFmtId="0" fontId="48" fillId="0" borderId="29" xfId="107" applyFont="1" applyFill="1" applyBorder="1" applyAlignment="1">
      <alignment horizontal="center" vertical="center"/>
    </xf>
    <xf numFmtId="0" fontId="48" fillId="0" borderId="29" xfId="107" applyFont="1" applyFill="1" applyBorder="1" applyAlignment="1">
      <alignment vertical="center"/>
    </xf>
    <xf numFmtId="3" fontId="48" fillId="0" borderId="29" xfId="107" applyNumberFormat="1" applyFont="1" applyFill="1" applyBorder="1" applyAlignment="1">
      <alignment horizontal="right" vertical="center"/>
    </xf>
    <xf numFmtId="0" fontId="48" fillId="0" borderId="29" xfId="107" applyFont="1" applyFill="1" applyBorder="1" applyAlignment="1">
      <alignment horizontal="right" vertical="center"/>
    </xf>
    <xf numFmtId="0" fontId="48" fillId="0" borderId="7" xfId="107" applyFont="1" applyFill="1" applyBorder="1" applyAlignment="1">
      <alignment horizontal="center" vertical="center"/>
    </xf>
    <xf numFmtId="0" fontId="45" fillId="0" borderId="7" xfId="107" applyFont="1" applyFill="1" applyBorder="1" applyAlignment="1">
      <alignment horizontal="center" vertical="center"/>
    </xf>
    <xf numFmtId="0" fontId="48" fillId="0" borderId="7" xfId="107" applyFont="1" applyFill="1" applyBorder="1" applyAlignment="1">
      <alignment horizontal="right" vertical="center"/>
    </xf>
    <xf numFmtId="49" fontId="45" fillId="0" borderId="13" xfId="107" applyNumberFormat="1" applyFont="1" applyFill="1" applyBorder="1" applyAlignment="1">
      <alignment horizontal="center" vertical="center"/>
    </xf>
    <xf numFmtId="0" fontId="45" fillId="0" borderId="13" xfId="107" applyFont="1" applyFill="1" applyBorder="1" applyAlignment="1">
      <alignment horizontal="center" vertical="center"/>
    </xf>
    <xf numFmtId="0" fontId="45" fillId="0" borderId="13" xfId="107" applyFont="1" applyFill="1" applyBorder="1" applyAlignment="1">
      <alignment vertical="center"/>
    </xf>
    <xf numFmtId="3" fontId="45" fillId="0" borderId="13" xfId="107" applyNumberFormat="1" applyFont="1" applyFill="1" applyBorder="1" applyAlignment="1">
      <alignment horizontal="right" vertical="center"/>
    </xf>
    <xf numFmtId="0" fontId="44" fillId="7" borderId="11" xfId="107" applyNumberFormat="1" applyFont="1" applyFill="1" applyBorder="1" applyAlignment="1">
      <alignment horizontal="center" vertical="center"/>
    </xf>
    <xf numFmtId="0" fontId="48" fillId="7" borderId="11" xfId="107" applyNumberFormat="1" applyFont="1" applyFill="1" applyBorder="1" applyAlignment="1">
      <alignment vertical="center"/>
    </xf>
    <xf numFmtId="3" fontId="50" fillId="7" borderId="11" xfId="107" applyNumberFormat="1" applyFont="1" applyFill="1" applyBorder="1" applyAlignment="1">
      <alignment horizontal="right" vertical="center"/>
    </xf>
    <xf numFmtId="3" fontId="48" fillId="7" borderId="11" xfId="107" applyNumberFormat="1" applyFont="1" applyFill="1" applyBorder="1" applyAlignment="1">
      <alignment horizontal="right" vertical="center"/>
    </xf>
    <xf numFmtId="0" fontId="46" fillId="0" borderId="6" xfId="107" applyFont="1" applyFill="1" applyBorder="1" applyAlignment="1">
      <alignment horizontal="center" vertical="center"/>
    </xf>
    <xf numFmtId="0" fontId="46" fillId="0" borderId="6" xfId="107" applyFont="1" applyFill="1" applyBorder="1" applyAlignment="1">
      <alignment vertical="center"/>
    </xf>
    <xf numFmtId="0" fontId="46" fillId="0" borderId="6" xfId="107" applyFont="1" applyFill="1" applyBorder="1" applyAlignment="1">
      <alignment horizontal="left" vertical="center"/>
    </xf>
    <xf numFmtId="3" fontId="46" fillId="0" borderId="6" xfId="107" applyNumberFormat="1" applyFont="1" applyFill="1" applyBorder="1" applyAlignment="1">
      <alignment horizontal="right" vertical="center"/>
    </xf>
    <xf numFmtId="0" fontId="46" fillId="0" borderId="6" xfId="107" applyFont="1" applyFill="1" applyBorder="1" applyAlignment="1">
      <alignment horizontal="right" vertical="center"/>
    </xf>
    <xf numFmtId="0" fontId="22" fillId="0" borderId="26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locked="0"/>
    </xf>
    <xf numFmtId="0" fontId="19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justify" vertical="center"/>
      <protection locked="0"/>
    </xf>
    <xf numFmtId="0" fontId="19" fillId="14" borderId="0" xfId="0" applyFont="1" applyFill="1" applyAlignment="1" applyProtection="1">
      <alignment vertical="center"/>
      <protection locked="0"/>
    </xf>
    <xf numFmtId="0" fontId="125" fillId="0" borderId="0" xfId="0" applyFont="1" applyAlignment="1" applyProtection="1">
      <alignment vertical="center"/>
      <protection locked="0"/>
    </xf>
    <xf numFmtId="0" fontId="126" fillId="0" borderId="0" xfId="0" applyFont="1" applyAlignment="1" applyProtection="1">
      <alignment vertical="center"/>
      <protection locked="0"/>
    </xf>
    <xf numFmtId="38" fontId="9" fillId="16" borderId="24" xfId="65" applyNumberFormat="1" applyFont="1" applyFill="1" applyBorder="1" applyAlignment="1" applyProtection="1">
      <alignment horizontal="center" vertical="center" wrapText="1"/>
      <protection locked="0"/>
    </xf>
    <xf numFmtId="38" fontId="25" fillId="19" borderId="24" xfId="65" applyNumberFormat="1" applyFont="1" applyFill="1" applyBorder="1" applyAlignment="1" applyProtection="1">
      <alignment horizontal="right" vertical="center" wrapText="1"/>
      <protection locked="0"/>
    </xf>
    <xf numFmtId="0" fontId="26" fillId="0" borderId="0" xfId="0" applyFont="1" applyProtection="1">
      <protection locked="0"/>
    </xf>
    <xf numFmtId="0" fontId="0" fillId="0" borderId="0" xfId="0" applyNumberFormat="1" applyProtection="1">
      <protection locked="0"/>
    </xf>
    <xf numFmtId="173" fontId="0" fillId="0" borderId="0" xfId="0" applyNumberFormat="1" applyProtection="1">
      <protection locked="0"/>
    </xf>
    <xf numFmtId="173" fontId="0" fillId="0" borderId="0" xfId="0" applyNumberFormat="1" applyAlignment="1" applyProtection="1">
      <alignment horizontal="justify"/>
      <protection locked="0"/>
    </xf>
    <xf numFmtId="0" fontId="0" fillId="12" borderId="0" xfId="0" applyFill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0" fontId="0" fillId="13" borderId="0" xfId="0" applyFill="1" applyBorder="1" applyAlignment="1" applyProtection="1">
      <alignment horizontal="right" vertical="center"/>
      <protection locked="0"/>
    </xf>
    <xf numFmtId="0" fontId="0" fillId="14" borderId="0" xfId="0" applyFill="1" applyBorder="1" applyAlignment="1" applyProtection="1">
      <alignment horizontal="right" vertical="center"/>
      <protection locked="0"/>
    </xf>
    <xf numFmtId="0" fontId="0" fillId="16" borderId="0" xfId="0" applyFill="1" applyBorder="1" applyAlignment="1" applyProtection="1">
      <alignment horizontal="right" vertical="center"/>
      <protection locked="0"/>
    </xf>
    <xf numFmtId="0" fontId="0" fillId="14" borderId="0" xfId="0" applyFill="1" applyProtection="1">
      <protection locked="0"/>
    </xf>
    <xf numFmtId="38" fontId="9" fillId="16" borderId="6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11" xfId="65" applyNumberFormat="1" applyFont="1" applyFill="1" applyBorder="1" applyAlignment="1" applyProtection="1">
      <alignment horizontal="center" vertical="center" wrapText="1"/>
      <protection locked="0"/>
    </xf>
    <xf numFmtId="0" fontId="51" fillId="9" borderId="0" xfId="0" applyFont="1" applyFill="1" applyAlignment="1" applyProtection="1">
      <alignment horizontal="center"/>
      <protection locked="0"/>
    </xf>
    <xf numFmtId="0" fontId="35" fillId="19" borderId="15" xfId="0" applyFont="1" applyFill="1" applyBorder="1" applyAlignment="1" applyProtection="1">
      <alignment vertical="center" wrapText="1"/>
      <protection locked="0"/>
    </xf>
    <xf numFmtId="0" fontId="35" fillId="19" borderId="24" xfId="0" applyFont="1" applyFill="1" applyBorder="1" applyAlignment="1" applyProtection="1">
      <alignment horizontal="right" vertical="center"/>
      <protection locked="0"/>
    </xf>
    <xf numFmtId="0" fontId="37" fillId="0" borderId="37" xfId="0" applyFont="1" applyFill="1" applyBorder="1" applyAlignment="1" applyProtection="1">
      <alignment horizontal="center" vertical="center" wrapText="1"/>
      <protection hidden="1"/>
    </xf>
    <xf numFmtId="173" fontId="37" fillId="0" borderId="37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38" xfId="0" applyFont="1" applyFill="1" applyBorder="1" applyAlignment="1" applyProtection="1">
      <alignment horizontal="left" vertical="center" wrapText="1"/>
      <protection hidden="1"/>
    </xf>
    <xf numFmtId="3" fontId="10" fillId="0" borderId="37" xfId="0" applyNumberFormat="1" applyFont="1" applyFill="1" applyBorder="1" applyAlignment="1" applyProtection="1">
      <alignment vertical="center" wrapText="1"/>
      <protection hidden="1"/>
    </xf>
    <xf numFmtId="0" fontId="37" fillId="0" borderId="26" xfId="0" applyFont="1" applyFill="1" applyBorder="1" applyAlignment="1" applyProtection="1">
      <alignment horizontal="center" vertical="center" wrapText="1"/>
      <protection hidden="1"/>
    </xf>
    <xf numFmtId="0" fontId="37" fillId="0" borderId="26" xfId="0" applyFont="1" applyFill="1" applyBorder="1" applyAlignment="1" applyProtection="1">
      <alignment horizontal="center" vertical="center"/>
      <protection hidden="1"/>
    </xf>
    <xf numFmtId="0" fontId="58" fillId="0" borderId="26" xfId="0" applyFont="1" applyFill="1" applyBorder="1" applyAlignment="1" applyProtection="1">
      <alignment horizontal="center" vertical="center"/>
      <protection hidden="1"/>
    </xf>
    <xf numFmtId="0" fontId="56" fillId="0" borderId="26" xfId="0" applyFont="1" applyFill="1" applyBorder="1" applyAlignment="1" applyProtection="1">
      <alignment horizontal="center" vertical="center"/>
      <protection hidden="1"/>
    </xf>
    <xf numFmtId="0" fontId="13" fillId="0" borderId="27" xfId="0" applyFont="1" applyFill="1" applyBorder="1" applyAlignment="1" applyProtection="1">
      <alignment horizontal="center" vertical="center"/>
      <protection hidden="1"/>
    </xf>
    <xf numFmtId="0" fontId="37" fillId="0" borderId="27" xfId="0" applyFont="1" applyFill="1" applyBorder="1" applyAlignment="1" applyProtection="1">
      <alignment horizontal="center" vertical="center" wrapText="1"/>
      <protection hidden="1"/>
    </xf>
    <xf numFmtId="173" fontId="37" fillId="0" borderId="27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27" xfId="0" applyFont="1" applyFill="1" applyBorder="1" applyAlignment="1" applyProtection="1">
      <alignment horizontal="left" vertical="center" wrapText="1"/>
      <protection hidden="1"/>
    </xf>
    <xf numFmtId="3" fontId="10" fillId="0" borderId="27" xfId="0" applyNumberFormat="1" applyFont="1" applyFill="1" applyBorder="1" applyAlignment="1" applyProtection="1">
      <alignment vertical="center" wrapText="1"/>
      <protection hidden="1"/>
    </xf>
    <xf numFmtId="0" fontId="128" fillId="8" borderId="6" xfId="0" applyFont="1" applyFill="1" applyBorder="1" applyAlignment="1" applyProtection="1">
      <alignment vertical="center"/>
      <protection hidden="1"/>
    </xf>
    <xf numFmtId="0" fontId="128" fillId="8" borderId="6" xfId="0" applyFont="1" applyFill="1" applyBorder="1" applyAlignment="1" applyProtection="1">
      <alignment horizontal="center" vertical="center"/>
      <protection hidden="1"/>
    </xf>
    <xf numFmtId="14" fontId="128" fillId="8" borderId="6" xfId="0" applyNumberFormat="1" applyFont="1" applyFill="1" applyBorder="1" applyAlignment="1" applyProtection="1">
      <alignment horizontal="center" vertical="center"/>
      <protection hidden="1"/>
    </xf>
    <xf numFmtId="0" fontId="129" fillId="8" borderId="6" xfId="0" applyFont="1" applyFill="1" applyBorder="1" applyAlignment="1" applyProtection="1">
      <alignment vertical="center"/>
      <protection hidden="1"/>
    </xf>
    <xf numFmtId="3" fontId="129" fillId="8" borderId="6" xfId="0" applyNumberFormat="1" applyFont="1" applyFill="1" applyBorder="1" applyAlignment="1" applyProtection="1">
      <alignment vertical="center"/>
      <protection hidden="1"/>
    </xf>
    <xf numFmtId="3" fontId="127" fillId="7" borderId="6" xfId="0" applyNumberFormat="1" applyFont="1" applyFill="1" applyBorder="1" applyAlignment="1" applyProtection="1">
      <alignment vertical="center" wrapText="1"/>
      <protection hidden="1"/>
    </xf>
    <xf numFmtId="0" fontId="131" fillId="0" borderId="0" xfId="0" applyFont="1" applyFill="1" applyAlignment="1" applyProtection="1">
      <alignment vertical="center"/>
      <protection hidden="1"/>
    </xf>
    <xf numFmtId="38" fontId="131" fillId="0" borderId="0" xfId="0" applyNumberFormat="1" applyFont="1" applyFill="1" applyAlignment="1" applyProtection="1">
      <alignment vertical="center"/>
      <protection hidden="1"/>
    </xf>
    <xf numFmtId="0" fontId="25" fillId="19" borderId="24" xfId="0" applyFont="1" applyFill="1" applyBorder="1" applyAlignment="1" applyProtection="1">
      <alignment horizontal="right" vertical="center"/>
      <protection locked="0"/>
    </xf>
    <xf numFmtId="0" fontId="132" fillId="19" borderId="15" xfId="0" applyFont="1" applyFill="1" applyBorder="1" applyAlignment="1" applyProtection="1">
      <alignment vertical="center" wrapText="1"/>
      <protection hidden="1"/>
    </xf>
    <xf numFmtId="0" fontId="0" fillId="0" borderId="0" xfId="0" applyProtection="1">
      <protection hidden="1"/>
    </xf>
    <xf numFmtId="0" fontId="122" fillId="0" borderId="0" xfId="0" applyFont="1" applyAlignment="1" applyProtection="1">
      <alignment vertical="center"/>
      <protection hidden="1"/>
    </xf>
    <xf numFmtId="0" fontId="14" fillId="0" borderId="0" xfId="0" applyFont="1" applyAlignment="1" applyProtection="1">
      <alignment horizontal="center"/>
      <protection hidden="1"/>
    </xf>
    <xf numFmtId="0" fontId="14" fillId="0" borderId="0" xfId="0" applyNumberFormat="1" applyFont="1" applyAlignment="1" applyProtection="1">
      <alignment horizontal="center"/>
      <protection hidden="1"/>
    </xf>
    <xf numFmtId="0" fontId="23" fillId="0" borderId="0" xfId="0" applyFont="1" applyAlignment="1" applyProtection="1">
      <alignment horizontal="center"/>
      <protection hidden="1"/>
    </xf>
    <xf numFmtId="0" fontId="35" fillId="19" borderId="23" xfId="0" applyFont="1" applyFill="1" applyBorder="1" applyAlignment="1" applyProtection="1">
      <alignment vertical="center" wrapText="1"/>
      <protection hidden="1"/>
    </xf>
    <xf numFmtId="0" fontId="22" fillId="21" borderId="26" xfId="0" applyNumberFormat="1" applyFont="1" applyFill="1" applyBorder="1" applyAlignment="1" applyProtection="1">
      <alignment horizontal="justify" vertical="center" wrapText="1"/>
      <protection locked="0"/>
    </xf>
    <xf numFmtId="0" fontId="121" fillId="0" borderId="39" xfId="0" applyFont="1" applyBorder="1" applyAlignment="1" applyProtection="1">
      <alignment horizontal="right" vertical="center"/>
      <protection locked="0"/>
    </xf>
    <xf numFmtId="0" fontId="121" fillId="0" borderId="28" xfId="0" applyFont="1" applyBorder="1" applyAlignment="1" applyProtection="1">
      <alignment horizontal="right" vertical="center"/>
      <protection locked="0"/>
    </xf>
    <xf numFmtId="0" fontId="10" fillId="0" borderId="0" xfId="37" applyFont="1" applyAlignment="1">
      <alignment vertical="center"/>
    </xf>
    <xf numFmtId="0" fontId="10" fillId="0" borderId="0" xfId="37" applyFont="1" applyBorder="1" applyAlignment="1">
      <alignment horizontal="center" vertical="center"/>
    </xf>
    <xf numFmtId="0" fontId="10" fillId="0" borderId="0" xfId="37" applyFont="1" applyAlignment="1">
      <alignment horizontal="left" vertical="center"/>
    </xf>
    <xf numFmtId="0" fontId="9" fillId="0" borderId="0" xfId="37" applyFont="1" applyAlignment="1">
      <alignment vertical="center"/>
    </xf>
    <xf numFmtId="49" fontId="10" fillId="0" borderId="0" xfId="105" applyNumberFormat="1" applyFont="1" applyAlignment="1">
      <alignment horizontal="left" vertical="center"/>
    </xf>
    <xf numFmtId="0" fontId="134" fillId="0" borderId="0" xfId="37" applyFont="1" applyAlignment="1">
      <alignment vertical="center"/>
    </xf>
    <xf numFmtId="49" fontId="10" fillId="0" borderId="0" xfId="105" applyNumberFormat="1" applyFont="1" applyAlignment="1">
      <alignment horizontal="center" vertical="center"/>
    </xf>
    <xf numFmtId="0" fontId="135" fillId="0" borderId="0" xfId="37" applyFont="1" applyBorder="1" applyAlignment="1">
      <alignment horizontal="center" vertical="center" wrapText="1"/>
    </xf>
    <xf numFmtId="0" fontId="135" fillId="0" borderId="0" xfId="37" applyFont="1" applyAlignment="1">
      <alignment vertical="center"/>
    </xf>
    <xf numFmtId="3" fontId="11" fillId="0" borderId="0" xfId="37" applyNumberFormat="1" applyFont="1" applyBorder="1" applyAlignment="1">
      <alignment vertical="center"/>
    </xf>
    <xf numFmtId="176" fontId="133" fillId="0" borderId="21" xfId="37" applyNumberFormat="1" applyFont="1" applyBorder="1" applyAlignment="1">
      <alignment horizontal="left" vertical="center"/>
    </xf>
    <xf numFmtId="0" fontId="136" fillId="0" borderId="0" xfId="37" applyFont="1" applyAlignment="1">
      <alignment horizontal="left" vertical="center"/>
    </xf>
    <xf numFmtId="0" fontId="9" fillId="0" borderId="0" xfId="37" applyFont="1" applyAlignment="1">
      <alignment horizontal="left" vertical="center"/>
    </xf>
    <xf numFmtId="0" fontId="136" fillId="0" borderId="0" xfId="37" applyFont="1" applyBorder="1" applyAlignment="1">
      <alignment horizontal="left" vertical="center"/>
    </xf>
    <xf numFmtId="176" fontId="10" fillId="0" borderId="0" xfId="37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left" vertical="center"/>
    </xf>
    <xf numFmtId="0" fontId="9" fillId="0" borderId="0" xfId="37" applyFont="1" applyBorder="1" applyAlignment="1">
      <alignment horizontal="center" vertical="center"/>
    </xf>
    <xf numFmtId="0" fontId="10" fillId="0" borderId="0" xfId="37" applyFont="1" applyBorder="1" applyAlignment="1">
      <alignment vertical="center"/>
    </xf>
    <xf numFmtId="49" fontId="10" fillId="0" borderId="0" xfId="105" applyNumberFormat="1" applyFont="1" applyBorder="1" applyAlignment="1">
      <alignment vertical="center"/>
    </xf>
    <xf numFmtId="0" fontId="9" fillId="0" borderId="0" xfId="37" applyFont="1" applyAlignment="1">
      <alignment horizontal="center" vertical="center"/>
    </xf>
    <xf numFmtId="49" fontId="9" fillId="0" borderId="0" xfId="105" applyNumberFormat="1" applyFont="1" applyBorder="1" applyAlignment="1">
      <alignment horizontal="left" vertical="center"/>
    </xf>
    <xf numFmtId="38" fontId="138" fillId="0" borderId="0" xfId="0" applyNumberFormat="1" applyFont="1" applyFill="1" applyAlignment="1" applyProtection="1">
      <alignment vertical="center"/>
      <protection hidden="1"/>
    </xf>
    <xf numFmtId="0" fontId="139" fillId="0" borderId="0" xfId="0" applyFont="1" applyFill="1" applyAlignment="1" applyProtection="1">
      <alignment vertical="center"/>
      <protection hidden="1"/>
    </xf>
    <xf numFmtId="0" fontId="136" fillId="0" borderId="0" xfId="0" applyFont="1" applyFill="1" applyBorder="1" applyAlignment="1" applyProtection="1">
      <alignment vertical="center"/>
      <protection hidden="1"/>
    </xf>
    <xf numFmtId="38" fontId="140" fillId="0" borderId="0" xfId="0" applyNumberFormat="1" applyFont="1" applyFill="1" applyAlignment="1" applyProtection="1">
      <alignment horizontal="left" vertical="center"/>
      <protection hidden="1"/>
    </xf>
    <xf numFmtId="0" fontId="133" fillId="0" borderId="0" xfId="0" applyFont="1" applyFill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0" fontId="38" fillId="0" borderId="15" xfId="0" applyFont="1" applyFill="1" applyBorder="1" applyAlignment="1" applyProtection="1">
      <alignment vertical="center"/>
      <protection hidden="1"/>
    </xf>
    <xf numFmtId="171" fontId="10" fillId="0" borderId="15" xfId="65" applyNumberFormat="1" applyFont="1" applyFill="1" applyBorder="1" applyAlignment="1" applyProtection="1">
      <alignment vertical="center"/>
      <protection hidden="1"/>
    </xf>
    <xf numFmtId="0" fontId="36" fillId="0" borderId="0" xfId="0" applyFont="1"/>
    <xf numFmtId="0" fontId="36" fillId="0" borderId="0" xfId="0" applyFont="1" applyFill="1" applyAlignment="1" applyProtection="1">
      <alignment vertical="center"/>
      <protection hidden="1"/>
    </xf>
    <xf numFmtId="3" fontId="143" fillId="0" borderId="26" xfId="65" applyNumberFormat="1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Alignment="1" applyProtection="1">
      <alignment vertical="center"/>
      <protection hidden="1"/>
    </xf>
    <xf numFmtId="38" fontId="3" fillId="0" borderId="0" xfId="65" applyNumberFormat="1" applyFont="1" applyFill="1" applyAlignment="1" applyProtection="1">
      <alignment vertical="center"/>
      <protection hidden="1"/>
    </xf>
    <xf numFmtId="14" fontId="36" fillId="0" borderId="0" xfId="0" applyNumberFormat="1" applyFont="1" applyFill="1" applyAlignment="1" applyProtection="1">
      <alignment horizontal="center" vertical="center"/>
      <protection hidden="1"/>
    </xf>
    <xf numFmtId="38" fontId="36" fillId="16" borderId="0" xfId="65" applyNumberFormat="1" applyFont="1" applyFill="1" applyAlignment="1" applyProtection="1">
      <alignment vertical="center"/>
      <protection hidden="1"/>
    </xf>
    <xf numFmtId="38" fontId="36" fillId="11" borderId="0" xfId="65" applyNumberFormat="1" applyFont="1" applyFill="1" applyAlignment="1" applyProtection="1">
      <alignment vertical="center"/>
      <protection hidden="1"/>
    </xf>
    <xf numFmtId="38" fontId="36" fillId="17" borderId="0" xfId="65" applyNumberFormat="1" applyFont="1" applyFill="1" applyAlignment="1" applyProtection="1">
      <alignment vertical="center"/>
      <protection hidden="1"/>
    </xf>
    <xf numFmtId="38" fontId="36" fillId="15" borderId="0" xfId="65" applyNumberFormat="1" applyFont="1" applyFill="1" applyAlignment="1" applyProtection="1">
      <alignment vertical="center"/>
      <protection hidden="1"/>
    </xf>
    <xf numFmtId="38" fontId="36" fillId="0" borderId="0" xfId="65" applyNumberFormat="1" applyFont="1" applyFill="1" applyAlignment="1" applyProtection="1">
      <alignment vertical="center"/>
      <protection hidden="1"/>
    </xf>
    <xf numFmtId="38" fontId="130" fillId="0" borderId="0" xfId="0" applyNumberFormat="1" applyFont="1" applyFill="1" applyAlignment="1" applyProtection="1">
      <alignment vertical="center"/>
      <protection hidden="1"/>
    </xf>
    <xf numFmtId="0" fontId="130" fillId="0" borderId="0" xfId="65" applyNumberFormat="1" applyFont="1" applyFill="1" applyBorder="1" applyAlignment="1" applyProtection="1">
      <alignment vertical="center"/>
      <protection locked="0"/>
    </xf>
    <xf numFmtId="0" fontId="36" fillId="0" borderId="0" xfId="0" applyNumberFormat="1" applyFont="1" applyFill="1" applyAlignment="1" applyProtection="1">
      <alignment vertical="center"/>
      <protection hidden="1"/>
    </xf>
    <xf numFmtId="0" fontId="33" fillId="0" borderId="0" xfId="0" applyFont="1"/>
    <xf numFmtId="0" fontId="3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45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33" fillId="0" borderId="6" xfId="0" applyFont="1" applyBorder="1" applyAlignment="1">
      <alignment vertical="center"/>
    </xf>
    <xf numFmtId="3" fontId="33" fillId="0" borderId="6" xfId="0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171" fontId="140" fillId="0" borderId="0" xfId="65" applyNumberFormat="1" applyFont="1" applyFill="1" applyBorder="1" applyAlignment="1" applyProtection="1">
      <alignment horizontal="center" vertical="center"/>
      <protection locked="0"/>
    </xf>
    <xf numFmtId="171" fontId="10" fillId="0" borderId="0" xfId="65" applyNumberFormat="1" applyFont="1" applyBorder="1" applyAlignment="1">
      <alignment vertical="center"/>
    </xf>
    <xf numFmtId="171" fontId="10" fillId="0" borderId="0" xfId="65" applyNumberFormat="1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6" borderId="7" xfId="108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2" xfId="108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13" xfId="108" applyNumberFormat="1" applyFont="1" applyBorder="1" applyAlignment="1">
      <alignment horizontal="center" vertical="center"/>
    </xf>
    <xf numFmtId="0" fontId="9" fillId="2" borderId="6" xfId="108" applyNumberFormat="1" applyFont="1" applyFill="1" applyBorder="1" applyAlignment="1">
      <alignment horizontal="center" vertical="center"/>
    </xf>
    <xf numFmtId="2" fontId="9" fillId="0" borderId="0" xfId="0" applyNumberFormat="1" applyFont="1" applyBorder="1" applyAlignment="1">
      <alignment vertical="center"/>
    </xf>
    <xf numFmtId="171" fontId="10" fillId="0" borderId="0" xfId="65" applyNumberFormat="1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171" fontId="9" fillId="0" borderId="0" xfId="65" applyNumberFormat="1" applyFont="1" applyBorder="1" applyAlignment="1">
      <alignment vertical="center"/>
    </xf>
    <xf numFmtId="171" fontId="10" fillId="0" borderId="0" xfId="0" applyNumberFormat="1" applyFont="1" applyBorder="1" applyAlignment="1">
      <alignment vertical="center"/>
    </xf>
    <xf numFmtId="0" fontId="33" fillId="0" borderId="0" xfId="0" applyFont="1" applyAlignment="1">
      <alignment horizontal="center"/>
    </xf>
    <xf numFmtId="49" fontId="33" fillId="0" borderId="6" xfId="0" applyNumberFormat="1" applyFont="1" applyBorder="1" applyAlignment="1">
      <alignment horizontal="center" vertical="center"/>
    </xf>
    <xf numFmtId="194" fontId="33" fillId="0" borderId="6" xfId="0" applyNumberFormat="1" applyFont="1" applyBorder="1" applyAlignment="1">
      <alignment vertical="center"/>
    </xf>
    <xf numFmtId="0" fontId="0" fillId="12" borderId="0" xfId="0" applyFill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13" borderId="0" xfId="0" applyFill="1" applyBorder="1" applyAlignment="1" applyProtection="1">
      <alignment horizontal="left" vertical="center"/>
      <protection locked="0"/>
    </xf>
    <xf numFmtId="0" fontId="0" fillId="14" borderId="0" xfId="0" applyFill="1" applyBorder="1" applyAlignment="1" applyProtection="1">
      <alignment horizontal="left" vertical="center"/>
      <protection locked="0"/>
    </xf>
    <xf numFmtId="0" fontId="12" fillId="10" borderId="6" xfId="0" applyFont="1" applyFill="1" applyBorder="1" applyAlignment="1" applyProtection="1">
      <alignment horizontal="center" vertical="center" wrapText="1"/>
      <protection locked="0"/>
    </xf>
    <xf numFmtId="3" fontId="10" fillId="0" borderId="6" xfId="0" applyNumberFormat="1" applyFont="1" applyBorder="1" applyAlignment="1">
      <alignment horizontal="center" vertical="center"/>
    </xf>
    <xf numFmtId="0" fontId="73" fillId="0" borderId="0" xfId="0" applyFont="1" applyAlignment="1">
      <alignment horizontal="center"/>
    </xf>
    <xf numFmtId="0" fontId="3" fillId="0" borderId="6" xfId="0" applyFont="1" applyBorder="1"/>
    <xf numFmtId="194" fontId="10" fillId="0" borderId="6" xfId="0" applyNumberFormat="1" applyFont="1" applyBorder="1"/>
    <xf numFmtId="194" fontId="10" fillId="0" borderId="6" xfId="0" applyNumberFormat="1" applyFont="1" applyBorder="1" applyAlignment="1">
      <alignment horizontal="center"/>
    </xf>
    <xf numFmtId="0" fontId="14" fillId="0" borderId="0" xfId="0" applyFont="1" applyAlignment="1" applyProtection="1">
      <alignment horizontal="left"/>
      <protection hidden="1"/>
    </xf>
    <xf numFmtId="171" fontId="119" fillId="0" borderId="0" xfId="65" applyNumberFormat="1" applyFont="1" applyBorder="1" applyAlignment="1">
      <alignment horizontal="center" vertical="center"/>
    </xf>
    <xf numFmtId="0" fontId="9" fillId="0" borderId="6" xfId="106" applyFont="1" applyFill="1" applyBorder="1" applyAlignment="1">
      <alignment horizontal="center" vertical="center"/>
    </xf>
    <xf numFmtId="171" fontId="9" fillId="0" borderId="0" xfId="65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1" fontId="10" fillId="0" borderId="0" xfId="65" applyNumberFormat="1" applyFont="1" applyFill="1" applyBorder="1" applyAlignment="1" applyProtection="1">
      <alignment horizontal="center" vertical="center"/>
      <protection hidden="1"/>
    </xf>
    <xf numFmtId="0" fontId="150" fillId="0" borderId="6" xfId="0" applyFont="1" applyBorder="1" applyAlignment="1">
      <alignment horizontal="center"/>
    </xf>
    <xf numFmtId="0" fontId="150" fillId="0" borderId="6" xfId="0" applyFont="1" applyBorder="1"/>
    <xf numFmtId="0" fontId="150" fillId="14" borderId="6" xfId="0" applyFont="1" applyFill="1" applyBorder="1"/>
    <xf numFmtId="0" fontId="150" fillId="14" borderId="6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6" xfId="0" applyFont="1" applyFill="1" applyBorder="1" applyAlignment="1">
      <alignment horizontal="left" vertical="center"/>
    </xf>
    <xf numFmtId="3" fontId="10" fillId="0" borderId="6" xfId="0" applyNumberFormat="1" applyFont="1" applyFill="1" applyBorder="1" applyAlignment="1">
      <alignment horizontal="center" vertical="center"/>
    </xf>
    <xf numFmtId="3" fontId="150" fillId="14" borderId="6" xfId="0" applyNumberFormat="1" applyFont="1" applyFill="1" applyBorder="1"/>
    <xf numFmtId="0" fontId="15" fillId="9" borderId="0" xfId="0" applyFont="1" applyFill="1" applyAlignment="1" applyProtection="1">
      <alignment horizontal="center"/>
      <protection locked="0"/>
    </xf>
    <xf numFmtId="0" fontId="15" fillId="9" borderId="0" xfId="0" applyFont="1" applyFill="1" applyAlignment="1" applyProtection="1">
      <alignment horizontal="center"/>
      <protection hidden="1"/>
    </xf>
    <xf numFmtId="0" fontId="134" fillId="0" borderId="0" xfId="0" applyFont="1" applyFill="1" applyAlignment="1" applyProtection="1">
      <alignment vertical="center"/>
      <protection hidden="1"/>
    </xf>
    <xf numFmtId="0" fontId="22" fillId="0" borderId="26" xfId="0" applyFont="1" applyFill="1" applyBorder="1" applyAlignment="1" applyProtection="1">
      <alignment vertical="center" wrapText="1"/>
      <protection hidden="1"/>
    </xf>
    <xf numFmtId="3" fontId="124" fillId="14" borderId="26" xfId="0" applyNumberFormat="1" applyFont="1" applyFill="1" applyBorder="1" applyAlignment="1" applyProtection="1">
      <alignment horizontal="center" vertical="center" wrapText="1"/>
      <protection hidden="1"/>
    </xf>
    <xf numFmtId="0" fontId="0" fillId="14" borderId="0" xfId="0" applyFill="1" applyProtection="1">
      <protection hidden="1"/>
    </xf>
    <xf numFmtId="0" fontId="5" fillId="23" borderId="0" xfId="0" applyFont="1" applyFill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24" borderId="0" xfId="0" applyFont="1" applyFill="1" applyAlignment="1" applyProtection="1">
      <alignment horizontal="center"/>
      <protection hidden="1"/>
    </xf>
    <xf numFmtId="14" fontId="0" fillId="0" borderId="0" xfId="0" applyNumberFormat="1" applyProtection="1">
      <protection hidden="1"/>
    </xf>
    <xf numFmtId="0" fontId="0" fillId="23" borderId="0" xfId="0" applyFill="1" applyProtection="1">
      <protection hidden="1"/>
    </xf>
    <xf numFmtId="0" fontId="0" fillId="24" borderId="0" xfId="0" applyFill="1" applyProtection="1">
      <protection hidden="1"/>
    </xf>
    <xf numFmtId="0" fontId="26" fillId="23" borderId="0" xfId="0" applyFont="1" applyFill="1" applyProtection="1">
      <protection hidden="1"/>
    </xf>
    <xf numFmtId="0" fontId="26" fillId="0" borderId="0" xfId="0" applyFont="1" applyProtection="1">
      <protection hidden="1"/>
    </xf>
    <xf numFmtId="0" fontId="26" fillId="24" borderId="0" xfId="0" applyFont="1" applyFill="1" applyProtection="1">
      <protection hidden="1"/>
    </xf>
    <xf numFmtId="0" fontId="3" fillId="0" borderId="0" xfId="0" applyFont="1" applyFill="1" applyAlignment="1" applyProtection="1">
      <alignment vertical="center"/>
      <protection locked="0"/>
    </xf>
    <xf numFmtId="0" fontId="9" fillId="6" borderId="7" xfId="0" applyFont="1" applyFill="1" applyBorder="1" applyAlignment="1">
      <alignment vertical="center"/>
    </xf>
    <xf numFmtId="171" fontId="9" fillId="0" borderId="0" xfId="65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>
      <alignment vertical="center"/>
    </xf>
    <xf numFmtId="3" fontId="9" fillId="6" borderId="7" xfId="106" applyNumberFormat="1" applyFont="1" applyFill="1" applyBorder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0" fontId="135" fillId="0" borderId="0" xfId="0" applyFont="1" applyAlignment="1" applyProtection="1">
      <alignment horizontal="left"/>
      <protection hidden="1"/>
    </xf>
    <xf numFmtId="0" fontId="135" fillId="0" borderId="0" xfId="0" applyFont="1" applyProtection="1">
      <protection hidden="1"/>
    </xf>
    <xf numFmtId="0" fontId="36" fillId="0" borderId="0" xfId="0" applyFont="1" applyProtection="1">
      <protection hidden="1"/>
    </xf>
    <xf numFmtId="194" fontId="144" fillId="11" borderId="0" xfId="0" applyNumberFormat="1" applyFont="1" applyFill="1" applyProtection="1">
      <protection hidden="1"/>
    </xf>
    <xf numFmtId="0" fontId="33" fillId="0" borderId="0" xfId="0" applyFont="1" applyProtection="1">
      <protection hidden="1"/>
    </xf>
    <xf numFmtId="0" fontId="10" fillId="0" borderId="0" xfId="0" applyFont="1" applyProtection="1">
      <protection hidden="1"/>
    </xf>
    <xf numFmtId="3" fontId="10" fillId="0" borderId="0" xfId="0" applyNumberFormat="1" applyFont="1" applyAlignment="1" applyProtection="1">
      <alignment horizontal="right"/>
      <protection hidden="1"/>
    </xf>
    <xf numFmtId="3" fontId="137" fillId="0" borderId="0" xfId="0" applyNumberFormat="1" applyFont="1" applyAlignment="1" applyProtection="1">
      <protection hidden="1"/>
    </xf>
    <xf numFmtId="0" fontId="12" fillId="0" borderId="0" xfId="0" applyFont="1" applyAlignment="1" applyProtection="1">
      <protection hidden="1"/>
    </xf>
    <xf numFmtId="0" fontId="9" fillId="0" borderId="0" xfId="0" applyFont="1" applyAlignment="1" applyProtection="1">
      <protection hidden="1"/>
    </xf>
    <xf numFmtId="0" fontId="10" fillId="0" borderId="0" xfId="0" applyFont="1" applyAlignment="1" applyProtection="1"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135" fillId="0" borderId="0" xfId="0" applyFont="1" applyAlignment="1" applyProtection="1">
      <alignment horizontal="center"/>
      <protection hidden="1"/>
    </xf>
    <xf numFmtId="3" fontId="135" fillId="0" borderId="0" xfId="0" applyNumberFormat="1" applyFont="1" applyAlignment="1" applyProtection="1">
      <alignment horizontal="right"/>
      <protection hidden="1"/>
    </xf>
    <xf numFmtId="3" fontId="135" fillId="0" borderId="0" xfId="0" applyNumberFormat="1" applyFont="1" applyAlignment="1" applyProtection="1">
      <alignment horizontal="center"/>
      <protection hidden="1"/>
    </xf>
    <xf numFmtId="3" fontId="36" fillId="0" borderId="0" xfId="0" applyNumberFormat="1" applyFont="1" applyProtection="1">
      <protection hidden="1"/>
    </xf>
    <xf numFmtId="0" fontId="11" fillId="0" borderId="0" xfId="0" applyFont="1" applyProtection="1">
      <protection hidden="1"/>
    </xf>
    <xf numFmtId="0" fontId="25" fillId="0" borderId="6" xfId="0" applyFont="1" applyBorder="1" applyAlignment="1" applyProtection="1">
      <alignment horizontal="center" vertical="center"/>
      <protection hidden="1"/>
    </xf>
    <xf numFmtId="3" fontId="25" fillId="0" borderId="6" xfId="0" quotePrefix="1" applyNumberFormat="1" applyFont="1" applyBorder="1" applyAlignment="1" applyProtection="1">
      <alignment horizontal="center" vertical="center"/>
      <protection hidden="1"/>
    </xf>
    <xf numFmtId="3" fontId="25" fillId="0" borderId="6" xfId="0" applyNumberFormat="1" applyFont="1" applyBorder="1" applyAlignment="1" applyProtection="1">
      <alignment horizontal="center" vertical="center"/>
      <protection hidden="1"/>
    </xf>
    <xf numFmtId="0" fontId="35" fillId="0" borderId="0" xfId="0" applyFont="1" applyProtection="1">
      <protection hidden="1"/>
    </xf>
    <xf numFmtId="0" fontId="48" fillId="0" borderId="12" xfId="0" applyFont="1" applyBorder="1" applyAlignment="1" applyProtection="1">
      <alignment horizontal="left" vertical="center" wrapText="1"/>
      <protection hidden="1"/>
    </xf>
    <xf numFmtId="0" fontId="48" fillId="0" borderId="12" xfId="0" applyFont="1" applyBorder="1" applyAlignment="1" applyProtection="1">
      <alignment horizontal="center" vertical="center"/>
      <protection hidden="1"/>
    </xf>
    <xf numFmtId="0" fontId="48" fillId="0" borderId="12" xfId="107" quotePrefix="1" applyFont="1" applyFill="1" applyBorder="1" applyAlignment="1" applyProtection="1">
      <alignment horizontal="center" vertical="center"/>
      <protection hidden="1"/>
    </xf>
    <xf numFmtId="0" fontId="48" fillId="0" borderId="12" xfId="0" quotePrefix="1" applyFont="1" applyBorder="1" applyAlignment="1" applyProtection="1">
      <alignment horizontal="center" vertical="center"/>
      <protection hidden="1"/>
    </xf>
    <xf numFmtId="3" fontId="48" fillId="0" borderId="12" xfId="0" applyNumberFormat="1" applyFont="1" applyBorder="1" applyAlignment="1" applyProtection="1">
      <alignment horizontal="center" vertical="center"/>
      <protection hidden="1"/>
    </xf>
    <xf numFmtId="3" fontId="48" fillId="0" borderId="12" xfId="0" applyNumberFormat="1" applyFont="1" applyBorder="1" applyAlignment="1" applyProtection="1">
      <alignment horizontal="right" vertical="center"/>
      <protection hidden="1"/>
    </xf>
    <xf numFmtId="0" fontId="48" fillId="0" borderId="29" xfId="0" applyFont="1" applyBorder="1" applyAlignment="1" applyProtection="1">
      <alignment horizontal="left" vertical="center" wrapText="1"/>
      <protection hidden="1"/>
    </xf>
    <xf numFmtId="0" fontId="48" fillId="0" borderId="29" xfId="0" applyFont="1" applyBorder="1" applyAlignment="1" applyProtection="1">
      <alignment horizontal="center" vertical="center"/>
      <protection hidden="1"/>
    </xf>
    <xf numFmtId="0" fontId="48" fillId="0" borderId="29" xfId="107" quotePrefix="1" applyFont="1" applyFill="1" applyBorder="1" applyAlignment="1" applyProtection="1">
      <alignment horizontal="center" vertical="center"/>
      <protection hidden="1"/>
    </xf>
    <xf numFmtId="0" fontId="48" fillId="0" borderId="29" xfId="0" quotePrefix="1" applyFont="1" applyBorder="1" applyAlignment="1" applyProtection="1">
      <alignment horizontal="center" vertical="center"/>
      <protection hidden="1"/>
    </xf>
    <xf numFmtId="3" fontId="48" fillId="0" borderId="29" xfId="0" applyNumberFormat="1" applyFont="1" applyBorder="1" applyAlignment="1" applyProtection="1">
      <alignment horizontal="center" vertical="center"/>
      <protection hidden="1"/>
    </xf>
    <xf numFmtId="3" fontId="48" fillId="0" borderId="29" xfId="0" applyNumberFormat="1" applyFont="1" applyBorder="1" applyAlignment="1" applyProtection="1">
      <alignment horizontal="right" vertical="center"/>
      <protection hidden="1"/>
    </xf>
    <xf numFmtId="0" fontId="46" fillId="22" borderId="13" xfId="0" applyFont="1" applyFill="1" applyBorder="1" applyAlignment="1" applyProtection="1">
      <alignment horizontal="center" vertical="center" wrapText="1"/>
      <protection hidden="1"/>
    </xf>
    <xf numFmtId="0" fontId="48" fillId="22" borderId="13" xfId="0" applyFont="1" applyFill="1" applyBorder="1" applyAlignment="1" applyProtection="1">
      <alignment horizontal="center" vertical="center"/>
      <protection hidden="1"/>
    </xf>
    <xf numFmtId="0" fontId="48" fillId="22" borderId="13" xfId="107" quotePrefix="1" applyFont="1" applyFill="1" applyBorder="1" applyAlignment="1" applyProtection="1">
      <alignment horizontal="center" vertical="center"/>
      <protection hidden="1"/>
    </xf>
    <xf numFmtId="0" fontId="48" fillId="22" borderId="13" xfId="0" quotePrefix="1" applyFont="1" applyFill="1" applyBorder="1" applyAlignment="1" applyProtection="1">
      <alignment horizontal="center" vertical="center"/>
      <protection hidden="1"/>
    </xf>
    <xf numFmtId="3" fontId="48" fillId="22" borderId="13" xfId="0" applyNumberFormat="1" applyFont="1" applyFill="1" applyBorder="1" applyAlignment="1" applyProtection="1">
      <alignment horizontal="center" vertical="center"/>
      <protection hidden="1"/>
    </xf>
    <xf numFmtId="3" fontId="46" fillId="22" borderId="13" xfId="0" applyNumberFormat="1" applyFont="1" applyFill="1" applyBorder="1" applyAlignment="1" applyProtection="1">
      <alignment horizontal="right" vertical="center"/>
      <protection hidden="1"/>
    </xf>
    <xf numFmtId="0" fontId="48" fillId="0" borderId="14" xfId="0" applyFont="1" applyBorder="1" applyAlignment="1" applyProtection="1">
      <alignment horizontal="center" vertical="center"/>
      <protection hidden="1"/>
    </xf>
    <xf numFmtId="0" fontId="48" fillId="0" borderId="12" xfId="107" applyFont="1" applyFill="1" applyBorder="1" applyAlignment="1" applyProtection="1">
      <alignment horizontal="center" vertical="center"/>
      <protection hidden="1"/>
    </xf>
    <xf numFmtId="0" fontId="48" fillId="0" borderId="14" xfId="0" quotePrefix="1" applyFont="1" applyBorder="1" applyAlignment="1" applyProtection="1">
      <alignment horizontal="center" vertical="center"/>
      <protection hidden="1"/>
    </xf>
    <xf numFmtId="3" fontId="48" fillId="0" borderId="14" xfId="0" applyNumberFormat="1" applyFont="1" applyBorder="1" applyAlignment="1" applyProtection="1">
      <alignment horizontal="center" vertical="center"/>
      <protection hidden="1"/>
    </xf>
    <xf numFmtId="0" fontId="48" fillId="0" borderId="13" xfId="107" applyFont="1" applyFill="1" applyBorder="1" applyAlignment="1" applyProtection="1">
      <alignment horizontal="center" vertical="center"/>
      <protection hidden="1"/>
    </xf>
    <xf numFmtId="0" fontId="48" fillId="0" borderId="13" xfId="107" quotePrefix="1" applyFont="1" applyFill="1" applyBorder="1" applyAlignment="1" applyProtection="1">
      <alignment horizontal="center" vertical="center"/>
      <protection hidden="1"/>
    </xf>
    <xf numFmtId="0" fontId="48" fillId="0" borderId="29" xfId="107" applyFont="1" applyFill="1" applyBorder="1" applyAlignment="1" applyProtection="1">
      <alignment horizontal="center" vertical="center"/>
      <protection hidden="1"/>
    </xf>
    <xf numFmtId="0" fontId="149" fillId="0" borderId="12" xfId="0" applyFont="1" applyBorder="1" applyAlignment="1" applyProtection="1">
      <alignment horizontal="center" vertical="center"/>
      <protection hidden="1"/>
    </xf>
    <xf numFmtId="0" fontId="11" fillId="0" borderId="12" xfId="107" quotePrefix="1" applyFont="1" applyBorder="1" applyAlignment="1" applyProtection="1">
      <alignment horizontal="center" vertical="center"/>
      <protection hidden="1"/>
    </xf>
    <xf numFmtId="0" fontId="149" fillId="0" borderId="12" xfId="0" quotePrefix="1" applyFont="1" applyBorder="1" applyAlignment="1" applyProtection="1">
      <alignment horizontal="center" vertical="center"/>
      <protection hidden="1"/>
    </xf>
    <xf numFmtId="3" fontId="149" fillId="0" borderId="12" xfId="0" applyNumberFormat="1" applyFont="1" applyBorder="1" applyAlignment="1" applyProtection="1">
      <alignment horizontal="center" vertical="center"/>
      <protection hidden="1"/>
    </xf>
    <xf numFmtId="0" fontId="11" fillId="0" borderId="12" xfId="107" applyFont="1" applyBorder="1" applyAlignment="1" applyProtection="1">
      <alignment horizontal="center" vertical="center"/>
      <protection hidden="1"/>
    </xf>
    <xf numFmtId="0" fontId="45" fillId="14" borderId="7" xfId="0" applyFont="1" applyFill="1" applyBorder="1" applyAlignment="1" applyProtection="1">
      <alignment horizontal="center" vertical="center" wrapText="1"/>
      <protection hidden="1"/>
    </xf>
    <xf numFmtId="0" fontId="48" fillId="14" borderId="7" xfId="0" applyFont="1" applyFill="1" applyBorder="1" applyAlignment="1" applyProtection="1">
      <alignment horizontal="center" vertical="center"/>
      <protection hidden="1"/>
    </xf>
    <xf numFmtId="0" fontId="48" fillId="14" borderId="7" xfId="0" quotePrefix="1" applyFont="1" applyFill="1" applyBorder="1" applyAlignment="1" applyProtection="1">
      <alignment horizontal="center" vertical="center"/>
      <protection hidden="1"/>
    </xf>
    <xf numFmtId="3" fontId="48" fillId="14" borderId="7" xfId="0" applyNumberFormat="1" applyFont="1" applyFill="1" applyBorder="1" applyAlignment="1" applyProtection="1">
      <alignment horizontal="right" vertical="center"/>
      <protection hidden="1"/>
    </xf>
    <xf numFmtId="3" fontId="45" fillId="14" borderId="7" xfId="0" applyNumberFormat="1" applyFont="1" applyFill="1" applyBorder="1" applyAlignment="1" applyProtection="1">
      <alignment horizontal="right" vertical="center"/>
      <protection hidden="1"/>
    </xf>
    <xf numFmtId="0" fontId="9" fillId="0" borderId="16" xfId="0" applyFont="1" applyBorder="1" applyAlignment="1" applyProtection="1">
      <alignment horizontal="center"/>
      <protection hidden="1"/>
    </xf>
    <xf numFmtId="0" fontId="24" fillId="0" borderId="16" xfId="0" applyFont="1" applyBorder="1" applyAlignment="1" applyProtection="1">
      <alignment horizontal="center"/>
      <protection hidden="1"/>
    </xf>
    <xf numFmtId="0" fontId="24" fillId="0" borderId="16" xfId="0" quotePrefix="1" applyFont="1" applyBorder="1" applyAlignment="1" applyProtection="1">
      <alignment horizontal="center"/>
      <protection hidden="1"/>
    </xf>
    <xf numFmtId="3" fontId="9" fillId="0" borderId="16" xfId="0" applyNumberFormat="1" applyFont="1" applyBorder="1" applyAlignment="1" applyProtection="1">
      <alignment horizontal="right"/>
      <protection hidden="1"/>
    </xf>
    <xf numFmtId="0" fontId="9" fillId="0" borderId="0" xfId="0" applyFont="1" applyAlignment="1" applyProtection="1">
      <alignment horizontal="left"/>
      <protection hidden="1"/>
    </xf>
    <xf numFmtId="0" fontId="148" fillId="0" borderId="0" xfId="0" applyFont="1" applyAlignment="1" applyProtection="1">
      <protection hidden="1"/>
    </xf>
    <xf numFmtId="0" fontId="148" fillId="0" borderId="0" xfId="0" applyFont="1" applyAlignment="1" applyProtection="1">
      <alignment horizontal="left"/>
      <protection hidden="1"/>
    </xf>
    <xf numFmtId="0" fontId="9" fillId="0" borderId="0" xfId="0" applyFont="1" applyAlignment="1" applyProtection="1">
      <alignment horizontal="center"/>
      <protection hidden="1"/>
    </xf>
    <xf numFmtId="3" fontId="9" fillId="0" borderId="0" xfId="0" applyNumberFormat="1" applyFont="1" applyAlignment="1" applyProtection="1">
      <alignment horizontal="center"/>
      <protection hidden="1"/>
    </xf>
    <xf numFmtId="3" fontId="10" fillId="0" borderId="0" xfId="0" applyNumberFormat="1" applyFont="1" applyProtection="1">
      <protection hidden="1"/>
    </xf>
    <xf numFmtId="0" fontId="36" fillId="0" borderId="0" xfId="0" applyFont="1" applyAlignment="1" applyProtection="1">
      <alignment horizontal="left"/>
      <protection hidden="1"/>
    </xf>
    <xf numFmtId="3" fontId="18" fillId="0" borderId="0" xfId="0" applyNumberFormat="1" applyFont="1" applyAlignment="1" applyProtection="1">
      <protection hidden="1"/>
    </xf>
    <xf numFmtId="3" fontId="36" fillId="0" borderId="0" xfId="0" applyNumberFormat="1" applyFont="1" applyAlignment="1" applyProtection="1">
      <alignment horizontal="right"/>
      <protection hidden="1"/>
    </xf>
    <xf numFmtId="0" fontId="12" fillId="0" borderId="0" xfId="0" applyFont="1" applyProtection="1">
      <protection hidden="1"/>
    </xf>
    <xf numFmtId="3" fontId="11" fillId="0" borderId="0" xfId="0" applyNumberFormat="1" applyFont="1" applyProtection="1">
      <protection hidden="1"/>
    </xf>
    <xf numFmtId="3" fontId="151" fillId="11" borderId="0" xfId="0" applyNumberFormat="1" applyFont="1" applyFill="1" applyProtection="1">
      <protection hidden="1"/>
    </xf>
    <xf numFmtId="0" fontId="11" fillId="0" borderId="0" xfId="0" applyFont="1" applyAlignment="1" applyProtection="1">
      <alignment horizontal="left"/>
      <protection hidden="1"/>
    </xf>
    <xf numFmtId="0" fontId="137" fillId="0" borderId="0" xfId="0" applyFont="1" applyAlignment="1" applyProtection="1">
      <protection hidden="1"/>
    </xf>
    <xf numFmtId="0" fontId="141" fillId="0" borderId="6" xfId="0" applyFont="1" applyBorder="1" applyAlignment="1" applyProtection="1">
      <alignment horizontal="center"/>
      <protection hidden="1"/>
    </xf>
    <xf numFmtId="3" fontId="141" fillId="0" borderId="6" xfId="0" applyNumberFormat="1" applyFont="1" applyBorder="1" applyAlignment="1" applyProtection="1">
      <alignment horizontal="center"/>
      <protection hidden="1"/>
    </xf>
    <xf numFmtId="0" fontId="25" fillId="0" borderId="6" xfId="0" applyFont="1" applyBorder="1" applyAlignment="1" applyProtection="1">
      <alignment horizontal="center"/>
      <protection hidden="1"/>
    </xf>
    <xf numFmtId="3" fontId="10" fillId="0" borderId="12" xfId="0" quotePrefix="1" applyNumberFormat="1" applyFont="1" applyBorder="1" applyAlignment="1" applyProtection="1">
      <alignment horizontal="center"/>
      <protection hidden="1"/>
    </xf>
    <xf numFmtId="3" fontId="10" fillId="0" borderId="12" xfId="0" applyNumberFormat="1" applyFont="1" applyBorder="1" applyProtection="1">
      <protection hidden="1"/>
    </xf>
    <xf numFmtId="2" fontId="12" fillId="0" borderId="12" xfId="0" applyNumberFormat="1" applyFont="1" applyBorder="1" applyProtection="1">
      <protection hidden="1"/>
    </xf>
    <xf numFmtId="3" fontId="11" fillId="0" borderId="12" xfId="0" applyNumberFormat="1" applyFont="1" applyBorder="1" applyAlignment="1" applyProtection="1">
      <alignment horizontal="center"/>
      <protection hidden="1"/>
    </xf>
    <xf numFmtId="0" fontId="11" fillId="0" borderId="12" xfId="0" applyNumberFormat="1" applyFont="1" applyBorder="1" applyAlignment="1" applyProtection="1">
      <alignment horizontal="center"/>
      <protection hidden="1"/>
    </xf>
    <xf numFmtId="3" fontId="11" fillId="0" borderId="12" xfId="0" quotePrefix="1" applyNumberFormat="1" applyFont="1" applyBorder="1" applyAlignment="1" applyProtection="1">
      <alignment horizontal="center"/>
      <protection hidden="1"/>
    </xf>
    <xf numFmtId="3" fontId="11" fillId="0" borderId="12" xfId="0" applyNumberFormat="1" applyFont="1" applyBorder="1" applyProtection="1">
      <protection hidden="1"/>
    </xf>
    <xf numFmtId="0" fontId="11" fillId="0" borderId="13" xfId="0" applyFont="1" applyBorder="1" applyAlignment="1" applyProtection="1">
      <alignment horizontal="center"/>
      <protection hidden="1"/>
    </xf>
    <xf numFmtId="0" fontId="11" fillId="0" borderId="13" xfId="0" quotePrefix="1" applyFont="1" applyBorder="1" applyAlignment="1" applyProtection="1">
      <alignment horizontal="center"/>
      <protection hidden="1"/>
    </xf>
    <xf numFmtId="3" fontId="11" fillId="0" borderId="13" xfId="0" applyNumberFormat="1" applyFont="1" applyBorder="1" applyProtection="1">
      <protection hidden="1"/>
    </xf>
    <xf numFmtId="3" fontId="9" fillId="0" borderId="6" xfId="0" applyNumberFormat="1" applyFont="1" applyBorder="1" applyProtection="1">
      <protection hidden="1"/>
    </xf>
    <xf numFmtId="3" fontId="135" fillId="0" borderId="6" xfId="0" applyNumberFormat="1" applyFont="1" applyBorder="1" applyProtection="1">
      <protection hidden="1"/>
    </xf>
    <xf numFmtId="3" fontId="9" fillId="0" borderId="32" xfId="0" applyNumberFormat="1" applyFont="1" applyBorder="1" applyAlignment="1" applyProtection="1">
      <protection hidden="1"/>
    </xf>
    <xf numFmtId="3" fontId="9" fillId="0" borderId="16" xfId="0" applyNumberFormat="1" applyFont="1" applyBorder="1" applyAlignment="1" applyProtection="1">
      <protection hidden="1"/>
    </xf>
    <xf numFmtId="3" fontId="9" fillId="0" borderId="31" xfId="0" applyNumberFormat="1" applyFont="1" applyBorder="1" applyAlignment="1" applyProtection="1">
      <protection hidden="1"/>
    </xf>
    <xf numFmtId="3" fontId="10" fillId="0" borderId="7" xfId="0" applyNumberFormat="1" applyFont="1" applyBorder="1" applyAlignment="1" applyProtection="1">
      <alignment horizontal="center"/>
      <protection hidden="1"/>
    </xf>
    <xf numFmtId="3" fontId="10" fillId="0" borderId="7" xfId="0" quotePrefix="1" applyNumberFormat="1" applyFont="1" applyBorder="1" applyAlignment="1" applyProtection="1">
      <alignment horizontal="center"/>
      <protection hidden="1"/>
    </xf>
    <xf numFmtId="3" fontId="10" fillId="0" borderId="7" xfId="0" applyNumberFormat="1" applyFont="1" applyBorder="1" applyProtection="1">
      <protection hidden="1"/>
    </xf>
    <xf numFmtId="2" fontId="10" fillId="0" borderId="7" xfId="0" applyNumberFormat="1" applyFont="1" applyBorder="1" applyProtection="1">
      <protection hidden="1"/>
    </xf>
    <xf numFmtId="3" fontId="10" fillId="0" borderId="12" xfId="0" applyNumberFormat="1" applyFont="1" applyBorder="1" applyAlignment="1" applyProtection="1">
      <alignment horizontal="center"/>
      <protection hidden="1"/>
    </xf>
    <xf numFmtId="2" fontId="9" fillId="0" borderId="12" xfId="0" applyNumberFormat="1" applyFont="1" applyBorder="1" applyProtection="1">
      <protection hidden="1"/>
    </xf>
    <xf numFmtId="0" fontId="9" fillId="0" borderId="12" xfId="0" applyFont="1" applyBorder="1" applyAlignment="1" applyProtection="1">
      <alignment horizontal="center"/>
      <protection hidden="1"/>
    </xf>
    <xf numFmtId="3" fontId="9" fillId="0" borderId="12" xfId="0" applyNumberFormat="1" applyFont="1" applyBorder="1" applyProtection="1">
      <protection hidden="1"/>
    </xf>
    <xf numFmtId="0" fontId="9" fillId="0" borderId="13" xfId="0" applyFont="1" applyBorder="1" applyAlignment="1" applyProtection="1">
      <alignment horizontal="center"/>
      <protection hidden="1"/>
    </xf>
    <xf numFmtId="3" fontId="9" fillId="0" borderId="13" xfId="0" applyNumberFormat="1" applyFont="1" applyBorder="1" applyAlignment="1" applyProtection="1">
      <protection hidden="1"/>
    </xf>
    <xf numFmtId="3" fontId="33" fillId="0" borderId="0" xfId="0" applyNumberFormat="1" applyFont="1" applyProtection="1">
      <protection hidden="1"/>
    </xf>
    <xf numFmtId="0" fontId="120" fillId="0" borderId="0" xfId="0" applyFont="1" applyBorder="1" applyAlignment="1" applyProtection="1">
      <alignment horizontal="left"/>
      <protection hidden="1"/>
    </xf>
    <xf numFmtId="0" fontId="148" fillId="0" borderId="0" xfId="0" applyFont="1" applyProtection="1">
      <protection hidden="1"/>
    </xf>
    <xf numFmtId="3" fontId="9" fillId="0" borderId="0" xfId="0" applyNumberFormat="1" applyFont="1" applyAlignment="1" applyProtection="1">
      <protection hidden="1"/>
    </xf>
    <xf numFmtId="0" fontId="44" fillId="0" borderId="6" xfId="107" applyFont="1" applyFill="1" applyBorder="1" applyAlignment="1">
      <alignment horizontal="left" vertical="center" wrapText="1"/>
    </xf>
    <xf numFmtId="0" fontId="45" fillId="0" borderId="12" xfId="107" applyFont="1" applyFill="1" applyBorder="1" applyAlignment="1">
      <alignment horizontal="left" vertical="center" wrapText="1"/>
    </xf>
    <xf numFmtId="0" fontId="46" fillId="0" borderId="12" xfId="107" applyFont="1" applyFill="1" applyBorder="1" applyAlignment="1">
      <alignment horizontal="left" vertical="center" wrapText="1"/>
    </xf>
    <xf numFmtId="0" fontId="48" fillId="0" borderId="12" xfId="107" applyFont="1" applyFill="1" applyBorder="1" applyAlignment="1">
      <alignment horizontal="left" vertical="center" wrapText="1"/>
    </xf>
    <xf numFmtId="0" fontId="48" fillId="0" borderId="13" xfId="107" applyFont="1" applyFill="1" applyBorder="1" applyAlignment="1">
      <alignment horizontal="left" vertical="center" wrapText="1"/>
    </xf>
    <xf numFmtId="0" fontId="45" fillId="0" borderId="14" xfId="107" applyFont="1" applyFill="1" applyBorder="1" applyAlignment="1">
      <alignment horizontal="left" vertical="center" wrapText="1"/>
    </xf>
    <xf numFmtId="0" fontId="48" fillId="0" borderId="29" xfId="107" applyFont="1" applyFill="1" applyBorder="1" applyAlignment="1">
      <alignment horizontal="left" vertical="center" wrapText="1"/>
    </xf>
    <xf numFmtId="0" fontId="46" fillId="0" borderId="7" xfId="107" applyFont="1" applyFill="1" applyBorder="1" applyAlignment="1">
      <alignment horizontal="left" vertical="center" wrapText="1"/>
    </xf>
    <xf numFmtId="0" fontId="12" fillId="0" borderId="12" xfId="107" applyFont="1" applyBorder="1" applyAlignment="1">
      <alignment horizontal="left" vertical="center" wrapText="1"/>
    </xf>
    <xf numFmtId="0" fontId="24" fillId="0" borderId="12" xfId="107" applyFont="1" applyBorder="1" applyAlignment="1">
      <alignment horizontal="left" vertical="center" wrapText="1"/>
    </xf>
    <xf numFmtId="0" fontId="11" fillId="0" borderId="12" xfId="107" applyFont="1" applyBorder="1" applyAlignment="1">
      <alignment horizontal="left" vertical="center" wrapText="1"/>
    </xf>
    <xf numFmtId="0" fontId="33" fillId="0" borderId="6" xfId="0" applyFont="1" applyBorder="1"/>
    <xf numFmtId="1" fontId="33" fillId="0" borderId="6" xfId="0" applyNumberFormat="1" applyFont="1" applyBorder="1" applyAlignment="1">
      <alignment horizontal="center" vertical="center"/>
    </xf>
    <xf numFmtId="0" fontId="33" fillId="0" borderId="6" xfId="0" applyFont="1" applyBorder="1" applyAlignment="1">
      <alignment horizontal="left" vertical="center" wrapText="1"/>
    </xf>
    <xf numFmtId="0" fontId="0" fillId="21" borderId="0" xfId="0" applyFill="1" applyBorder="1" applyAlignment="1" applyProtection="1">
      <alignment horizontal="right" vertical="center"/>
      <protection locked="0"/>
    </xf>
    <xf numFmtId="0" fontId="0" fillId="21" borderId="0" xfId="0" applyFill="1" applyBorder="1" applyAlignment="1" applyProtection="1">
      <alignment horizontal="left" vertical="center"/>
      <protection locked="0"/>
    </xf>
    <xf numFmtId="0" fontId="0" fillId="25" borderId="0" xfId="0" applyFill="1" applyBorder="1" applyAlignment="1" applyProtection="1">
      <alignment horizontal="right" vertical="center"/>
      <protection locked="0"/>
    </xf>
    <xf numFmtId="0" fontId="0" fillId="25" borderId="0" xfId="0" applyFill="1" applyBorder="1" applyAlignment="1" applyProtection="1">
      <alignment horizontal="left" vertical="center"/>
      <protection locked="0"/>
    </xf>
    <xf numFmtId="3" fontId="153" fillId="0" borderId="6" xfId="0" applyNumberFormat="1" applyFont="1" applyBorder="1" applyAlignment="1">
      <alignment vertical="center" wrapText="1"/>
    </xf>
    <xf numFmtId="3" fontId="33" fillId="0" borderId="6" xfId="0" applyNumberFormat="1" applyFont="1" applyBorder="1" applyAlignment="1">
      <alignment horizontal="right" vertical="center"/>
    </xf>
    <xf numFmtId="3" fontId="33" fillId="0" borderId="6" xfId="0" applyNumberFormat="1" applyFont="1" applyBorder="1"/>
    <xf numFmtId="0" fontId="153" fillId="0" borderId="6" xfId="0" applyFont="1" applyBorder="1" applyAlignment="1">
      <alignment vertical="center" wrapText="1"/>
    </xf>
    <xf numFmtId="0" fontId="15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14" borderId="6" xfId="0" applyNumberFormat="1" applyFont="1" applyFill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3" fillId="0" borderId="6" xfId="0" applyFont="1" applyBorder="1" applyAlignment="1">
      <alignment wrapText="1"/>
    </xf>
    <xf numFmtId="38" fontId="9" fillId="12" borderId="6" xfId="65" applyNumberFormat="1" applyFont="1" applyFill="1" applyBorder="1" applyAlignment="1" applyProtection="1">
      <alignment horizontal="center" vertical="center"/>
      <protection locked="0"/>
    </xf>
    <xf numFmtId="49" fontId="25" fillId="19" borderId="24" xfId="65" applyNumberFormat="1" applyFont="1" applyFill="1" applyBorder="1" applyAlignment="1" applyProtection="1">
      <alignment horizontal="center" vertical="center"/>
      <protection locked="0"/>
    </xf>
    <xf numFmtId="3" fontId="20" fillId="12" borderId="26" xfId="65" applyNumberFormat="1" applyFont="1" applyFill="1" applyBorder="1" applyAlignment="1" applyProtection="1">
      <alignment horizontal="left" vertical="center" wrapText="1"/>
      <protection locked="0"/>
    </xf>
    <xf numFmtId="38" fontId="9" fillId="7" borderId="6" xfId="65" applyNumberFormat="1" applyFont="1" applyFill="1" applyBorder="1" applyAlignment="1" applyProtection="1">
      <alignment horizontal="center" vertical="center"/>
      <protection locked="0"/>
    </xf>
    <xf numFmtId="38" fontId="9" fillId="13" borderId="6" xfId="65" applyNumberFormat="1" applyFont="1" applyFill="1" applyBorder="1" applyAlignment="1" applyProtection="1">
      <alignment horizontal="center" vertical="center"/>
      <protection locked="0"/>
    </xf>
    <xf numFmtId="38" fontId="9" fillId="14" borderId="6" xfId="65" applyNumberFormat="1" applyFont="1" applyFill="1" applyBorder="1" applyAlignment="1" applyProtection="1">
      <alignment horizontal="center" vertical="center"/>
      <protection locked="0"/>
    </xf>
    <xf numFmtId="38" fontId="9" fillId="25" borderId="6" xfId="65" applyNumberFormat="1" applyFont="1" applyFill="1" applyBorder="1" applyAlignment="1" applyProtection="1">
      <alignment horizontal="center" vertical="center"/>
      <protection locked="0"/>
    </xf>
    <xf numFmtId="0" fontId="24" fillId="19" borderId="30" xfId="0" applyFont="1" applyFill="1" applyBorder="1" applyAlignment="1" applyProtection="1">
      <alignment horizontal="center" vertical="center"/>
      <protection locked="0"/>
    </xf>
    <xf numFmtId="49" fontId="25" fillId="19" borderId="24" xfId="65" applyNumberFormat="1" applyFont="1" applyFill="1" applyBorder="1" applyAlignment="1" applyProtection="1">
      <alignment horizontal="left" vertical="center"/>
      <protection locked="0"/>
    </xf>
    <xf numFmtId="49" fontId="25" fillId="25" borderId="24" xfId="65" applyNumberFormat="1" applyFont="1" applyFill="1" applyBorder="1" applyAlignment="1" applyProtection="1">
      <alignment horizontal="center" vertical="center"/>
      <protection locked="0"/>
    </xf>
    <xf numFmtId="38" fontId="25" fillId="19" borderId="30" xfId="65" applyNumberFormat="1" applyFont="1" applyFill="1" applyBorder="1" applyAlignment="1" applyProtection="1">
      <alignment horizontal="right" vertical="center"/>
      <protection hidden="1"/>
    </xf>
    <xf numFmtId="38" fontId="25" fillId="19" borderId="24" xfId="65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protection locked="0"/>
    </xf>
    <xf numFmtId="0" fontId="22" fillId="23" borderId="0" xfId="0" applyFont="1" applyFill="1" applyAlignment="1" applyProtection="1">
      <alignment wrapText="1"/>
      <protection hidden="1"/>
    </xf>
    <xf numFmtId="0" fontId="26" fillId="0" borderId="0" xfId="0" applyFont="1" applyAlignment="1" applyProtection="1">
      <alignment horizontal="center" wrapText="1"/>
      <protection hidden="1"/>
    </xf>
    <xf numFmtId="0" fontId="26" fillId="0" borderId="0" xfId="0" applyFont="1" applyAlignment="1" applyProtection="1">
      <alignment wrapText="1"/>
      <protection hidden="1"/>
    </xf>
    <xf numFmtId="0" fontId="21" fillId="0" borderId="6" xfId="0" applyFont="1" applyFill="1" applyBorder="1" applyAlignment="1" applyProtection="1">
      <alignment horizontal="center" wrapText="1"/>
      <protection hidden="1"/>
    </xf>
    <xf numFmtId="0" fontId="22" fillId="0" borderId="25" xfId="0" applyFont="1" applyFill="1" applyBorder="1" applyAlignment="1" applyProtection="1">
      <alignment horizontal="center" vertical="center" wrapText="1"/>
      <protection hidden="1"/>
    </xf>
    <xf numFmtId="0" fontId="22" fillId="0" borderId="25" xfId="0" applyNumberFormat="1" applyFont="1" applyFill="1" applyBorder="1" applyAlignment="1" applyProtection="1">
      <alignment horizontal="center" vertical="center" wrapText="1"/>
      <protection locked="0"/>
    </xf>
    <xf numFmtId="3" fontId="20" fillId="0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0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0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13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13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13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14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14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14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21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21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21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25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25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25" borderId="25" xfId="65" applyNumberFormat="1" applyFont="1" applyFill="1" applyBorder="1" applyAlignment="1" applyProtection="1">
      <alignment horizontal="right" vertical="center" wrapText="1"/>
      <protection locked="0"/>
    </xf>
    <xf numFmtId="3" fontId="118" fillId="0" borderId="26" xfId="65" applyNumberFormat="1" applyFont="1" applyFill="1" applyBorder="1" applyAlignment="1" applyProtection="1">
      <alignment horizontal="right" vertical="center" wrapText="1"/>
      <protection hidden="1"/>
    </xf>
    <xf numFmtId="3" fontId="20" fillId="16" borderId="25" xfId="65" applyNumberFormat="1" applyFont="1" applyFill="1" applyBorder="1" applyAlignment="1" applyProtection="1">
      <alignment horizontal="left" vertical="center" wrapText="1"/>
      <protection hidden="1"/>
    </xf>
    <xf numFmtId="0" fontId="22" fillId="0" borderId="0" xfId="0" applyFont="1" applyFill="1" applyAlignment="1" applyProtection="1">
      <alignment wrapText="1"/>
      <protection locked="0"/>
    </xf>
    <xf numFmtId="0" fontId="22" fillId="0" borderId="26" xfId="0" applyNumberFormat="1" applyFont="1" applyFill="1" applyBorder="1" applyAlignment="1" applyProtection="1">
      <alignment horizontal="center" vertical="center" wrapText="1"/>
      <protection locked="0"/>
    </xf>
    <xf numFmtId="3" fontId="20" fillId="0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13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14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21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25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16" borderId="26" xfId="65" applyNumberFormat="1" applyFont="1" applyFill="1" applyBorder="1" applyAlignment="1" applyProtection="1">
      <alignment horizontal="left" vertical="center" wrapText="1"/>
      <protection hidden="1"/>
    </xf>
    <xf numFmtId="0" fontId="21" fillId="0" borderId="0" xfId="0" applyFont="1" applyFill="1" applyAlignment="1" applyProtection="1">
      <alignment wrapText="1"/>
      <protection locked="0"/>
    </xf>
    <xf numFmtId="3" fontId="20" fillId="16" borderId="26" xfId="65" applyNumberFormat="1" applyFont="1" applyFill="1" applyBorder="1" applyAlignment="1" applyProtection="1">
      <alignment horizontal="center" vertical="center" wrapText="1"/>
      <protection hidden="1"/>
    </xf>
    <xf numFmtId="0" fontId="21" fillId="11" borderId="0" xfId="0" applyFont="1" applyFill="1" applyAlignment="1" applyProtection="1">
      <alignment wrapText="1"/>
      <protection locked="0"/>
    </xf>
    <xf numFmtId="0" fontId="21" fillId="20" borderId="0" xfId="0" applyFont="1" applyFill="1" applyAlignment="1" applyProtection="1">
      <alignment wrapText="1"/>
      <protection locked="0"/>
    </xf>
    <xf numFmtId="3" fontId="20" fillId="12" borderId="26" xfId="65" applyNumberFormat="1" applyFont="1" applyFill="1" applyBorder="1" applyAlignment="1" applyProtection="1">
      <alignment horizontal="right" vertical="center" wrapText="1"/>
      <protection locked="0"/>
    </xf>
    <xf numFmtId="0" fontId="22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173" fontId="22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22" fillId="21" borderId="25" xfId="0" applyNumberFormat="1" applyFont="1" applyFill="1" applyBorder="1" applyAlignment="1" applyProtection="1">
      <alignment horizontal="justify" vertical="center" wrapText="1"/>
      <protection locked="0"/>
    </xf>
    <xf numFmtId="0" fontId="22" fillId="0" borderId="25" xfId="0" applyFont="1" applyFill="1" applyBorder="1" applyAlignment="1" applyProtection="1">
      <alignment vertical="center" wrapText="1"/>
      <protection locked="0"/>
    </xf>
    <xf numFmtId="3" fontId="22" fillId="0" borderId="25" xfId="0" applyNumberFormat="1" applyFont="1" applyFill="1" applyBorder="1" applyAlignment="1" applyProtection="1">
      <alignment vertical="center" wrapText="1"/>
      <protection locked="0"/>
    </xf>
    <xf numFmtId="3" fontId="20" fillId="16" borderId="25" xfId="65" applyNumberFormat="1" applyFont="1" applyFill="1" applyBorder="1" applyAlignment="1" applyProtection="1">
      <alignment horizontal="center" vertical="center" wrapText="1"/>
      <protection hidden="1"/>
    </xf>
    <xf numFmtId="0" fontId="22" fillId="0" borderId="26" xfId="0" applyFont="1" applyFill="1" applyBorder="1" applyAlignment="1" applyProtection="1">
      <alignment vertical="center" wrapText="1"/>
      <protection locked="0"/>
    </xf>
    <xf numFmtId="3" fontId="22" fillId="0" borderId="26" xfId="0" applyNumberFormat="1" applyFont="1" applyFill="1" applyBorder="1" applyAlignment="1" applyProtection="1">
      <alignment vertical="center" wrapText="1"/>
      <protection locked="0"/>
    </xf>
    <xf numFmtId="173" fontId="21" fillId="20" borderId="26" xfId="0" applyNumberFormat="1" applyFont="1" applyFill="1" applyBorder="1" applyAlignment="1" applyProtection="1">
      <alignment horizontal="center" vertical="center" wrapText="1"/>
      <protection locked="0"/>
    </xf>
    <xf numFmtId="0" fontId="22" fillId="11" borderId="26" xfId="0" applyFont="1" applyFill="1" applyBorder="1" applyAlignment="1" applyProtection="1">
      <alignment vertical="center" wrapText="1"/>
      <protection locked="0"/>
    </xf>
    <xf numFmtId="173" fontId="21" fillId="0" borderId="26" xfId="0" applyNumberFormat="1" applyFont="1" applyFill="1" applyBorder="1" applyAlignment="1" applyProtection="1">
      <alignment horizontal="center" vertical="center" wrapText="1"/>
      <protection locked="0"/>
    </xf>
    <xf numFmtId="173" fontId="22" fillId="11" borderId="26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9" fillId="0" borderId="0" xfId="0" applyFont="1" applyAlignment="1" applyProtection="1">
      <alignment horizontal="right" vertical="center"/>
      <protection hidden="1"/>
    </xf>
    <xf numFmtId="38" fontId="12" fillId="7" borderId="6" xfId="65" applyNumberFormat="1" applyFont="1" applyFill="1" applyBorder="1" applyAlignment="1" applyProtection="1">
      <alignment horizontal="center" vertical="center" wrapText="1"/>
      <protection hidden="1"/>
    </xf>
    <xf numFmtId="3" fontId="155" fillId="16" borderId="25" xfId="65" applyNumberFormat="1" applyFont="1" applyFill="1" applyBorder="1" applyAlignment="1" applyProtection="1">
      <alignment horizontal="right" vertical="center"/>
      <protection locked="0"/>
    </xf>
    <xf numFmtId="0" fontId="138" fillId="0" borderId="0" xfId="65" applyNumberFormat="1" applyFont="1" applyFill="1" applyBorder="1" applyAlignment="1" applyProtection="1">
      <alignment vertical="center"/>
      <protection locked="0"/>
    </xf>
    <xf numFmtId="0" fontId="157" fillId="0" borderId="0" xfId="164" applyFont="1" applyProtection="1">
      <protection locked="0"/>
    </xf>
    <xf numFmtId="0" fontId="127" fillId="0" borderId="0" xfId="164" applyFont="1" applyAlignment="1" applyProtection="1">
      <alignment horizontal="left" vertical="top"/>
      <protection locked="0"/>
    </xf>
    <xf numFmtId="0" fontId="128" fillId="0" borderId="0" xfId="164" applyFont="1" applyAlignment="1" applyProtection="1">
      <alignment horizontal="center"/>
      <protection locked="0"/>
    </xf>
    <xf numFmtId="0" fontId="157" fillId="0" borderId="0" xfId="164" applyFont="1" applyFill="1" applyProtection="1">
      <protection locked="0"/>
    </xf>
    <xf numFmtId="0" fontId="154" fillId="0" borderId="0" xfId="164" applyFont="1" applyAlignment="1" applyProtection="1">
      <alignment horizontal="center"/>
      <protection hidden="1"/>
    </xf>
    <xf numFmtId="0" fontId="12" fillId="10" borderId="46" xfId="164" applyFont="1" applyFill="1" applyBorder="1" applyAlignment="1" applyProtection="1">
      <alignment horizontal="center" vertical="center" wrapText="1"/>
      <protection hidden="1"/>
    </xf>
    <xf numFmtId="0" fontId="12" fillId="10" borderId="30" xfId="164" applyFont="1" applyFill="1" applyBorder="1" applyAlignment="1" applyProtection="1">
      <alignment horizontal="center" vertical="center" wrapText="1"/>
      <protection hidden="1"/>
    </xf>
    <xf numFmtId="0" fontId="159" fillId="10" borderId="30" xfId="164" applyFont="1" applyFill="1" applyBorder="1" applyAlignment="1" applyProtection="1">
      <alignment horizontal="center" vertical="center" wrapText="1"/>
      <protection hidden="1"/>
    </xf>
    <xf numFmtId="0" fontId="12" fillId="10" borderId="30" xfId="164" applyFont="1" applyFill="1" applyBorder="1" applyAlignment="1" applyProtection="1">
      <alignment vertical="center" wrapText="1"/>
      <protection locked="0"/>
    </xf>
    <xf numFmtId="0" fontId="12" fillId="10" borderId="30" xfId="164" applyFont="1" applyFill="1" applyBorder="1" applyAlignment="1" applyProtection="1">
      <alignment horizontal="center" vertical="center" wrapText="1"/>
      <protection locked="0"/>
    </xf>
    <xf numFmtId="171" fontId="12" fillId="10" borderId="30" xfId="164" applyNumberFormat="1" applyFont="1" applyFill="1" applyBorder="1" applyAlignment="1" applyProtection="1">
      <alignment horizontal="center" vertical="center" wrapText="1"/>
      <protection locked="0"/>
    </xf>
    <xf numFmtId="171" fontId="158" fillId="10" borderId="30" xfId="164" applyNumberFormat="1" applyFont="1" applyFill="1" applyBorder="1" applyAlignment="1" applyProtection="1">
      <alignment horizontal="center" vertical="center" wrapText="1"/>
      <protection locked="0"/>
    </xf>
    <xf numFmtId="0" fontId="48" fillId="0" borderId="14" xfId="164" applyFont="1" applyFill="1" applyBorder="1" applyAlignment="1" applyProtection="1">
      <alignment horizontal="center" vertical="center"/>
      <protection hidden="1"/>
    </xf>
    <xf numFmtId="0" fontId="11" fillId="0" borderId="14" xfId="164" applyFont="1" applyBorder="1" applyAlignment="1" applyProtection="1">
      <alignment horizontal="center" vertical="center" wrapText="1"/>
      <protection hidden="1"/>
    </xf>
    <xf numFmtId="194" fontId="11" fillId="0" borderId="14" xfId="164" applyNumberFormat="1" applyFont="1" applyBorder="1" applyAlignment="1" applyProtection="1">
      <alignment horizontal="center" vertical="center" wrapText="1"/>
      <protection locked="0"/>
    </xf>
    <xf numFmtId="0" fontId="11" fillId="0" borderId="14" xfId="164" applyFont="1" applyBorder="1" applyAlignment="1" applyProtection="1">
      <alignment vertical="center" wrapText="1"/>
      <protection locked="0"/>
    </xf>
    <xf numFmtId="171" fontId="11" fillId="0" borderId="47" xfId="65" applyNumberFormat="1" applyFont="1" applyBorder="1" applyAlignment="1" applyProtection="1">
      <alignment vertical="center" wrapText="1"/>
      <protection locked="0"/>
    </xf>
    <xf numFmtId="171" fontId="158" fillId="0" borderId="47" xfId="65" applyNumberFormat="1" applyFont="1" applyBorder="1" applyAlignment="1" applyProtection="1">
      <alignment horizontal="center" vertical="center" wrapText="1"/>
      <protection locked="0" hidden="1"/>
    </xf>
    <xf numFmtId="0" fontId="15" fillId="0" borderId="0" xfId="164" applyFont="1" applyFill="1" applyProtection="1">
      <protection locked="0"/>
    </xf>
    <xf numFmtId="0" fontId="2" fillId="0" borderId="0" xfId="164" applyFont="1" applyFill="1" applyProtection="1">
      <protection locked="0"/>
    </xf>
    <xf numFmtId="0" fontId="10" fillId="0" borderId="0" xfId="0" applyFont="1"/>
    <xf numFmtId="0" fontId="161" fillId="0" borderId="0" xfId="0" applyFont="1" applyFill="1" applyAlignment="1" applyProtection="1">
      <alignment vertical="center"/>
      <protection locked="0" hidden="1"/>
    </xf>
    <xf numFmtId="38" fontId="162" fillId="0" borderId="0" xfId="0" applyNumberFormat="1" applyFont="1" applyFill="1" applyAlignment="1" applyProtection="1">
      <alignment horizontal="center" vertical="center"/>
      <protection hidden="1"/>
    </xf>
    <xf numFmtId="38" fontId="163" fillId="0" borderId="0" xfId="0" applyNumberFormat="1" applyFont="1" applyFill="1" applyAlignment="1" applyProtection="1">
      <alignment horizontal="center" vertical="center"/>
      <protection hidden="1"/>
    </xf>
    <xf numFmtId="173" fontId="164" fillId="0" borderId="0" xfId="0" applyNumberFormat="1" applyFont="1" applyFill="1" applyBorder="1" applyAlignment="1" applyProtection="1">
      <alignment vertical="center"/>
      <protection hidden="1"/>
    </xf>
    <xf numFmtId="3" fontId="2" fillId="0" borderId="0" xfId="0" applyNumberFormat="1" applyFont="1" applyFill="1" applyBorder="1" applyAlignment="1" applyProtection="1">
      <alignment vertical="center"/>
      <protection hidden="1"/>
    </xf>
    <xf numFmtId="38" fontId="165" fillId="0" borderId="0" xfId="0" applyNumberFormat="1" applyFont="1" applyFill="1" applyAlignment="1" applyProtection="1">
      <alignment horizontal="center" vertical="center"/>
      <protection hidden="1"/>
    </xf>
    <xf numFmtId="3" fontId="2" fillId="0" borderId="0" xfId="0" applyNumberFormat="1" applyFont="1" applyFill="1" applyAlignment="1" applyProtection="1">
      <alignment vertical="center"/>
      <protection hidden="1"/>
    </xf>
    <xf numFmtId="0" fontId="166" fillId="0" borderId="0" xfId="0" applyFont="1" applyFill="1" applyAlignment="1" applyProtection="1">
      <alignment vertical="center"/>
      <protection locked="0" hidden="1"/>
    </xf>
    <xf numFmtId="0" fontId="0" fillId="0" borderId="0" xfId="0" applyFill="1" applyAlignment="1" applyProtection="1">
      <alignment vertical="center"/>
      <protection hidden="1"/>
    </xf>
    <xf numFmtId="0" fontId="9" fillId="7" borderId="6" xfId="0" applyFont="1" applyFill="1" applyBorder="1" applyAlignment="1" applyProtection="1">
      <alignment horizontal="center" vertical="center" wrapText="1"/>
      <protection hidden="1"/>
    </xf>
    <xf numFmtId="173" fontId="9" fillId="7" borderId="6" xfId="0" applyNumberFormat="1" applyFont="1" applyFill="1" applyBorder="1" applyAlignment="1" applyProtection="1">
      <alignment horizontal="center" vertical="center" wrapText="1"/>
      <protection hidden="1"/>
    </xf>
    <xf numFmtId="3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0" fontId="39" fillId="7" borderId="6" xfId="0" applyFont="1" applyFill="1" applyBorder="1" applyAlignment="1" applyProtection="1">
      <alignment horizontal="center" vertical="center"/>
      <protection hidden="1"/>
    </xf>
    <xf numFmtId="173" fontId="39" fillId="7" borderId="6" xfId="0" applyNumberFormat="1" applyFont="1" applyFill="1" applyBorder="1" applyAlignment="1" applyProtection="1">
      <alignment horizontal="center" vertical="center"/>
      <protection hidden="1"/>
    </xf>
    <xf numFmtId="0" fontId="41" fillId="7" borderId="6" xfId="0" applyFont="1" applyFill="1" applyBorder="1" applyAlignment="1" applyProtection="1">
      <alignment horizontal="right" vertical="center"/>
      <protection hidden="1"/>
    </xf>
    <xf numFmtId="3" fontId="41" fillId="7" borderId="6" xfId="0" applyNumberFormat="1" applyFont="1" applyFill="1" applyBorder="1" applyAlignment="1" applyProtection="1">
      <alignment vertical="center"/>
      <protection hidden="1"/>
    </xf>
    <xf numFmtId="0" fontId="128" fillId="7" borderId="6" xfId="0" applyFont="1" applyFill="1" applyBorder="1" applyAlignment="1" applyProtection="1">
      <alignment horizontal="center" vertical="center" wrapText="1"/>
      <protection hidden="1"/>
    </xf>
    <xf numFmtId="0" fontId="10" fillId="0" borderId="12" xfId="0" applyFont="1" applyFill="1" applyBorder="1" applyAlignment="1" applyProtection="1">
      <alignment horizontal="center" vertical="center" wrapText="1"/>
      <protection hidden="1"/>
    </xf>
    <xf numFmtId="194" fontId="10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12" xfId="0" applyFont="1" applyFill="1" applyBorder="1" applyAlignment="1" applyProtection="1">
      <alignment horizontal="left" vertical="center" wrapText="1"/>
      <protection hidden="1"/>
    </xf>
    <xf numFmtId="3" fontId="10" fillId="0" borderId="12" xfId="0" applyNumberFormat="1" applyFont="1" applyFill="1" applyBorder="1" applyAlignment="1" applyProtection="1">
      <alignment horizontal="right" vertical="center" wrapText="1"/>
      <protection hidden="1"/>
    </xf>
    <xf numFmtId="3" fontId="127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164" fillId="0" borderId="0" xfId="0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38" fontId="163" fillId="0" borderId="0" xfId="0" applyNumberFormat="1" applyFont="1" applyFill="1" applyAlignment="1" applyProtection="1">
      <alignment horizontal="left" vertical="center"/>
      <protection hidden="1"/>
    </xf>
    <xf numFmtId="0" fontId="2" fillId="0" borderId="0" xfId="0" applyFont="1" applyFill="1" applyAlignment="1" applyProtection="1">
      <alignment vertical="center"/>
      <protection hidden="1"/>
    </xf>
    <xf numFmtId="14" fontId="9" fillId="7" borderId="6" xfId="0" applyNumberFormat="1" applyFont="1" applyFill="1" applyBorder="1" applyAlignment="1" applyProtection="1">
      <alignment horizontal="center" vertical="center" wrapText="1"/>
      <protection hidden="1"/>
    </xf>
    <xf numFmtId="38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0" fontId="10" fillId="14" borderId="12" xfId="0" applyFont="1" applyFill="1" applyBorder="1" applyAlignment="1" applyProtection="1">
      <alignment horizontal="center" vertical="center"/>
      <protection hidden="1"/>
    </xf>
    <xf numFmtId="0" fontId="10" fillId="14" borderId="12" xfId="0" applyFont="1" applyFill="1" applyBorder="1" applyAlignment="1" applyProtection="1">
      <alignment horizontal="center" vertical="center" wrapText="1"/>
      <protection hidden="1"/>
    </xf>
    <xf numFmtId="172" fontId="10" fillId="14" borderId="12" xfId="0" applyNumberFormat="1" applyFont="1" applyFill="1" applyBorder="1" applyAlignment="1" applyProtection="1">
      <alignment horizontal="center" vertical="center" wrapText="1"/>
      <protection hidden="1"/>
    </xf>
    <xf numFmtId="0" fontId="10" fillId="14" borderId="12" xfId="0" applyFont="1" applyFill="1" applyBorder="1" applyAlignment="1" applyProtection="1">
      <alignment horizontal="left" vertical="center" wrapText="1"/>
      <protection hidden="1"/>
    </xf>
    <xf numFmtId="0" fontId="10" fillId="14" borderId="14" xfId="0" applyFont="1" applyFill="1" applyBorder="1" applyAlignment="1" applyProtection="1">
      <alignment horizontal="center" vertical="center" wrapText="1"/>
      <protection hidden="1"/>
    </xf>
    <xf numFmtId="38" fontId="10" fillId="14" borderId="14" xfId="65" applyNumberFormat="1" applyFont="1" applyFill="1" applyBorder="1" applyAlignment="1" applyProtection="1">
      <alignment horizontal="right" vertical="center" wrapText="1"/>
      <protection hidden="1"/>
    </xf>
    <xf numFmtId="38" fontId="10" fillId="14" borderId="12" xfId="65" applyNumberFormat="1" applyFont="1" applyFill="1" applyBorder="1" applyAlignment="1" applyProtection="1">
      <alignment horizontal="right" vertical="center" wrapText="1"/>
      <protection hidden="1"/>
    </xf>
    <xf numFmtId="3" fontId="10" fillId="14" borderId="12" xfId="0" applyNumberFormat="1" applyFont="1" applyFill="1" applyBorder="1" applyAlignment="1" applyProtection="1">
      <alignment vertical="center"/>
      <protection hidden="1"/>
    </xf>
    <xf numFmtId="0" fontId="10" fillId="0" borderId="12" xfId="164" applyFont="1" applyFill="1" applyBorder="1" applyAlignment="1" applyProtection="1">
      <alignment horizontal="center" vertical="center" wrapText="1"/>
      <protection hidden="1"/>
    </xf>
    <xf numFmtId="172" fontId="10" fillId="0" borderId="12" xfId="0" applyNumberFormat="1" applyFont="1" applyFill="1" applyBorder="1" applyAlignment="1" applyProtection="1">
      <alignment horizontal="center" vertical="center" wrapText="1"/>
      <protection hidden="1"/>
    </xf>
    <xf numFmtId="38" fontId="10" fillId="0" borderId="12" xfId="65" applyNumberFormat="1" applyFont="1" applyFill="1" applyBorder="1" applyAlignment="1" applyProtection="1">
      <alignment horizontal="right" vertical="center" wrapText="1"/>
      <protection hidden="1"/>
    </xf>
    <xf numFmtId="38" fontId="120" fillId="0" borderId="12" xfId="65" applyNumberFormat="1" applyFont="1" applyFill="1" applyBorder="1" applyAlignment="1" applyProtection="1">
      <alignment horizontal="right" vertical="center" wrapText="1"/>
      <protection hidden="1"/>
    </xf>
    <xf numFmtId="3" fontId="10" fillId="0" borderId="12" xfId="0" applyNumberFormat="1" applyFont="1" applyFill="1" applyBorder="1" applyAlignment="1" applyProtection="1">
      <alignment vertical="center"/>
      <protection hidden="1"/>
    </xf>
    <xf numFmtId="0" fontId="2" fillId="0" borderId="0" xfId="0" applyFont="1" applyProtection="1">
      <protection locked="0"/>
    </xf>
    <xf numFmtId="0" fontId="22" fillId="0" borderId="0" xfId="0" applyFont="1" applyFill="1" applyAlignment="1" applyProtection="1">
      <alignment horizontal="center"/>
      <protection locked="0"/>
    </xf>
    <xf numFmtId="0" fontId="169" fillId="0" borderId="0" xfId="165" applyFont="1" applyFill="1" applyBorder="1" applyAlignment="1" applyProtection="1">
      <alignment vertical="center"/>
      <protection hidden="1"/>
    </xf>
    <xf numFmtId="0" fontId="160" fillId="0" borderId="0" xfId="165" applyFont="1" applyFill="1" applyBorder="1" applyAlignment="1" applyProtection="1">
      <alignment vertical="center"/>
      <protection hidden="1"/>
    </xf>
    <xf numFmtId="0" fontId="150" fillId="0" borderId="0" xfId="165" applyFont="1" applyFill="1" applyBorder="1" applyAlignment="1" applyProtection="1">
      <alignment horizontal="left" vertical="center"/>
      <protection hidden="1"/>
    </xf>
    <xf numFmtId="0" fontId="117" fillId="0" borderId="0" xfId="165" applyFont="1" applyFill="1" applyBorder="1" applyAlignment="1" applyProtection="1">
      <alignment horizontal="justify" vertical="center"/>
      <protection hidden="1"/>
    </xf>
    <xf numFmtId="0" fontId="76" fillId="0" borderId="0" xfId="165" applyFont="1" applyFill="1" applyBorder="1" applyAlignment="1" applyProtection="1">
      <alignment vertical="center"/>
      <protection hidden="1"/>
    </xf>
    <xf numFmtId="0" fontId="5" fillId="0" borderId="0" xfId="165" applyFont="1" applyFill="1" applyBorder="1" applyAlignment="1" applyProtection="1">
      <alignment horizontal="left" vertical="center"/>
      <protection hidden="1"/>
    </xf>
    <xf numFmtId="0" fontId="172" fillId="0" borderId="0" xfId="165" applyFont="1" applyFill="1" applyBorder="1" applyAlignment="1" applyProtection="1">
      <alignment vertical="center"/>
      <protection hidden="1"/>
    </xf>
    <xf numFmtId="0" fontId="117" fillId="0" borderId="0" xfId="165" applyFont="1" applyFill="1" applyBorder="1" applyAlignment="1" applyProtection="1">
      <alignment horizontal="left" vertical="center"/>
      <protection hidden="1"/>
    </xf>
    <xf numFmtId="216" fontId="174" fillId="0" borderId="0" xfId="165" applyNumberFormat="1" applyFont="1" applyFill="1" applyBorder="1" applyAlignment="1" applyProtection="1">
      <alignment vertical="center"/>
      <protection hidden="1"/>
    </xf>
    <xf numFmtId="0" fontId="160" fillId="0" borderId="0" xfId="165" applyFont="1" applyFill="1" applyBorder="1" applyAlignment="1" applyProtection="1">
      <alignment horizontal="left" vertical="center"/>
      <protection hidden="1"/>
    </xf>
    <xf numFmtId="0" fontId="176" fillId="0" borderId="0" xfId="167" applyFont="1" applyFill="1" applyBorder="1" applyAlignment="1" applyProtection="1">
      <alignment vertical="center"/>
      <protection hidden="1"/>
    </xf>
    <xf numFmtId="0" fontId="76" fillId="0" borderId="0" xfId="165" applyFont="1" applyFill="1" applyBorder="1" applyAlignment="1" applyProtection="1">
      <alignment horizontal="left" vertical="center"/>
      <protection hidden="1"/>
    </xf>
    <xf numFmtId="0" fontId="160" fillId="0" borderId="0" xfId="165" applyFont="1" applyFill="1" applyBorder="1" applyAlignment="1" applyProtection="1">
      <alignment horizontal="center" vertical="center"/>
      <protection hidden="1"/>
    </xf>
    <xf numFmtId="0" fontId="11" fillId="0" borderId="12" xfId="0" applyFont="1" applyBorder="1" applyAlignment="1" applyProtection="1">
      <alignment vertical="center" wrapText="1"/>
      <protection locked="0"/>
    </xf>
    <xf numFmtId="0" fontId="10" fillId="0" borderId="0" xfId="0" applyFont="1" applyAlignment="1">
      <alignment vertical="center"/>
    </xf>
    <xf numFmtId="194" fontId="11" fillId="0" borderId="12" xfId="0" applyNumberFormat="1" applyFont="1" applyBorder="1" applyAlignment="1" applyProtection="1">
      <alignment horizontal="center" vertical="center" wrapText="1"/>
      <protection locked="0"/>
    </xf>
    <xf numFmtId="194" fontId="11" fillId="0" borderId="10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61" fillId="11" borderId="0" xfId="0" applyNumberFormat="1" applyFont="1" applyFill="1" applyAlignment="1" applyProtection="1">
      <alignment vertical="center"/>
      <protection locked="0" hidden="1"/>
    </xf>
    <xf numFmtId="0" fontId="76" fillId="0" borderId="0" xfId="165" applyFont="1" applyFill="1" applyBorder="1" applyAlignment="1" applyProtection="1">
      <alignment vertical="center" wrapText="1"/>
      <protection hidden="1"/>
    </xf>
    <xf numFmtId="0" fontId="176" fillId="0" borderId="0" xfId="165" applyFont="1" applyFill="1" applyBorder="1" applyAlignment="1" applyProtection="1">
      <alignment horizontal="center" vertical="center"/>
      <protection hidden="1"/>
    </xf>
    <xf numFmtId="217" fontId="176" fillId="0" borderId="0" xfId="165" applyNumberFormat="1" applyFont="1" applyFill="1" applyBorder="1" applyAlignment="1" applyProtection="1">
      <alignment horizontal="center" vertical="center"/>
      <protection hidden="1"/>
    </xf>
    <xf numFmtId="0" fontId="117" fillId="0" borderId="0" xfId="165" applyFont="1" applyFill="1" applyBorder="1" applyAlignment="1" applyProtection="1">
      <alignment horizontal="center" vertical="top"/>
      <protection hidden="1"/>
    </xf>
    <xf numFmtId="167" fontId="176" fillId="0" borderId="0" xfId="166" applyNumberFormat="1" applyFont="1" applyFill="1" applyBorder="1" applyAlignment="1" applyProtection="1">
      <alignment vertical="center"/>
      <protection hidden="1"/>
    </xf>
    <xf numFmtId="0" fontId="5" fillId="0" borderId="0" xfId="165" applyFont="1" applyFill="1" applyBorder="1" applyAlignment="1" applyProtection="1">
      <alignment vertical="center"/>
      <protection hidden="1"/>
    </xf>
    <xf numFmtId="0" fontId="176" fillId="0" borderId="0" xfId="165" applyFont="1" applyFill="1" applyBorder="1" applyAlignment="1" applyProtection="1">
      <alignment vertical="center"/>
      <protection hidden="1"/>
    </xf>
    <xf numFmtId="0" fontId="117" fillId="0" borderId="0" xfId="165" applyFont="1" applyFill="1" applyBorder="1" applyAlignment="1" applyProtection="1">
      <alignment vertical="top"/>
      <protection hidden="1"/>
    </xf>
    <xf numFmtId="0" fontId="177" fillId="0" borderId="0" xfId="165" applyFont="1" applyFill="1" applyBorder="1" applyAlignment="1" applyProtection="1">
      <alignment vertical="center"/>
      <protection hidden="1"/>
    </xf>
    <xf numFmtId="0" fontId="160" fillId="0" borderId="0" xfId="165" applyFont="1" applyFill="1" applyBorder="1" applyAlignment="1" applyProtection="1">
      <alignment horizontal="left" vertical="top" wrapText="1"/>
      <protection hidden="1"/>
    </xf>
    <xf numFmtId="3" fontId="176" fillId="0" borderId="0" xfId="166" applyNumberFormat="1" applyFont="1" applyFill="1" applyBorder="1" applyAlignment="1" applyProtection="1">
      <alignment horizontal="right" vertical="center"/>
      <protection hidden="1"/>
    </xf>
    <xf numFmtId="0" fontId="0" fillId="0" borderId="13" xfId="0" applyBorder="1"/>
    <xf numFmtId="0" fontId="9" fillId="7" borderId="6" xfId="0" applyFont="1" applyFill="1" applyBorder="1" applyAlignment="1" applyProtection="1">
      <alignment horizontal="center" vertical="center" wrapText="1"/>
      <protection hidden="1"/>
    </xf>
    <xf numFmtId="0" fontId="134" fillId="0" borderId="0" xfId="0" applyFont="1" applyBorder="1" applyAlignment="1" applyProtection="1">
      <alignment vertical="center"/>
      <protection hidden="1"/>
    </xf>
    <xf numFmtId="0" fontId="134" fillId="0" borderId="5" xfId="0" applyFont="1" applyBorder="1" applyAlignment="1" applyProtection="1">
      <alignment horizontal="center" vertical="center"/>
      <protection hidden="1"/>
    </xf>
    <xf numFmtId="0" fontId="33" fillId="0" borderId="7" xfId="0" applyFont="1" applyBorder="1" applyAlignment="1" applyProtection="1">
      <alignment vertical="center"/>
      <protection hidden="1"/>
    </xf>
    <xf numFmtId="0" fontId="33" fillId="0" borderId="12" xfId="0" applyFont="1" applyBorder="1" applyAlignment="1" applyProtection="1">
      <alignment vertical="center"/>
      <protection hidden="1"/>
    </xf>
    <xf numFmtId="219" fontId="33" fillId="0" borderId="12" xfId="0" applyNumberFormat="1" applyFont="1" applyBorder="1" applyAlignment="1" applyProtection="1">
      <alignment horizontal="right" vertical="center"/>
      <protection hidden="1"/>
    </xf>
    <xf numFmtId="0" fontId="33" fillId="0" borderId="7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9" fillId="7" borderId="55" xfId="0" applyFont="1" applyFill="1" applyBorder="1" applyAlignment="1" applyProtection="1">
      <alignment horizontal="center" vertical="center" wrapText="1"/>
      <protection hidden="1"/>
    </xf>
    <xf numFmtId="0" fontId="33" fillId="0" borderId="51" xfId="0" applyFont="1" applyBorder="1" applyAlignment="1">
      <alignment horizontal="center" vertical="center"/>
    </xf>
    <xf numFmtId="0" fontId="33" fillId="0" borderId="52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219" fontId="33" fillId="0" borderId="7" xfId="0" applyNumberFormat="1" applyFont="1" applyBorder="1" applyAlignment="1" applyProtection="1">
      <alignment horizontal="right" vertical="center"/>
      <protection hidden="1"/>
    </xf>
    <xf numFmtId="219" fontId="33" fillId="0" borderId="56" xfId="0" applyNumberFormat="1" applyFont="1" applyBorder="1" applyAlignment="1" applyProtection="1">
      <alignment horizontal="right" vertical="center"/>
      <protection hidden="1"/>
    </xf>
    <xf numFmtId="219" fontId="33" fillId="0" borderId="57" xfId="0" applyNumberFormat="1" applyFont="1" applyBorder="1" applyAlignment="1" applyProtection="1">
      <alignment horizontal="right" vertical="center"/>
      <protection hidden="1"/>
    </xf>
    <xf numFmtId="219" fontId="33" fillId="0" borderId="13" xfId="0" applyNumberFormat="1" applyFont="1" applyBorder="1" applyAlignment="1" applyProtection="1">
      <alignment horizontal="right" vertical="center"/>
      <protection hidden="1"/>
    </xf>
    <xf numFmtId="219" fontId="33" fillId="0" borderId="59" xfId="0" applyNumberFormat="1" applyFont="1" applyBorder="1" applyAlignment="1" applyProtection="1">
      <alignment horizontal="right" vertical="center"/>
      <protection hidden="1"/>
    </xf>
    <xf numFmtId="219" fontId="180" fillId="7" borderId="53" xfId="0" applyNumberFormat="1" applyFont="1" applyFill="1" applyBorder="1" applyAlignment="1" applyProtection="1">
      <alignment horizontal="right" vertical="center"/>
      <protection hidden="1"/>
    </xf>
    <xf numFmtId="219" fontId="180" fillId="7" borderId="61" xfId="0" applyNumberFormat="1" applyFont="1" applyFill="1" applyBorder="1" applyAlignment="1" applyProtection="1">
      <alignment horizontal="right" vertical="center"/>
      <protection hidden="1"/>
    </xf>
    <xf numFmtId="0" fontId="36" fillId="0" borderId="13" xfId="0" applyFont="1" applyFill="1" applyBorder="1" applyAlignment="1" applyProtection="1">
      <alignment vertical="center"/>
      <protection hidden="1"/>
    </xf>
    <xf numFmtId="0" fontId="36" fillId="0" borderId="13" xfId="0" applyNumberFormat="1" applyFont="1" applyFill="1" applyBorder="1" applyAlignment="1" applyProtection="1">
      <alignment vertical="center"/>
      <protection hidden="1"/>
    </xf>
    <xf numFmtId="14" fontId="36" fillId="0" borderId="13" xfId="0" applyNumberFormat="1" applyFont="1" applyFill="1" applyBorder="1" applyAlignment="1" applyProtection="1">
      <alignment horizontal="center" vertical="center"/>
      <protection hidden="1"/>
    </xf>
    <xf numFmtId="38" fontId="36" fillId="16" borderId="13" xfId="65" applyNumberFormat="1" applyFont="1" applyFill="1" applyBorder="1" applyAlignment="1" applyProtection="1">
      <alignment vertical="center"/>
      <protection hidden="1"/>
    </xf>
    <xf numFmtId="38" fontId="36" fillId="11" borderId="13" xfId="65" applyNumberFormat="1" applyFont="1" applyFill="1" applyBorder="1" applyAlignment="1" applyProtection="1">
      <alignment vertical="center"/>
      <protection hidden="1"/>
    </xf>
    <xf numFmtId="38" fontId="36" fillId="15" borderId="13" xfId="65" applyNumberFormat="1" applyFont="1" applyFill="1" applyBorder="1" applyAlignment="1" applyProtection="1">
      <alignment vertical="center"/>
      <protection hidden="1"/>
    </xf>
    <xf numFmtId="38" fontId="36" fillId="0" borderId="13" xfId="65" applyNumberFormat="1" applyFont="1" applyFill="1" applyBorder="1" applyAlignment="1" applyProtection="1">
      <alignment vertical="center"/>
      <protection hidden="1"/>
    </xf>
    <xf numFmtId="0" fontId="9" fillId="18" borderId="6" xfId="0" applyFont="1" applyFill="1" applyBorder="1" applyAlignment="1">
      <alignment horizontal="center" vertical="center" wrapText="1"/>
    </xf>
    <xf numFmtId="0" fontId="9" fillId="18" borderId="22" xfId="0" applyFont="1" applyFill="1" applyBorder="1" applyAlignment="1">
      <alignment horizontal="center" vertical="center" wrapText="1"/>
    </xf>
    <xf numFmtId="3" fontId="21" fillId="0" borderId="26" xfId="0" applyNumberFormat="1" applyFont="1" applyFill="1" applyBorder="1" applyAlignment="1" applyProtection="1">
      <alignment vertical="center" wrapText="1"/>
      <protection locked="0"/>
    </xf>
    <xf numFmtId="3" fontId="21" fillId="11" borderId="26" xfId="0" applyNumberFormat="1" applyFont="1" applyFill="1" applyBorder="1" applyAlignment="1" applyProtection="1">
      <alignment vertical="center" wrapText="1"/>
      <protection locked="0"/>
    </xf>
    <xf numFmtId="3" fontId="22" fillId="11" borderId="26" xfId="0" applyNumberFormat="1" applyFont="1" applyFill="1" applyBorder="1" applyAlignment="1" applyProtection="1">
      <alignment vertical="center" wrapText="1"/>
      <protection locked="0"/>
    </xf>
    <xf numFmtId="0" fontId="11" fillId="0" borderId="7" xfId="0" applyFont="1" applyBorder="1" applyAlignment="1" applyProtection="1">
      <alignment horizontal="center"/>
      <protection hidden="1"/>
    </xf>
    <xf numFmtId="0" fontId="11" fillId="0" borderId="7" xfId="0" quotePrefix="1" applyNumberFormat="1" applyFont="1" applyBorder="1" applyAlignment="1" applyProtection="1">
      <alignment horizontal="center"/>
      <protection hidden="1"/>
    </xf>
    <xf numFmtId="0" fontId="11" fillId="0" borderId="7" xfId="0" quotePrefix="1" applyFont="1" applyBorder="1" applyAlignment="1" applyProtection="1">
      <alignment horizontal="center"/>
      <protection hidden="1"/>
    </xf>
    <xf numFmtId="3" fontId="11" fillId="0" borderId="7" xfId="0" applyNumberFormat="1" applyFont="1" applyBorder="1" applyProtection="1">
      <protection hidden="1"/>
    </xf>
    <xf numFmtId="0" fontId="11" fillId="0" borderId="12" xfId="0" applyFont="1" applyBorder="1" applyAlignment="1" applyProtection="1">
      <alignment horizontal="center"/>
      <protection hidden="1"/>
    </xf>
    <xf numFmtId="0" fontId="11" fillId="0" borderId="12" xfId="0" quotePrefix="1" applyNumberFormat="1" applyFont="1" applyBorder="1" applyAlignment="1" applyProtection="1">
      <alignment horizontal="center"/>
      <protection hidden="1"/>
    </xf>
    <xf numFmtId="0" fontId="11" fillId="0" borderId="12" xfId="0" quotePrefix="1" applyFont="1" applyBorder="1" applyAlignment="1" applyProtection="1">
      <alignment horizontal="center"/>
      <protection hidden="1"/>
    </xf>
    <xf numFmtId="0" fontId="11" fillId="0" borderId="12" xfId="0" applyFont="1" applyBorder="1" applyProtection="1">
      <protection hidden="1"/>
    </xf>
    <xf numFmtId="0" fontId="9" fillId="10" borderId="30" xfId="164" applyFont="1" applyFill="1" applyBorder="1" applyAlignment="1" applyProtection="1">
      <alignment horizontal="center" vertical="center" wrapText="1"/>
      <protection locked="0"/>
    </xf>
    <xf numFmtId="0" fontId="10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47" xfId="164" applyFont="1" applyBorder="1" applyAlignment="1" applyProtection="1">
      <alignment horizontal="center" vertical="center" wrapText="1"/>
      <protection locked="0"/>
    </xf>
    <xf numFmtId="0" fontId="50" fillId="7" borderId="7" xfId="107" applyFont="1" applyFill="1" applyBorder="1" applyAlignment="1">
      <alignment horizontal="left" vertical="center" wrapText="1"/>
    </xf>
    <xf numFmtId="0" fontId="50" fillId="7" borderId="7" xfId="107" applyFont="1" applyFill="1" applyBorder="1" applyAlignment="1" applyProtection="1">
      <alignment horizontal="left" vertical="center" wrapText="1"/>
    </xf>
    <xf numFmtId="171" fontId="11" fillId="0" borderId="62" xfId="65" applyNumberFormat="1" applyFont="1" applyBorder="1" applyAlignment="1" applyProtection="1">
      <alignment vertical="center" wrapText="1"/>
      <protection locked="0"/>
    </xf>
    <xf numFmtId="0" fontId="19" fillId="11" borderId="0" xfId="0" applyFont="1" applyFill="1" applyAlignment="1" applyProtection="1">
      <alignment vertical="center"/>
      <protection locked="0"/>
    </xf>
    <xf numFmtId="0" fontId="51" fillId="11" borderId="0" xfId="0" applyFont="1" applyFill="1" applyAlignment="1" applyProtection="1">
      <alignment horizontal="center"/>
      <protection locked="0"/>
    </xf>
    <xf numFmtId="38" fontId="25" fillId="11" borderId="24" xfId="65" applyNumberFormat="1" applyFont="1" applyFill="1" applyBorder="1" applyAlignment="1" applyProtection="1">
      <alignment horizontal="right" vertical="center" wrapText="1"/>
      <protection locked="0"/>
    </xf>
    <xf numFmtId="3" fontId="124" fillId="11" borderId="26" xfId="0" applyNumberFormat="1" applyFont="1" applyFill="1" applyBorder="1" applyAlignment="1" applyProtection="1">
      <alignment horizontal="center" vertical="center" wrapText="1"/>
      <protection hidden="1"/>
    </xf>
    <xf numFmtId="0" fontId="0" fillId="11" borderId="0" xfId="0" applyFill="1" applyProtection="1">
      <protection hidden="1"/>
    </xf>
    <xf numFmtId="0" fontId="0" fillId="11" borderId="0" xfId="0" applyFill="1" applyProtection="1">
      <protection locked="0"/>
    </xf>
    <xf numFmtId="0" fontId="181" fillId="26" borderId="0" xfId="0" applyFont="1" applyFill="1"/>
    <xf numFmtId="0" fontId="181" fillId="26" borderId="0" xfId="0" applyFont="1" applyFill="1" applyAlignment="1">
      <alignment horizontal="center" vertical="center"/>
    </xf>
    <xf numFmtId="0" fontId="181" fillId="26" borderId="0" xfId="0" applyFont="1" applyFill="1" applyAlignment="1">
      <alignment vertical="center"/>
    </xf>
    <xf numFmtId="0" fontId="183" fillId="26" borderId="0" xfId="0" applyFont="1" applyFill="1" applyAlignment="1">
      <alignment horizontal="center" vertical="center"/>
    </xf>
    <xf numFmtId="0" fontId="185" fillId="26" borderId="0" xfId="0" applyFont="1" applyFill="1" applyBorder="1"/>
    <xf numFmtId="0" fontId="185" fillId="26" borderId="0" xfId="0" applyFont="1" applyFill="1" applyBorder="1" applyAlignment="1">
      <alignment horizontal="center" vertical="center"/>
    </xf>
    <xf numFmtId="0" fontId="187" fillId="26" borderId="0" xfId="0" applyFont="1" applyFill="1"/>
    <xf numFmtId="0" fontId="188" fillId="26" borderId="0" xfId="0" applyFont="1" applyFill="1" applyBorder="1"/>
    <xf numFmtId="0" fontId="188" fillId="26" borderId="0" xfId="0" applyFont="1" applyFill="1" applyBorder="1" applyAlignment="1">
      <alignment horizontal="center" vertical="center"/>
    </xf>
    <xf numFmtId="0" fontId="44" fillId="0" borderId="0" xfId="107" applyFont="1" applyFill="1" applyAlignment="1">
      <alignment horizontal="center" vertical="center"/>
    </xf>
    <xf numFmtId="3" fontId="143" fillId="0" borderId="27" xfId="65" applyNumberFormat="1" applyFont="1" applyFill="1" applyBorder="1" applyAlignment="1" applyProtection="1">
      <alignment horizontal="right" vertical="center"/>
      <protection locked="0"/>
    </xf>
    <xf numFmtId="0" fontId="136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Continuous" vertical="center"/>
      <protection hidden="1"/>
    </xf>
    <xf numFmtId="0" fontId="76" fillId="0" borderId="0" xfId="0" applyFont="1" applyAlignment="1" applyProtection="1">
      <alignment wrapText="1"/>
      <protection hidden="1"/>
    </xf>
    <xf numFmtId="3" fontId="33" fillId="0" borderId="0" xfId="37" applyNumberFormat="1" applyFont="1" applyBorder="1" applyAlignment="1">
      <alignment vertical="center"/>
    </xf>
    <xf numFmtId="0" fontId="33" fillId="0" borderId="0" xfId="37" applyFont="1" applyAlignment="1">
      <alignment vertical="center"/>
    </xf>
    <xf numFmtId="0" fontId="3" fillId="0" borderId="0" xfId="37" applyFont="1" applyAlignment="1">
      <alignment vertical="center"/>
    </xf>
    <xf numFmtId="171" fontId="119" fillId="0" borderId="0" xfId="65" applyNumberFormat="1" applyFont="1" applyBorder="1" applyAlignment="1">
      <alignment horizontal="center" vertical="center"/>
    </xf>
    <xf numFmtId="3" fontId="9" fillId="0" borderId="0" xfId="0" applyNumberFormat="1" applyFont="1" applyFill="1" applyBorder="1" applyAlignment="1">
      <alignment vertical="center"/>
    </xf>
    <xf numFmtId="173" fontId="22" fillId="14" borderId="26" xfId="0" applyNumberFormat="1" applyFont="1" applyFill="1" applyBorder="1" applyAlignment="1" applyProtection="1">
      <alignment horizontal="center" vertical="center" wrapText="1"/>
      <protection locked="0"/>
    </xf>
    <xf numFmtId="0" fontId="48" fillId="11" borderId="12" xfId="0" applyFont="1" applyFill="1" applyBorder="1" applyAlignment="1" applyProtection="1">
      <alignment horizontal="left" vertical="center" wrapText="1"/>
      <protection hidden="1"/>
    </xf>
    <xf numFmtId="0" fontId="48" fillId="11" borderId="12" xfId="0" applyFont="1" applyFill="1" applyBorder="1" applyAlignment="1" applyProtection="1">
      <alignment horizontal="center" vertical="center"/>
      <protection hidden="1"/>
    </xf>
    <xf numFmtId="0" fontId="48" fillId="11" borderId="12" xfId="107" quotePrefix="1" applyFont="1" applyFill="1" applyBorder="1" applyAlignment="1" applyProtection="1">
      <alignment horizontal="center" vertical="center"/>
      <protection hidden="1"/>
    </xf>
    <xf numFmtId="0" fontId="48" fillId="11" borderId="12" xfId="0" quotePrefix="1" applyFont="1" applyFill="1" applyBorder="1" applyAlignment="1" applyProtection="1">
      <alignment horizontal="center" vertical="center"/>
      <protection hidden="1"/>
    </xf>
    <xf numFmtId="3" fontId="48" fillId="11" borderId="12" xfId="0" applyNumberFormat="1" applyFont="1" applyFill="1" applyBorder="1" applyAlignment="1" applyProtection="1">
      <alignment horizontal="center" vertical="center"/>
      <protection hidden="1"/>
    </xf>
    <xf numFmtId="3" fontId="48" fillId="11" borderId="12" xfId="0" applyNumberFormat="1" applyFont="1" applyFill="1" applyBorder="1" applyAlignment="1" applyProtection="1">
      <alignment horizontal="right" vertical="center"/>
      <protection hidden="1"/>
    </xf>
    <xf numFmtId="0" fontId="33" fillId="11" borderId="0" xfId="0" applyFont="1" applyFill="1" applyProtection="1">
      <protection hidden="1"/>
    </xf>
    <xf numFmtId="38" fontId="10" fillId="14" borderId="6" xfId="65" applyNumberFormat="1" applyFont="1" applyFill="1" applyBorder="1" applyAlignment="1" applyProtection="1">
      <alignment horizontal="center" vertical="center" wrapText="1"/>
      <protection hidden="1"/>
    </xf>
    <xf numFmtId="0" fontId="10" fillId="0" borderId="0" xfId="37" applyFont="1" applyAlignment="1" applyProtection="1">
      <alignment vertical="center"/>
      <protection hidden="1"/>
    </xf>
    <xf numFmtId="0" fontId="10" fillId="0" borderId="0" xfId="37" applyFont="1" applyBorder="1" applyAlignment="1" applyProtection="1">
      <alignment horizontal="center" vertical="center"/>
      <protection hidden="1"/>
    </xf>
    <xf numFmtId="1" fontId="10" fillId="0" borderId="0" xfId="37" applyNumberFormat="1" applyFont="1" applyAlignment="1" applyProtection="1">
      <alignment vertical="center"/>
      <protection hidden="1"/>
    </xf>
    <xf numFmtId="0" fontId="10" fillId="0" borderId="0" xfId="105" applyFont="1" applyAlignment="1" applyProtection="1">
      <alignment horizontal="left" vertical="center"/>
      <protection hidden="1"/>
    </xf>
    <xf numFmtId="0" fontId="10" fillId="0" borderId="0" xfId="105" applyFont="1" applyAlignment="1" applyProtection="1">
      <alignment horizontal="center" vertical="center"/>
      <protection hidden="1"/>
    </xf>
    <xf numFmtId="1" fontId="5" fillId="0" borderId="0" xfId="105" applyNumberFormat="1" applyFont="1" applyAlignment="1" applyProtection="1">
      <alignment horizontal="left" vertical="center"/>
      <protection hidden="1"/>
    </xf>
    <xf numFmtId="0" fontId="94" fillId="0" borderId="0" xfId="105" applyFont="1" applyBorder="1" applyAlignment="1" applyProtection="1">
      <alignment horizontal="left" vertical="center"/>
      <protection hidden="1"/>
    </xf>
    <xf numFmtId="1" fontId="10" fillId="0" borderId="0" xfId="105" applyNumberFormat="1" applyFont="1" applyBorder="1" applyAlignment="1" applyProtection="1">
      <alignment vertical="center"/>
      <protection hidden="1"/>
    </xf>
    <xf numFmtId="0" fontId="94" fillId="11" borderId="0" xfId="105" applyFont="1" applyFill="1" applyBorder="1" applyAlignment="1" applyProtection="1">
      <alignment horizontal="left" vertical="center"/>
      <protection hidden="1"/>
    </xf>
    <xf numFmtId="1" fontId="10" fillId="0" borderId="0" xfId="37" applyNumberFormat="1" applyFont="1" applyBorder="1" applyAlignment="1" applyProtection="1">
      <alignment vertical="center" wrapText="1"/>
      <protection hidden="1"/>
    </xf>
    <xf numFmtId="1" fontId="10" fillId="0" borderId="0" xfId="37" applyNumberFormat="1" applyFont="1" applyAlignment="1" applyProtection="1">
      <alignment horizontal="left" vertical="center"/>
      <protection hidden="1"/>
    </xf>
    <xf numFmtId="1" fontId="10" fillId="0" borderId="0" xfId="37" applyNumberFormat="1" applyFont="1" applyAlignment="1" applyProtection="1">
      <alignment horizontal="centerContinuous" vertical="center"/>
      <protection hidden="1"/>
    </xf>
    <xf numFmtId="1" fontId="5" fillId="0" borderId="0" xfId="37" applyNumberFormat="1" applyFont="1" applyAlignment="1" applyProtection="1">
      <alignment horizontal="left" vertical="center"/>
      <protection hidden="1"/>
    </xf>
    <xf numFmtId="0" fontId="160" fillId="0" borderId="0" xfId="37" applyFont="1" applyAlignment="1" applyProtection="1">
      <alignment vertical="center"/>
      <protection hidden="1"/>
    </xf>
    <xf numFmtId="0" fontId="10" fillId="0" borderId="0" xfId="37" applyFont="1" applyAlignment="1" applyProtection="1">
      <alignment horizontal="left" vertical="center"/>
      <protection hidden="1"/>
    </xf>
    <xf numFmtId="0" fontId="10" fillId="0" borderId="0" xfId="37" applyFont="1" applyAlignment="1" applyProtection="1">
      <alignment horizontal="centerContinuous" vertical="center"/>
      <protection hidden="1"/>
    </xf>
    <xf numFmtId="0" fontId="10" fillId="0" borderId="0" xfId="37" applyFont="1" applyAlignment="1" applyProtection="1">
      <alignment horizontal="center" vertical="center"/>
      <protection hidden="1"/>
    </xf>
    <xf numFmtId="0" fontId="10" fillId="0" borderId="0" xfId="105" applyFont="1" applyBorder="1" applyAlignment="1" applyProtection="1">
      <alignment horizontal="centerContinuous" vertical="center"/>
      <protection hidden="1"/>
    </xf>
    <xf numFmtId="0" fontId="10" fillId="0" borderId="0" xfId="105" applyFont="1" applyBorder="1" applyAlignment="1" applyProtection="1">
      <alignment vertical="center"/>
      <protection hidden="1"/>
    </xf>
    <xf numFmtId="0" fontId="9" fillId="0" borderId="0" xfId="37" applyFont="1" applyAlignment="1" applyProtection="1">
      <alignment vertical="center"/>
      <protection hidden="1"/>
    </xf>
    <xf numFmtId="49" fontId="150" fillId="0" borderId="0" xfId="105" applyNumberFormat="1" applyFont="1" applyAlignment="1" applyProtection="1">
      <alignment vertical="center"/>
      <protection hidden="1"/>
    </xf>
    <xf numFmtId="49" fontId="5" fillId="0" borderId="0" xfId="105" applyNumberFormat="1" applyFont="1" applyAlignment="1" applyProtection="1">
      <alignment vertical="center"/>
      <protection hidden="1"/>
    </xf>
    <xf numFmtId="0" fontId="5" fillId="0" borderId="0" xfId="37" applyFont="1" applyAlignment="1" applyProtection="1">
      <alignment vertical="center"/>
      <protection hidden="1"/>
    </xf>
    <xf numFmtId="49" fontId="5" fillId="0" borderId="0" xfId="105" applyNumberFormat="1" applyFont="1" applyAlignment="1" applyProtection="1">
      <alignment horizontal="left" vertical="center"/>
      <protection hidden="1"/>
    </xf>
    <xf numFmtId="0" fontId="5" fillId="0" borderId="0" xfId="105" applyFont="1" applyBorder="1" applyAlignment="1" applyProtection="1">
      <alignment horizontal="centerContinuous" vertical="center"/>
      <protection hidden="1"/>
    </xf>
    <xf numFmtId="0" fontId="5" fillId="0" borderId="0" xfId="105" applyNumberFormat="1" applyFont="1" applyAlignment="1" applyProtection="1">
      <alignment horizontal="left" vertical="center"/>
      <protection hidden="1"/>
    </xf>
    <xf numFmtId="0" fontId="150" fillId="0" borderId="0" xfId="37" applyFont="1" applyAlignment="1" applyProtection="1">
      <alignment vertical="center"/>
      <protection hidden="1"/>
    </xf>
    <xf numFmtId="174" fontId="5" fillId="0" borderId="0" xfId="105" applyNumberFormat="1" applyFont="1" applyAlignment="1" applyProtection="1">
      <alignment horizontal="left" vertical="top"/>
      <protection hidden="1"/>
    </xf>
    <xf numFmtId="174" fontId="5" fillId="0" borderId="0" xfId="105" applyNumberFormat="1" applyFont="1" applyAlignment="1" applyProtection="1">
      <alignment horizontal="left" vertical="center"/>
      <protection hidden="1"/>
    </xf>
    <xf numFmtId="49" fontId="5" fillId="0" borderId="0" xfId="105" applyNumberFormat="1" applyFont="1" applyAlignment="1" applyProtection="1">
      <alignment horizontal="centerContinuous" vertical="center"/>
      <protection hidden="1"/>
    </xf>
    <xf numFmtId="174" fontId="5" fillId="0" borderId="0" xfId="105" applyNumberFormat="1" applyFont="1" applyAlignment="1" applyProtection="1">
      <alignment vertical="center"/>
      <protection hidden="1"/>
    </xf>
    <xf numFmtId="174" fontId="5" fillId="0" borderId="0" xfId="105" applyNumberFormat="1" applyFont="1" applyBorder="1" applyAlignment="1" applyProtection="1">
      <alignment vertical="center"/>
      <protection hidden="1"/>
    </xf>
    <xf numFmtId="0" fontId="10" fillId="0" borderId="15" xfId="37" applyFont="1" applyBorder="1" applyAlignment="1" applyProtection="1">
      <alignment vertical="center"/>
      <protection hidden="1"/>
    </xf>
    <xf numFmtId="49" fontId="10" fillId="0" borderId="15" xfId="105" applyNumberFormat="1" applyFont="1" applyBorder="1" applyAlignment="1" applyProtection="1">
      <alignment horizontal="left" vertical="center"/>
      <protection hidden="1"/>
    </xf>
    <xf numFmtId="1" fontId="10" fillId="0" borderId="15" xfId="105" applyNumberFormat="1" applyFont="1" applyBorder="1" applyAlignment="1" applyProtection="1">
      <alignment horizontal="left" vertical="center"/>
      <protection hidden="1"/>
    </xf>
    <xf numFmtId="0" fontId="10" fillId="0" borderId="15" xfId="105" applyFont="1" applyBorder="1" applyAlignment="1" applyProtection="1">
      <alignment vertical="center"/>
      <protection hidden="1"/>
    </xf>
    <xf numFmtId="0" fontId="135" fillId="0" borderId="0" xfId="37" applyFont="1" applyAlignment="1" applyProtection="1">
      <alignment vertical="center"/>
      <protection hidden="1"/>
    </xf>
    <xf numFmtId="49" fontId="150" fillId="0" borderId="6" xfId="104" applyNumberFormat="1" applyFont="1" applyBorder="1" applyAlignment="1" applyProtection="1">
      <alignment vertical="center" wrapText="1"/>
      <protection hidden="1"/>
    </xf>
    <xf numFmtId="0" fontId="150" fillId="0" borderId="6" xfId="37" applyFont="1" applyBorder="1" applyAlignment="1" applyProtection="1">
      <alignment vertical="center" wrapText="1"/>
      <protection hidden="1"/>
    </xf>
    <xf numFmtId="176" fontId="9" fillId="0" borderId="16" xfId="105" applyNumberFormat="1" applyFont="1" applyBorder="1" applyAlignment="1" applyProtection="1">
      <alignment horizontal="center" vertical="center"/>
      <protection hidden="1"/>
    </xf>
    <xf numFmtId="176" fontId="3" fillId="0" borderId="16" xfId="105" applyNumberFormat="1" applyFont="1" applyBorder="1" applyAlignment="1" applyProtection="1">
      <alignment horizontal="right" vertical="center"/>
      <protection hidden="1"/>
    </xf>
    <xf numFmtId="167" fontId="3" fillId="0" borderId="16" xfId="55" applyNumberFormat="1" applyFont="1" applyFill="1" applyBorder="1" applyAlignment="1" applyProtection="1">
      <alignment horizontal="right" vertical="center"/>
      <protection hidden="1"/>
    </xf>
    <xf numFmtId="0" fontId="33" fillId="0" borderId="0" xfId="37" applyFont="1" applyBorder="1" applyAlignment="1" applyProtection="1">
      <alignment vertical="center"/>
      <protection hidden="1"/>
    </xf>
    <xf numFmtId="167" fontId="3" fillId="0" borderId="0" xfId="55" applyNumberFormat="1" applyFont="1" applyFill="1" applyBorder="1" applyAlignment="1" applyProtection="1">
      <alignment horizontal="right" vertical="center"/>
      <protection hidden="1"/>
    </xf>
    <xf numFmtId="0" fontId="189" fillId="0" borderId="0" xfId="105" applyFont="1" applyBorder="1" applyAlignment="1" applyProtection="1">
      <alignment horizontal="right" vertical="center" wrapText="1"/>
      <protection hidden="1"/>
    </xf>
    <xf numFmtId="0" fontId="189" fillId="0" borderId="0" xfId="37" applyFont="1" applyBorder="1" applyAlignment="1" applyProtection="1">
      <alignment vertical="top" wrapText="1"/>
      <protection hidden="1"/>
    </xf>
    <xf numFmtId="0" fontId="5" fillId="0" borderId="21" xfId="37" applyFont="1" applyBorder="1" applyAlignment="1" applyProtection="1">
      <alignment vertical="center"/>
      <protection hidden="1"/>
    </xf>
    <xf numFmtId="0" fontId="5" fillId="0" borderId="0" xfId="37" applyFont="1" applyBorder="1" applyAlignment="1" applyProtection="1">
      <alignment vertical="center"/>
      <protection hidden="1"/>
    </xf>
    <xf numFmtId="0" fontId="5" fillId="0" borderId="17" xfId="37" applyFont="1" applyBorder="1" applyAlignment="1" applyProtection="1">
      <alignment vertical="center"/>
      <protection hidden="1"/>
    </xf>
    <xf numFmtId="0" fontId="5" fillId="0" borderId="0" xfId="37" applyNumberFormat="1" applyFont="1" applyAlignment="1" applyProtection="1">
      <alignment vertical="center"/>
      <protection hidden="1"/>
    </xf>
    <xf numFmtId="49" fontId="5" fillId="0" borderId="0" xfId="105" applyNumberFormat="1" applyFont="1" applyAlignment="1" applyProtection="1">
      <alignment horizontal="right" vertical="center"/>
      <protection hidden="1"/>
    </xf>
    <xf numFmtId="194" fontId="5" fillId="0" borderId="0" xfId="105" applyNumberFormat="1" applyFont="1" applyAlignment="1" applyProtection="1">
      <alignment horizontal="left" vertical="center"/>
      <protection hidden="1"/>
    </xf>
    <xf numFmtId="0" fontId="5" fillId="0" borderId="21" xfId="37" applyFont="1" applyFill="1" applyBorder="1" applyAlignment="1" applyProtection="1">
      <alignment vertical="center"/>
      <protection hidden="1"/>
    </xf>
    <xf numFmtId="49" fontId="5" fillId="0" borderId="0" xfId="105" applyNumberFormat="1" applyFont="1" applyBorder="1" applyAlignment="1" applyProtection="1">
      <alignment vertical="center"/>
      <protection hidden="1"/>
    </xf>
    <xf numFmtId="49" fontId="5" fillId="0" borderId="23" xfId="105" applyNumberFormat="1" applyFont="1" applyBorder="1" applyAlignment="1" applyProtection="1">
      <alignment vertical="center"/>
      <protection hidden="1"/>
    </xf>
    <xf numFmtId="49" fontId="5" fillId="0" borderId="15" xfId="105" applyNumberFormat="1" applyFont="1" applyBorder="1" applyAlignment="1" applyProtection="1">
      <alignment vertical="center"/>
      <protection hidden="1"/>
    </xf>
    <xf numFmtId="49" fontId="5" fillId="0" borderId="24" xfId="105" applyNumberFormat="1" applyFont="1" applyBorder="1" applyAlignment="1" applyProtection="1">
      <alignment vertical="center"/>
      <protection hidden="1"/>
    </xf>
    <xf numFmtId="49" fontId="150" fillId="0" borderId="0" xfId="105" applyNumberFormat="1" applyFont="1" applyAlignment="1" applyProtection="1">
      <alignment horizontal="center" vertical="center"/>
      <protection hidden="1"/>
    </xf>
    <xf numFmtId="1" fontId="5" fillId="0" borderId="0" xfId="37" applyNumberFormat="1" applyFont="1" applyAlignment="1" applyProtection="1">
      <alignment vertical="center"/>
      <protection hidden="1"/>
    </xf>
    <xf numFmtId="176" fontId="5" fillId="0" borderId="0" xfId="37" applyNumberFormat="1" applyFont="1" applyAlignment="1" applyProtection="1">
      <alignment vertical="center"/>
      <protection hidden="1"/>
    </xf>
    <xf numFmtId="49" fontId="150" fillId="0" borderId="0" xfId="105" applyNumberFormat="1" applyFont="1" applyBorder="1" applyAlignment="1" applyProtection="1">
      <alignment horizontal="left" vertical="center"/>
      <protection hidden="1"/>
    </xf>
    <xf numFmtId="0" fontId="150" fillId="0" borderId="0" xfId="37" applyFont="1" applyBorder="1" applyAlignment="1" applyProtection="1">
      <alignment vertical="center" wrapText="1"/>
      <protection hidden="1"/>
    </xf>
    <xf numFmtId="49" fontId="150" fillId="0" borderId="15" xfId="105" applyNumberFormat="1" applyFont="1" applyBorder="1" applyAlignment="1" applyProtection="1">
      <alignment horizontal="left" vertical="center"/>
      <protection hidden="1"/>
    </xf>
    <xf numFmtId="49" fontId="5" fillId="0" borderId="0" xfId="105" applyNumberFormat="1" applyFont="1" applyBorder="1" applyAlignment="1" applyProtection="1">
      <alignment horizontal="left" vertical="center"/>
      <protection hidden="1"/>
    </xf>
    <xf numFmtId="49" fontId="5" fillId="0" borderId="17" xfId="105" applyNumberFormat="1" applyFont="1" applyBorder="1" applyAlignment="1" applyProtection="1">
      <alignment horizontal="left" vertical="center"/>
      <protection hidden="1"/>
    </xf>
    <xf numFmtId="49" fontId="5" fillId="0" borderId="21" xfId="105" applyNumberFormat="1" applyFont="1" applyBorder="1" applyAlignment="1" applyProtection="1">
      <alignment horizontal="left" vertical="center"/>
      <protection hidden="1"/>
    </xf>
    <xf numFmtId="0" fontId="5" fillId="0" borderId="0" xfId="37" applyFont="1" applyBorder="1" applyAlignment="1" applyProtection="1">
      <alignment horizontal="center" vertical="center" wrapText="1"/>
      <protection hidden="1"/>
    </xf>
    <xf numFmtId="0" fontId="5" fillId="0" borderId="21" xfId="37" applyFont="1" applyBorder="1" applyAlignment="1" applyProtection="1">
      <alignment horizontal="center" vertical="center" wrapText="1"/>
      <protection hidden="1"/>
    </xf>
    <xf numFmtId="0" fontId="5" fillId="0" borderId="0" xfId="37" applyFont="1" applyBorder="1" applyAlignment="1" applyProtection="1">
      <alignment horizontal="left" vertical="center" wrapText="1"/>
      <protection hidden="1"/>
    </xf>
    <xf numFmtId="0" fontId="160" fillId="0" borderId="0" xfId="37" applyFont="1" applyAlignment="1" applyProtection="1">
      <alignment vertical="center" wrapText="1"/>
      <protection hidden="1"/>
    </xf>
    <xf numFmtId="3" fontId="12" fillId="7" borderId="6" xfId="107" applyNumberFormat="1" applyFont="1" applyFill="1" applyBorder="1" applyAlignment="1">
      <alignment horizontal="right" vertical="center"/>
    </xf>
    <xf numFmtId="0" fontId="16" fillId="0" borderId="0" xfId="0" applyFont="1" applyBorder="1" applyAlignment="1" applyProtection="1">
      <alignment vertical="center" wrapText="1"/>
      <protection hidden="1"/>
    </xf>
    <xf numFmtId="0" fontId="16" fillId="0" borderId="0" xfId="0" applyFont="1" applyProtection="1">
      <protection hidden="1"/>
    </xf>
    <xf numFmtId="0" fontId="16" fillId="0" borderId="0" xfId="0" applyFont="1" applyAlignment="1" applyProtection="1">
      <alignment horizontal="left"/>
      <protection hidden="1"/>
    </xf>
    <xf numFmtId="0" fontId="16" fillId="0" borderId="0" xfId="0" applyFont="1" applyAlignment="1" applyProtection="1">
      <alignment horizontal="right" vertical="center" wrapText="1"/>
      <protection hidden="1"/>
    </xf>
    <xf numFmtId="0" fontId="193" fillId="0" borderId="0" xfId="0" applyFont="1" applyAlignment="1" applyProtection="1">
      <protection hidden="1"/>
    </xf>
    <xf numFmtId="0" fontId="44" fillId="0" borderId="0" xfId="0" applyFont="1" applyAlignment="1" applyProtection="1">
      <alignment horizontal="center"/>
      <protection hidden="1"/>
    </xf>
    <xf numFmtId="0" fontId="16" fillId="0" borderId="0" xfId="0" applyFont="1" applyAlignment="1" applyProtection="1">
      <protection hidden="1"/>
    </xf>
    <xf numFmtId="0" fontId="195" fillId="0" borderId="0" xfId="0" applyFont="1" applyAlignment="1" applyProtection="1">
      <alignment vertical="center"/>
      <protection hidden="1"/>
    </xf>
    <xf numFmtId="0" fontId="135" fillId="0" borderId="6" xfId="0" applyFont="1" applyBorder="1" applyAlignment="1" applyProtection="1">
      <alignment horizontal="center" vertical="center" wrapText="1"/>
      <protection hidden="1"/>
    </xf>
    <xf numFmtId="0" fontId="10" fillId="0" borderId="12" xfId="0" applyFont="1" applyBorder="1" applyAlignment="1" applyProtection="1">
      <alignment horizontal="center" vertical="center" wrapText="1"/>
      <protection hidden="1"/>
    </xf>
    <xf numFmtId="0" fontId="10" fillId="0" borderId="14" xfId="0" applyNumberFormat="1" applyFont="1" applyBorder="1" applyAlignment="1" applyProtection="1">
      <alignment horizontal="center" vertical="center" wrapText="1"/>
      <protection hidden="1"/>
    </xf>
    <xf numFmtId="1" fontId="10" fillId="0" borderId="14" xfId="0" applyNumberFormat="1" applyFont="1" applyBorder="1" applyAlignment="1" applyProtection="1">
      <alignment horizontal="center" vertical="center" wrapText="1"/>
      <protection hidden="1"/>
    </xf>
    <xf numFmtId="0" fontId="10" fillId="0" borderId="14" xfId="0" applyFont="1" applyBorder="1" applyAlignment="1" applyProtection="1">
      <alignment horizontal="left" vertical="center" wrapText="1"/>
      <protection hidden="1"/>
    </xf>
    <xf numFmtId="3" fontId="31" fillId="0" borderId="14" xfId="0" applyNumberFormat="1" applyFont="1" applyBorder="1" applyAlignment="1" applyProtection="1">
      <alignment horizontal="right" vertical="center" wrapText="1"/>
      <protection hidden="1"/>
    </xf>
    <xf numFmtId="3" fontId="9" fillId="0" borderId="6" xfId="0" applyNumberFormat="1" applyFont="1" applyBorder="1" applyAlignment="1" applyProtection="1">
      <protection hidden="1"/>
    </xf>
    <xf numFmtId="0" fontId="16" fillId="0" borderId="0" xfId="0" applyFont="1" applyAlignment="1" applyProtection="1">
      <alignment horizontal="center"/>
      <protection hidden="1"/>
    </xf>
    <xf numFmtId="0" fontId="10" fillId="0" borderId="14" xfId="0" applyFont="1" applyBorder="1" applyAlignment="1" applyProtection="1">
      <alignment horizontal="center" vertical="center" wrapText="1"/>
      <protection locked="0"/>
    </xf>
    <xf numFmtId="14" fontId="10" fillId="0" borderId="14" xfId="0" applyNumberFormat="1" applyFont="1" applyBorder="1" applyAlignment="1" applyProtection="1">
      <alignment horizontal="center" vertical="center" wrapText="1"/>
      <protection locked="0"/>
    </xf>
    <xf numFmtId="3" fontId="31" fillId="0" borderId="14" xfId="0" applyNumberFormat="1" applyFont="1" applyBorder="1" applyAlignment="1" applyProtection="1">
      <alignment horizontal="center" vertical="center" wrapText="1"/>
      <protection locked="0"/>
    </xf>
    <xf numFmtId="0" fontId="22" fillId="28" borderId="0" xfId="0" applyFont="1" applyFill="1" applyAlignment="1" applyProtection="1">
      <alignment wrapText="1"/>
      <protection locked="0"/>
    </xf>
    <xf numFmtId="0" fontId="22" fillId="28" borderId="26" xfId="0" applyFont="1" applyFill="1" applyBorder="1" applyAlignment="1" applyProtection="1">
      <alignment horizontal="center" vertical="center" wrapText="1"/>
      <protection hidden="1"/>
    </xf>
    <xf numFmtId="0" fontId="22" fillId="28" borderId="26" xfId="0" applyNumberFormat="1" applyFont="1" applyFill="1" applyBorder="1" applyAlignment="1" applyProtection="1">
      <alignment horizontal="center" vertical="center" wrapText="1"/>
      <protection locked="0"/>
    </xf>
    <xf numFmtId="173" fontId="22" fillId="28" borderId="26" xfId="0" applyNumberFormat="1" applyFont="1" applyFill="1" applyBorder="1" applyAlignment="1" applyProtection="1">
      <alignment horizontal="center" vertical="center" wrapText="1"/>
      <protection locked="0"/>
    </xf>
    <xf numFmtId="0" fontId="22" fillId="28" borderId="26" xfId="0" applyNumberFormat="1" applyFont="1" applyFill="1" applyBorder="1" applyAlignment="1" applyProtection="1">
      <alignment horizontal="justify" vertical="center" wrapText="1"/>
      <protection locked="0"/>
    </xf>
    <xf numFmtId="0" fontId="22" fillId="28" borderId="26" xfId="0" applyFont="1" applyFill="1" applyBorder="1" applyAlignment="1" applyProtection="1">
      <alignment vertical="center" wrapText="1"/>
      <protection hidden="1"/>
    </xf>
    <xf numFmtId="3" fontId="20" fillId="28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28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28" borderId="26" xfId="65" applyNumberFormat="1" applyFont="1" applyFill="1" applyBorder="1" applyAlignment="1" applyProtection="1">
      <alignment horizontal="left" vertical="center" wrapText="1"/>
      <protection hidden="1"/>
    </xf>
    <xf numFmtId="3" fontId="20" fillId="28" borderId="26" xfId="65" applyNumberFormat="1" applyFont="1" applyFill="1" applyBorder="1" applyAlignment="1" applyProtection="1">
      <alignment horizontal="center" vertical="center" wrapText="1"/>
      <protection hidden="1"/>
    </xf>
    <xf numFmtId="3" fontId="124" fillId="28" borderId="26" xfId="0" applyNumberFormat="1" applyFont="1" applyFill="1" applyBorder="1" applyAlignment="1" applyProtection="1">
      <alignment horizontal="center" vertical="center" wrapText="1"/>
      <protection hidden="1"/>
    </xf>
    <xf numFmtId="0" fontId="160" fillId="0" borderId="0" xfId="37" applyFont="1" applyAlignment="1" applyProtection="1">
      <alignment horizontal="left" vertical="center"/>
      <protection hidden="1"/>
    </xf>
    <xf numFmtId="3" fontId="118" fillId="14" borderId="26" xfId="65" applyNumberFormat="1" applyFont="1" applyFill="1" applyBorder="1" applyAlignment="1" applyProtection="1">
      <alignment horizontal="right" vertical="center" wrapText="1"/>
      <protection hidden="1"/>
    </xf>
    <xf numFmtId="0" fontId="33" fillId="14" borderId="6" xfId="0" applyFont="1" applyFill="1" applyBorder="1" applyAlignment="1">
      <alignment horizontal="center" vertical="center"/>
    </xf>
    <xf numFmtId="0" fontId="153" fillId="14" borderId="6" xfId="0" applyFont="1" applyFill="1" applyBorder="1" applyAlignment="1">
      <alignment vertical="center" wrapText="1"/>
    </xf>
    <xf numFmtId="0" fontId="153" fillId="14" borderId="6" xfId="0" applyFont="1" applyFill="1" applyBorder="1" applyAlignment="1">
      <alignment horizontal="center" vertical="center" wrapText="1"/>
    </xf>
    <xf numFmtId="3" fontId="33" fillId="14" borderId="6" xfId="0" applyNumberFormat="1" applyFont="1" applyFill="1" applyBorder="1"/>
    <xf numFmtId="3" fontId="33" fillId="14" borderId="6" xfId="0" applyNumberFormat="1" applyFont="1" applyFill="1" applyBorder="1" applyAlignment="1">
      <alignment vertical="center"/>
    </xf>
    <xf numFmtId="3" fontId="153" fillId="14" borderId="6" xfId="0" applyNumberFormat="1" applyFont="1" applyFill="1" applyBorder="1" applyAlignment="1">
      <alignment vertical="center" wrapText="1"/>
    </xf>
    <xf numFmtId="38" fontId="130" fillId="14" borderId="0" xfId="65" applyNumberFormat="1" applyFont="1" applyFill="1" applyAlignment="1" applyProtection="1">
      <alignment vertical="center"/>
      <protection hidden="1"/>
    </xf>
    <xf numFmtId="0" fontId="47" fillId="0" borderId="0" xfId="107" applyFont="1" applyFill="1" applyAlignment="1">
      <alignment horizontal="right" vertical="center"/>
    </xf>
    <xf numFmtId="0" fontId="198" fillId="0" borderId="0" xfId="0" applyFont="1" applyProtection="1">
      <protection locked="0"/>
    </xf>
    <xf numFmtId="0" fontId="198" fillId="0" borderId="0" xfId="0" applyFont="1" applyAlignment="1" applyProtection="1">
      <alignment horizontal="center"/>
      <protection locked="0"/>
    </xf>
    <xf numFmtId="0" fontId="184" fillId="26" borderId="6" xfId="0" applyFont="1" applyFill="1" applyBorder="1" applyAlignment="1" applyProtection="1">
      <alignment horizontal="right"/>
      <protection hidden="1"/>
    </xf>
    <xf numFmtId="0" fontId="186" fillId="27" borderId="40" xfId="163" applyFont="1" applyFill="1" applyBorder="1" applyAlignment="1">
      <alignment horizontal="center" vertical="center" wrapText="1"/>
    </xf>
    <xf numFmtId="0" fontId="186" fillId="27" borderId="41" xfId="163" applyFont="1" applyFill="1" applyBorder="1" applyAlignment="1">
      <alignment horizontal="center" vertical="center" wrapText="1"/>
    </xf>
    <xf numFmtId="0" fontId="186" fillId="27" borderId="42" xfId="163" applyFont="1" applyFill="1" applyBorder="1" applyAlignment="1">
      <alignment horizontal="center" vertical="center" wrapText="1"/>
    </xf>
    <xf numFmtId="0" fontId="186" fillId="27" borderId="43" xfId="163" applyFont="1" applyFill="1" applyBorder="1" applyAlignment="1">
      <alignment horizontal="center" vertical="center" wrapText="1"/>
    </xf>
    <xf numFmtId="0" fontId="186" fillId="27" borderId="5" xfId="163" applyFont="1" applyFill="1" applyBorder="1" applyAlignment="1">
      <alignment horizontal="center" vertical="center" wrapText="1"/>
    </xf>
    <xf numFmtId="0" fontId="186" fillId="27" borderId="44" xfId="163" applyFont="1" applyFill="1" applyBorder="1" applyAlignment="1">
      <alignment horizontal="center" vertical="center" wrapText="1"/>
    </xf>
    <xf numFmtId="0" fontId="182" fillId="26" borderId="0" xfId="0" applyFont="1" applyFill="1" applyAlignment="1">
      <alignment horizontal="center" vertical="center"/>
    </xf>
    <xf numFmtId="0" fontId="196" fillId="12" borderId="40" xfId="163" applyFont="1" applyFill="1" applyBorder="1" applyAlignment="1">
      <alignment horizontal="center" vertical="center" wrapText="1"/>
    </xf>
    <xf numFmtId="0" fontId="196" fillId="12" borderId="41" xfId="163" applyFont="1" applyFill="1" applyBorder="1" applyAlignment="1">
      <alignment horizontal="center" vertical="center" wrapText="1"/>
    </xf>
    <xf numFmtId="0" fontId="196" fillId="12" borderId="42" xfId="163" applyFont="1" applyFill="1" applyBorder="1" applyAlignment="1">
      <alignment horizontal="center" vertical="center" wrapText="1"/>
    </xf>
    <xf numFmtId="0" fontId="196" fillId="12" borderId="43" xfId="163" applyFont="1" applyFill="1" applyBorder="1" applyAlignment="1">
      <alignment horizontal="center" vertical="center" wrapText="1"/>
    </xf>
    <xf numFmtId="0" fontId="196" fillId="12" borderId="5" xfId="163" applyFont="1" applyFill="1" applyBorder="1" applyAlignment="1">
      <alignment horizontal="center" vertical="center" wrapText="1"/>
    </xf>
    <xf numFmtId="0" fontId="196" fillId="12" borderId="44" xfId="163" applyFont="1" applyFill="1" applyBorder="1" applyAlignment="1">
      <alignment horizontal="center" vertical="center" wrapText="1"/>
    </xf>
    <xf numFmtId="194" fontId="184" fillId="26" borderId="6" xfId="0" applyNumberFormat="1" applyFont="1" applyFill="1" applyBorder="1" applyAlignment="1" applyProtection="1">
      <alignment horizontal="left"/>
      <protection hidden="1"/>
    </xf>
    <xf numFmtId="0" fontId="184" fillId="26" borderId="6" xfId="0" applyFont="1" applyFill="1" applyBorder="1" applyAlignment="1" applyProtection="1">
      <alignment horizontal="center"/>
      <protection hidden="1"/>
    </xf>
    <xf numFmtId="0" fontId="184" fillId="26" borderId="6" xfId="0" applyFont="1" applyFill="1" applyBorder="1" applyAlignment="1" applyProtection="1">
      <alignment horizontal="center"/>
      <protection locked="0"/>
    </xf>
    <xf numFmtId="38" fontId="9" fillId="14" borderId="6" xfId="65" applyNumberFormat="1" applyFont="1" applyFill="1" applyBorder="1" applyAlignment="1" applyProtection="1">
      <alignment horizontal="center" vertical="center"/>
      <protection locked="0"/>
    </xf>
    <xf numFmtId="38" fontId="9" fillId="25" borderId="6" xfId="65" applyNumberFormat="1" applyFont="1" applyFill="1" applyBorder="1" applyAlignment="1" applyProtection="1">
      <alignment horizontal="center" vertical="center"/>
      <protection locked="0"/>
    </xf>
    <xf numFmtId="38" fontId="127" fillId="11" borderId="6" xfId="65" applyNumberFormat="1" applyFont="1" applyFill="1" applyBorder="1" applyAlignment="1" applyProtection="1">
      <alignment horizontal="center" vertical="center" wrapText="1"/>
      <protection locked="0"/>
    </xf>
    <xf numFmtId="38" fontId="127" fillId="14" borderId="6" xfId="65" applyNumberFormat="1" applyFont="1" applyFill="1" applyBorder="1" applyAlignment="1" applyProtection="1">
      <alignment horizontal="center" vertical="center" wrapText="1"/>
      <protection locked="0"/>
    </xf>
    <xf numFmtId="38" fontId="9" fillId="7" borderId="6" xfId="65" applyNumberFormat="1" applyFont="1" applyFill="1" applyBorder="1" applyAlignment="1" applyProtection="1">
      <alignment horizontal="center" vertical="center"/>
      <protection locked="0"/>
    </xf>
    <xf numFmtId="38" fontId="9" fillId="16" borderId="6" xfId="65" applyNumberFormat="1" applyFont="1" applyFill="1" applyBorder="1" applyAlignment="1" applyProtection="1">
      <alignment horizontal="center" vertical="center"/>
      <protection locked="0"/>
    </xf>
    <xf numFmtId="0" fontId="19" fillId="14" borderId="0" xfId="0" applyFont="1" applyFill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left"/>
      <protection hidden="1"/>
    </xf>
    <xf numFmtId="0" fontId="12" fillId="10" borderId="6" xfId="0" applyFont="1" applyFill="1" applyBorder="1" applyAlignment="1" applyProtection="1">
      <alignment horizontal="center" vertical="center" wrapText="1"/>
      <protection hidden="1"/>
    </xf>
    <xf numFmtId="0" fontId="12" fillId="10" borderId="6" xfId="0" applyFont="1" applyFill="1" applyBorder="1" applyAlignment="1" applyProtection="1">
      <alignment horizontal="center" vertical="center" wrapText="1"/>
      <protection locked="0"/>
    </xf>
    <xf numFmtId="0" fontId="12" fillId="10" borderId="6" xfId="0" applyFont="1" applyFill="1" applyBorder="1" applyAlignment="1" applyProtection="1">
      <alignment horizontal="center" vertical="center"/>
      <protection locked="0"/>
    </xf>
    <xf numFmtId="0" fontId="12" fillId="21" borderId="6" xfId="0" applyFont="1" applyFill="1" applyBorder="1" applyAlignment="1" applyProtection="1">
      <alignment horizontal="center" vertical="center"/>
      <protection locked="0"/>
    </xf>
    <xf numFmtId="173" fontId="12" fillId="10" borderId="6" xfId="0" applyNumberFormat="1" applyFont="1" applyFill="1" applyBorder="1" applyAlignment="1" applyProtection="1">
      <alignment horizontal="center" vertical="center" wrapText="1"/>
      <protection locked="0"/>
    </xf>
    <xf numFmtId="38" fontId="9" fillId="12" borderId="6" xfId="65" applyNumberFormat="1" applyFont="1" applyFill="1" applyBorder="1" applyAlignment="1" applyProtection="1">
      <alignment horizontal="center" vertical="center"/>
      <protection locked="0"/>
    </xf>
    <xf numFmtId="38" fontId="9" fillId="13" borderId="6" xfId="65" applyNumberFormat="1" applyFont="1" applyFill="1" applyBorder="1" applyAlignment="1" applyProtection="1">
      <alignment horizontal="center" vertical="center"/>
      <protection locked="0"/>
    </xf>
    <xf numFmtId="49" fontId="150" fillId="0" borderId="0" xfId="37" applyNumberFormat="1" applyFont="1" applyBorder="1" applyAlignment="1" applyProtection="1">
      <alignment horizontal="center" vertical="center" wrapText="1"/>
      <protection hidden="1"/>
    </xf>
    <xf numFmtId="0" fontId="150" fillId="0" borderId="0" xfId="37" applyFont="1" applyAlignment="1" applyProtection="1">
      <alignment horizontal="center" vertical="center"/>
      <protection hidden="1"/>
    </xf>
    <xf numFmtId="49" fontId="150" fillId="0" borderId="21" xfId="37" applyNumberFormat="1" applyFont="1" applyBorder="1" applyAlignment="1" applyProtection="1">
      <alignment horizontal="center" vertical="center" wrapText="1"/>
      <protection hidden="1"/>
    </xf>
    <xf numFmtId="176" fontId="150" fillId="0" borderId="32" xfId="37" applyNumberFormat="1" applyFont="1" applyBorder="1" applyAlignment="1" applyProtection="1">
      <alignment horizontal="center" vertical="center"/>
      <protection hidden="1"/>
    </xf>
    <xf numFmtId="176" fontId="150" fillId="0" borderId="16" xfId="37" applyNumberFormat="1" applyFont="1" applyBorder="1" applyAlignment="1" applyProtection="1">
      <alignment horizontal="center" vertical="center"/>
      <protection hidden="1"/>
    </xf>
    <xf numFmtId="176" fontId="150" fillId="0" borderId="31" xfId="37" applyNumberFormat="1" applyFont="1" applyBorder="1" applyAlignment="1" applyProtection="1">
      <alignment horizontal="center" vertical="center"/>
      <protection hidden="1"/>
    </xf>
    <xf numFmtId="49" fontId="150" fillId="0" borderId="21" xfId="105" applyNumberFormat="1" applyFont="1" applyBorder="1" applyAlignment="1" applyProtection="1">
      <alignment horizontal="center" vertical="center"/>
      <protection hidden="1"/>
    </xf>
    <xf numFmtId="49" fontId="150" fillId="0" borderId="0" xfId="105" applyNumberFormat="1" applyFont="1" applyBorder="1" applyAlignment="1" applyProtection="1">
      <alignment horizontal="center" vertical="center"/>
      <protection hidden="1"/>
    </xf>
    <xf numFmtId="0" fontId="5" fillId="0" borderId="21" xfId="105" applyNumberFormat="1" applyFont="1" applyBorder="1" applyAlignment="1" applyProtection="1">
      <alignment horizontal="center" vertical="center"/>
      <protection hidden="1"/>
    </xf>
    <xf numFmtId="0" fontId="5" fillId="0" borderId="0" xfId="105" applyNumberFormat="1" applyFont="1" applyBorder="1" applyAlignment="1" applyProtection="1">
      <alignment horizontal="center" vertical="center"/>
      <protection hidden="1"/>
    </xf>
    <xf numFmtId="49" fontId="150" fillId="0" borderId="32" xfId="105" applyNumberFormat="1" applyFont="1" applyBorder="1" applyAlignment="1" applyProtection="1">
      <alignment horizontal="center" vertical="center"/>
      <protection hidden="1"/>
    </xf>
    <xf numFmtId="49" fontId="150" fillId="0" borderId="16" xfId="105" applyNumberFormat="1" applyFont="1" applyBorder="1" applyAlignment="1" applyProtection="1">
      <alignment horizontal="center" vertical="center"/>
      <protection hidden="1"/>
    </xf>
    <xf numFmtId="49" fontId="150" fillId="0" borderId="32" xfId="37" applyNumberFormat="1" applyFont="1" applyBorder="1" applyAlignment="1" applyProtection="1">
      <alignment horizontal="center" vertical="center" wrapText="1"/>
      <protection hidden="1"/>
    </xf>
    <xf numFmtId="49" fontId="150" fillId="0" borderId="16" xfId="37" applyNumberFormat="1" applyFont="1" applyBorder="1" applyAlignment="1" applyProtection="1">
      <alignment horizontal="center" vertical="center" wrapText="1"/>
      <protection hidden="1"/>
    </xf>
    <xf numFmtId="0" fontId="5" fillId="0" borderId="21" xfId="37" applyNumberFormat="1" applyFont="1" applyBorder="1" applyAlignment="1" applyProtection="1">
      <alignment horizontal="center" vertical="center" wrapText="1"/>
      <protection hidden="1"/>
    </xf>
    <xf numFmtId="0" fontId="5" fillId="0" borderId="0" xfId="37" applyNumberFormat="1" applyFont="1" applyBorder="1" applyAlignment="1" applyProtection="1">
      <alignment horizontal="center" vertical="center" wrapText="1"/>
      <protection hidden="1"/>
    </xf>
    <xf numFmtId="1" fontId="5" fillId="0" borderId="0" xfId="105" applyNumberFormat="1" applyFont="1" applyAlignment="1" applyProtection="1">
      <alignment horizontal="center" vertical="center"/>
      <protection hidden="1"/>
    </xf>
    <xf numFmtId="49" fontId="150" fillId="0" borderId="0" xfId="105" applyNumberFormat="1" applyFont="1" applyAlignment="1" applyProtection="1">
      <alignment horizontal="center" vertical="center"/>
      <protection hidden="1"/>
    </xf>
    <xf numFmtId="0" fontId="5" fillId="0" borderId="0" xfId="105" applyNumberFormat="1" applyFont="1" applyAlignment="1" applyProtection="1">
      <alignment horizontal="center" vertical="center"/>
      <protection hidden="1"/>
    </xf>
    <xf numFmtId="49" fontId="150" fillId="0" borderId="0" xfId="37" applyNumberFormat="1" applyFont="1" applyAlignment="1" applyProtection="1">
      <alignment horizontal="center" vertical="center"/>
      <protection hidden="1"/>
    </xf>
    <xf numFmtId="3" fontId="160" fillId="0" borderId="26" xfId="37" applyNumberFormat="1" applyFont="1" applyFill="1" applyBorder="1" applyAlignment="1" applyProtection="1">
      <alignment horizontal="center" vertical="center"/>
      <protection hidden="1"/>
    </xf>
    <xf numFmtId="49" fontId="150" fillId="0" borderId="8" xfId="104" applyNumberFormat="1" applyFont="1" applyBorder="1" applyAlignment="1" applyProtection="1">
      <alignment horizontal="center" vertical="center" wrapText="1"/>
      <protection hidden="1"/>
    </xf>
    <xf numFmtId="49" fontId="150" fillId="0" borderId="22" xfId="104" applyNumberFormat="1" applyFont="1" applyBorder="1" applyAlignment="1" applyProtection="1">
      <alignment horizontal="center" vertical="center" wrapText="1"/>
      <protection hidden="1"/>
    </xf>
    <xf numFmtId="0" fontId="160" fillId="0" borderId="69" xfId="105" applyFont="1" applyBorder="1" applyAlignment="1" applyProtection="1">
      <alignment horizontal="center" vertical="center" wrapText="1"/>
      <protection hidden="1"/>
    </xf>
    <xf numFmtId="0" fontId="160" fillId="0" borderId="70" xfId="105" applyFont="1" applyBorder="1" applyAlignment="1" applyProtection="1">
      <alignment horizontal="center" vertical="center" wrapText="1"/>
      <protection hidden="1"/>
    </xf>
    <xf numFmtId="0" fontId="160" fillId="0" borderId="67" xfId="105" applyFont="1" applyBorder="1" applyAlignment="1" applyProtection="1">
      <alignment horizontal="center" vertical="center" wrapText="1"/>
      <protection hidden="1"/>
    </xf>
    <xf numFmtId="0" fontId="160" fillId="0" borderId="68" xfId="105" applyFont="1" applyBorder="1" applyAlignment="1" applyProtection="1">
      <alignment horizontal="center" vertical="center" wrapText="1"/>
      <protection hidden="1"/>
    </xf>
    <xf numFmtId="175" fontId="160" fillId="0" borderId="26" xfId="105" quotePrefix="1" applyNumberFormat="1" applyFont="1" applyBorder="1" applyAlignment="1" applyProtection="1">
      <alignment horizontal="center" vertical="center" wrapText="1"/>
      <protection hidden="1"/>
    </xf>
    <xf numFmtId="1" fontId="160" fillId="0" borderId="26" xfId="105" applyNumberFormat="1" applyFont="1" applyBorder="1" applyAlignment="1" applyProtection="1">
      <alignment horizontal="center" vertical="center" wrapText="1"/>
      <protection hidden="1"/>
    </xf>
    <xf numFmtId="0" fontId="160" fillId="0" borderId="26" xfId="37" applyFont="1" applyFill="1" applyBorder="1" applyAlignment="1" applyProtection="1">
      <alignment horizontal="left" vertical="center" wrapText="1"/>
      <protection hidden="1"/>
    </xf>
    <xf numFmtId="1" fontId="160" fillId="0" borderId="25" xfId="105" applyNumberFormat="1" applyFont="1" applyBorder="1" applyAlignment="1" applyProtection="1">
      <alignment horizontal="center" vertical="center" wrapText="1"/>
      <protection hidden="1"/>
    </xf>
    <xf numFmtId="3" fontId="160" fillId="0" borderId="26" xfId="37" applyNumberFormat="1" applyFont="1" applyFill="1" applyBorder="1" applyAlignment="1" applyProtection="1">
      <alignment horizontal="right" vertical="center"/>
      <protection hidden="1"/>
    </xf>
    <xf numFmtId="194" fontId="5" fillId="0" borderId="0" xfId="105" applyNumberFormat="1" applyFont="1" applyAlignment="1" applyProtection="1">
      <alignment horizontal="left" vertical="center"/>
      <protection hidden="1"/>
    </xf>
    <xf numFmtId="49" fontId="192" fillId="0" borderId="0" xfId="105" applyNumberFormat="1" applyFont="1" applyBorder="1" applyAlignment="1" applyProtection="1">
      <alignment horizontal="center" vertical="center"/>
      <protection hidden="1"/>
    </xf>
    <xf numFmtId="49" fontId="192" fillId="0" borderId="17" xfId="105" applyNumberFormat="1" applyFont="1" applyBorder="1" applyAlignment="1" applyProtection="1">
      <alignment horizontal="center" vertical="center"/>
      <protection hidden="1"/>
    </xf>
    <xf numFmtId="0" fontId="5" fillId="0" borderId="17" xfId="105" applyNumberFormat="1" applyFont="1" applyBorder="1" applyAlignment="1" applyProtection="1">
      <alignment horizontal="center" vertical="center"/>
      <protection hidden="1"/>
    </xf>
    <xf numFmtId="167" fontId="176" fillId="0" borderId="8" xfId="55" applyNumberFormat="1" applyFont="1" applyFill="1" applyBorder="1" applyAlignment="1" applyProtection="1">
      <alignment horizontal="right" vertical="center"/>
      <protection hidden="1"/>
    </xf>
    <xf numFmtId="167" fontId="176" fillId="0" borderId="22" xfId="55" applyNumberFormat="1" applyFont="1" applyFill="1" applyBorder="1" applyAlignment="1" applyProtection="1">
      <alignment horizontal="right" vertical="center"/>
      <protection hidden="1"/>
    </xf>
    <xf numFmtId="49" fontId="150" fillId="0" borderId="31" xfId="105" applyNumberFormat="1" applyFont="1" applyBorder="1" applyAlignment="1" applyProtection="1">
      <alignment horizontal="center" vertical="center"/>
      <protection hidden="1"/>
    </xf>
    <xf numFmtId="3" fontId="160" fillId="0" borderId="27" xfId="37" applyNumberFormat="1" applyFont="1" applyFill="1" applyBorder="1" applyAlignment="1" applyProtection="1">
      <alignment horizontal="right" vertical="center"/>
      <protection hidden="1"/>
    </xf>
    <xf numFmtId="0" fontId="10" fillId="0" borderId="63" xfId="37" applyFont="1" applyBorder="1" applyAlignment="1" applyProtection="1">
      <alignment horizontal="center" vertical="center" wrapText="1"/>
      <protection hidden="1"/>
    </xf>
    <xf numFmtId="0" fontId="10" fillId="0" borderId="64" xfId="37" applyFont="1" applyBorder="1" applyAlignment="1" applyProtection="1">
      <alignment horizontal="center" vertical="center"/>
      <protection hidden="1"/>
    </xf>
    <xf numFmtId="0" fontId="10" fillId="0" borderId="65" xfId="37" applyFont="1" applyBorder="1" applyAlignment="1" applyProtection="1">
      <alignment horizontal="center" vertical="center"/>
      <protection hidden="1"/>
    </xf>
    <xf numFmtId="0" fontId="10" fillId="0" borderId="66" xfId="37" applyFont="1" applyBorder="1" applyAlignment="1" applyProtection="1">
      <alignment horizontal="center" vertical="center"/>
      <protection hidden="1"/>
    </xf>
    <xf numFmtId="0" fontId="150" fillId="0" borderId="32" xfId="104" applyNumberFormat="1" applyFont="1" applyBorder="1" applyAlignment="1" applyProtection="1">
      <alignment horizontal="center" vertical="center"/>
      <protection hidden="1"/>
    </xf>
    <xf numFmtId="0" fontId="150" fillId="0" borderId="16" xfId="104" applyNumberFormat="1" applyFont="1" applyBorder="1" applyAlignment="1" applyProtection="1">
      <alignment horizontal="center" vertical="center"/>
      <protection hidden="1"/>
    </xf>
    <xf numFmtId="0" fontId="150" fillId="0" borderId="31" xfId="104" applyNumberFormat="1" applyFont="1" applyBorder="1" applyAlignment="1" applyProtection="1">
      <alignment horizontal="center" vertical="center"/>
      <protection hidden="1"/>
    </xf>
    <xf numFmtId="0" fontId="150" fillId="0" borderId="23" xfId="104" applyNumberFormat="1" applyFont="1" applyBorder="1" applyAlignment="1" applyProtection="1">
      <alignment horizontal="center" vertical="center"/>
      <protection hidden="1"/>
    </xf>
    <xf numFmtId="0" fontId="150" fillId="0" borderId="15" xfId="104" applyNumberFormat="1" applyFont="1" applyBorder="1" applyAlignment="1" applyProtection="1">
      <alignment horizontal="center" vertical="center"/>
      <protection hidden="1"/>
    </xf>
    <xf numFmtId="0" fontId="150" fillId="0" borderId="24" xfId="104" applyNumberFormat="1" applyFont="1" applyBorder="1" applyAlignment="1" applyProtection="1">
      <alignment horizontal="center" vertical="center"/>
      <protection hidden="1"/>
    </xf>
    <xf numFmtId="0" fontId="160" fillId="0" borderId="25" xfId="37" applyFont="1" applyFill="1" applyBorder="1" applyAlignment="1" applyProtection="1">
      <alignment horizontal="left" vertical="center" wrapText="1"/>
      <protection hidden="1"/>
    </xf>
    <xf numFmtId="1" fontId="73" fillId="0" borderId="0" xfId="37" applyNumberFormat="1" applyFont="1" applyAlignment="1" applyProtection="1">
      <alignment horizontal="center" vertical="center"/>
      <protection hidden="1"/>
    </xf>
    <xf numFmtId="0" fontId="190" fillId="0" borderId="0" xfId="37" applyFont="1" applyFill="1" applyBorder="1" applyAlignment="1" applyProtection="1">
      <alignment horizontal="center" vertical="center" wrapText="1"/>
      <protection hidden="1"/>
    </xf>
    <xf numFmtId="0" fontId="150" fillId="0" borderId="6" xfId="37" applyFont="1" applyBorder="1" applyAlignment="1" applyProtection="1">
      <alignment horizontal="center" vertical="center" wrapText="1"/>
      <protection hidden="1"/>
    </xf>
    <xf numFmtId="3" fontId="160" fillId="0" borderId="25" xfId="37" applyNumberFormat="1" applyFont="1" applyFill="1" applyBorder="1" applyAlignment="1" applyProtection="1">
      <alignment horizontal="right" vertical="center"/>
      <protection hidden="1"/>
    </xf>
    <xf numFmtId="49" fontId="150" fillId="0" borderId="6" xfId="104" applyNumberFormat="1" applyFont="1" applyBorder="1" applyAlignment="1" applyProtection="1">
      <alignment horizontal="center" vertical="center" wrapText="1"/>
      <protection hidden="1"/>
    </xf>
    <xf numFmtId="0" fontId="160" fillId="0" borderId="25" xfId="37" applyFont="1" applyBorder="1" applyAlignment="1" applyProtection="1">
      <alignment horizontal="center" vertical="center"/>
      <protection hidden="1"/>
    </xf>
    <xf numFmtId="49" fontId="150" fillId="0" borderId="32" xfId="104" applyNumberFormat="1" applyFont="1" applyBorder="1" applyAlignment="1" applyProtection="1">
      <alignment horizontal="center" vertical="center" wrapText="1"/>
      <protection hidden="1"/>
    </xf>
    <xf numFmtId="49" fontId="150" fillId="0" borderId="31" xfId="104" applyNumberFormat="1" applyFont="1" applyBorder="1" applyAlignment="1" applyProtection="1">
      <alignment horizontal="center" vertical="center" wrapText="1"/>
      <protection hidden="1"/>
    </xf>
    <xf numFmtId="49" fontId="150" fillId="0" borderId="23" xfId="104" applyNumberFormat="1" applyFont="1" applyBorder="1" applyAlignment="1" applyProtection="1">
      <alignment horizontal="center" vertical="center" wrapText="1"/>
      <protection hidden="1"/>
    </xf>
    <xf numFmtId="49" fontId="150" fillId="0" borderId="24" xfId="104" applyNumberFormat="1" applyFont="1" applyBorder="1" applyAlignment="1" applyProtection="1">
      <alignment horizontal="center" vertical="center" wrapText="1"/>
      <protection hidden="1"/>
    </xf>
    <xf numFmtId="175" fontId="160" fillId="0" borderId="25" xfId="105" quotePrefix="1" applyNumberFormat="1" applyFont="1" applyBorder="1" applyAlignment="1" applyProtection="1">
      <alignment horizontal="center" vertical="center" wrapText="1"/>
      <protection hidden="1"/>
    </xf>
    <xf numFmtId="1" fontId="150" fillId="0" borderId="32" xfId="104" applyNumberFormat="1" applyFont="1" applyBorder="1" applyAlignment="1" applyProtection="1">
      <alignment horizontal="center" vertical="center" wrapText="1"/>
      <protection hidden="1"/>
    </xf>
    <xf numFmtId="1" fontId="150" fillId="0" borderId="31" xfId="104" applyNumberFormat="1" applyFont="1" applyBorder="1" applyAlignment="1" applyProtection="1">
      <alignment horizontal="center" vertical="center" wrapText="1"/>
      <protection hidden="1"/>
    </xf>
    <xf numFmtId="1" fontId="150" fillId="0" borderId="23" xfId="104" applyNumberFormat="1" applyFont="1" applyBorder="1" applyAlignment="1" applyProtection="1">
      <alignment horizontal="center" vertical="center" wrapText="1"/>
      <protection hidden="1"/>
    </xf>
    <xf numFmtId="1" fontId="150" fillId="0" borderId="24" xfId="104" applyNumberFormat="1" applyFont="1" applyBorder="1" applyAlignment="1" applyProtection="1">
      <alignment horizontal="center" vertical="center" wrapText="1"/>
      <protection hidden="1"/>
    </xf>
    <xf numFmtId="49" fontId="150" fillId="0" borderId="0" xfId="105" applyNumberFormat="1" applyFont="1" applyAlignment="1" applyProtection="1">
      <alignment horizontal="right" vertical="center"/>
      <protection hidden="1"/>
    </xf>
    <xf numFmtId="0" fontId="189" fillId="0" borderId="0" xfId="37" applyFont="1" applyBorder="1" applyAlignment="1" applyProtection="1">
      <alignment horizontal="center" vertical="center" wrapText="1"/>
      <protection hidden="1"/>
    </xf>
    <xf numFmtId="3" fontId="160" fillId="0" borderId="27" xfId="37" applyNumberFormat="1" applyFont="1" applyFill="1" applyBorder="1" applyAlignment="1" applyProtection="1">
      <alignment horizontal="center" vertical="center"/>
      <protection hidden="1"/>
    </xf>
    <xf numFmtId="0" fontId="160" fillId="0" borderId="27" xfId="37" applyFont="1" applyFill="1" applyBorder="1" applyAlignment="1" applyProtection="1">
      <alignment horizontal="left" vertical="center" wrapText="1"/>
      <protection hidden="1"/>
    </xf>
    <xf numFmtId="1" fontId="160" fillId="0" borderId="27" xfId="105" applyNumberFormat="1" applyFont="1" applyBorder="1" applyAlignment="1" applyProtection="1">
      <alignment horizontal="center" vertical="center" wrapText="1"/>
      <protection hidden="1"/>
    </xf>
    <xf numFmtId="175" fontId="160" fillId="0" borderId="27" xfId="105" quotePrefix="1" applyNumberFormat="1" applyFont="1" applyBorder="1" applyAlignment="1" applyProtection="1">
      <alignment horizontal="center" vertical="center" wrapText="1"/>
      <protection hidden="1"/>
    </xf>
    <xf numFmtId="194" fontId="5" fillId="0" borderId="0" xfId="105" applyNumberFormat="1" applyFont="1" applyAlignment="1" applyProtection="1">
      <alignment horizontal="center" vertical="center"/>
      <protection hidden="1"/>
    </xf>
    <xf numFmtId="176" fontId="176" fillId="0" borderId="8" xfId="105" applyNumberFormat="1" applyFont="1" applyBorder="1" applyAlignment="1" applyProtection="1">
      <alignment horizontal="right" vertical="center"/>
      <protection hidden="1"/>
    </xf>
    <xf numFmtId="176" fontId="176" fillId="0" borderId="4" xfId="105" applyNumberFormat="1" applyFont="1" applyBorder="1" applyAlignment="1" applyProtection="1">
      <alignment horizontal="right" vertical="center"/>
      <protection hidden="1"/>
    </xf>
    <xf numFmtId="0" fontId="47" fillId="0" borderId="0" xfId="107" applyFont="1" applyFill="1" applyAlignment="1">
      <alignment horizontal="left" vertical="top" wrapText="1"/>
    </xf>
    <xf numFmtId="0" fontId="3" fillId="0" borderId="0" xfId="0" applyFont="1" applyFill="1" applyAlignment="1" applyProtection="1">
      <alignment horizontal="center" vertical="center" wrapText="1"/>
      <protection hidden="1"/>
    </xf>
    <xf numFmtId="38" fontId="12" fillId="7" borderId="8" xfId="65" applyNumberFormat="1" applyFont="1" applyFill="1" applyBorder="1" applyAlignment="1" applyProtection="1">
      <alignment horizontal="center" vertical="center" wrapText="1"/>
      <protection hidden="1"/>
    </xf>
    <xf numFmtId="38" fontId="12" fillId="7" borderId="4" xfId="65" applyNumberFormat="1" applyFont="1" applyFill="1" applyBorder="1" applyAlignment="1" applyProtection="1">
      <alignment horizontal="center" vertical="center" wrapText="1"/>
      <protection hidden="1"/>
    </xf>
    <xf numFmtId="38" fontId="12" fillId="7" borderId="22" xfId="65" applyNumberFormat="1" applyFont="1" applyFill="1" applyBorder="1" applyAlignment="1" applyProtection="1">
      <alignment horizontal="center" vertical="center" wrapText="1"/>
      <protection hidden="1"/>
    </xf>
    <xf numFmtId="0" fontId="12" fillId="7" borderId="11" xfId="0" applyFont="1" applyFill="1" applyBorder="1" applyAlignment="1" applyProtection="1">
      <alignment horizontal="center" vertical="center" wrapText="1"/>
      <protection hidden="1"/>
    </xf>
    <xf numFmtId="0" fontId="12" fillId="7" borderId="30" xfId="0" applyFont="1" applyFill="1" applyBorder="1" applyAlignment="1" applyProtection="1">
      <alignment horizontal="center" vertical="center" wrapText="1"/>
      <protection hidden="1"/>
    </xf>
    <xf numFmtId="0" fontId="12" fillId="7" borderId="8" xfId="0" applyFont="1" applyFill="1" applyBorder="1" applyAlignment="1" applyProtection="1">
      <alignment horizontal="center" vertical="center" wrapText="1"/>
      <protection hidden="1"/>
    </xf>
    <xf numFmtId="0" fontId="12" fillId="7" borderId="4" xfId="0" applyFont="1" applyFill="1" applyBorder="1" applyAlignment="1" applyProtection="1">
      <alignment horizontal="center" vertical="center" wrapText="1"/>
      <protection hidden="1"/>
    </xf>
    <xf numFmtId="0" fontId="12" fillId="7" borderId="22" xfId="0" applyFont="1" applyFill="1" applyBorder="1" applyAlignment="1" applyProtection="1">
      <alignment horizontal="center" vertical="center" wrapText="1"/>
      <protection hidden="1"/>
    </xf>
    <xf numFmtId="0" fontId="44" fillId="0" borderId="0" xfId="0" applyFont="1" applyAlignment="1" applyProtection="1">
      <alignment horizontal="center" vertical="center" wrapText="1"/>
      <protection hidden="1"/>
    </xf>
    <xf numFmtId="0" fontId="197" fillId="0" borderId="0" xfId="0" applyFont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right" vertical="center" wrapText="1"/>
      <protection hidden="1"/>
    </xf>
    <xf numFmtId="0" fontId="135" fillId="0" borderId="11" xfId="0" applyFont="1" applyBorder="1" applyAlignment="1" applyProtection="1">
      <alignment horizontal="center" vertical="center" wrapText="1"/>
      <protection hidden="1"/>
    </xf>
    <xf numFmtId="0" fontId="135" fillId="0" borderId="30" xfId="0" applyFont="1" applyBorder="1" applyAlignment="1" applyProtection="1">
      <alignment horizontal="center" vertical="center" wrapText="1"/>
      <protection hidden="1"/>
    </xf>
    <xf numFmtId="0" fontId="135" fillId="0" borderId="8" xfId="0" applyFont="1" applyBorder="1" applyAlignment="1" applyProtection="1">
      <alignment horizontal="center" vertical="center" wrapText="1"/>
      <protection hidden="1"/>
    </xf>
    <xf numFmtId="0" fontId="135" fillId="0" borderId="22" xfId="0" applyFont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hidden="1"/>
    </xf>
    <xf numFmtId="0" fontId="135" fillId="0" borderId="4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center"/>
      <protection hidden="1"/>
    </xf>
    <xf numFmtId="0" fontId="3" fillId="0" borderId="22" xfId="0" applyFont="1" applyBorder="1" applyAlignment="1" applyProtection="1">
      <alignment horizontal="center"/>
      <protection hidden="1"/>
    </xf>
    <xf numFmtId="0" fontId="146" fillId="0" borderId="16" xfId="0" applyFont="1" applyFill="1" applyBorder="1" applyAlignment="1" applyProtection="1">
      <alignment horizontal="center" vertical="center" wrapText="1"/>
      <protection hidden="1"/>
    </xf>
    <xf numFmtId="0" fontId="193" fillId="0" borderId="0" xfId="0" applyFont="1" applyAlignment="1" applyProtection="1">
      <alignment horizontal="center"/>
      <protection hidden="1"/>
    </xf>
    <xf numFmtId="0" fontId="12" fillId="7" borderId="6" xfId="0" applyFont="1" applyFill="1" applyBorder="1" applyAlignment="1" applyProtection="1">
      <alignment horizontal="center" vertical="center" wrapText="1"/>
      <protection hidden="1"/>
    </xf>
    <xf numFmtId="38" fontId="12" fillId="7" borderId="11" xfId="65" applyNumberFormat="1" applyFont="1" applyFill="1" applyBorder="1" applyAlignment="1" applyProtection="1">
      <alignment horizontal="center" vertical="center" wrapText="1"/>
      <protection hidden="1"/>
    </xf>
    <xf numFmtId="38" fontId="12" fillId="7" borderId="30" xfId="65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0" fontId="12" fillId="7" borderId="16" xfId="0" applyFont="1" applyFill="1" applyBorder="1" applyAlignment="1" applyProtection="1">
      <alignment horizontal="center" vertical="center" wrapText="1"/>
      <protection hidden="1"/>
    </xf>
    <xf numFmtId="0" fontId="12" fillId="7" borderId="31" xfId="0" applyFont="1" applyFill="1" applyBorder="1" applyAlignment="1" applyProtection="1">
      <alignment horizontal="center" vertical="center" wrapText="1"/>
      <protection hidden="1"/>
    </xf>
    <xf numFmtId="0" fontId="91" fillId="0" borderId="33" xfId="0" applyFont="1" applyBorder="1" applyAlignment="1">
      <alignment wrapText="1"/>
    </xf>
    <xf numFmtId="0" fontId="91" fillId="0" borderId="34" xfId="0" applyFont="1" applyBorder="1" applyAlignment="1">
      <alignment wrapText="1"/>
    </xf>
    <xf numFmtId="0" fontId="45" fillId="0" borderId="0" xfId="0" applyFont="1" applyAlignment="1">
      <alignment horizontal="center" vertical="center" wrapText="1"/>
    </xf>
    <xf numFmtId="0" fontId="91" fillId="0" borderId="35" xfId="0" applyFont="1" applyBorder="1" applyAlignment="1">
      <alignment horizontal="center"/>
    </xf>
    <xf numFmtId="0" fontId="91" fillId="0" borderId="0" xfId="0" applyFont="1" applyBorder="1" applyAlignment="1">
      <alignment horizontal="center"/>
    </xf>
    <xf numFmtId="0" fontId="91" fillId="0" borderId="36" xfId="0" applyFont="1" applyBorder="1" applyAlignment="1">
      <alignment horizontal="center"/>
    </xf>
    <xf numFmtId="0" fontId="91" fillId="0" borderId="6" xfId="0" applyFont="1" applyBorder="1" applyAlignment="1">
      <alignment wrapText="1"/>
    </xf>
    <xf numFmtId="0" fontId="44" fillId="0" borderId="0" xfId="107" applyFont="1" applyFill="1" applyBorder="1" applyAlignment="1">
      <alignment horizontal="center" vertical="center"/>
    </xf>
    <xf numFmtId="0" fontId="9" fillId="0" borderId="6" xfId="107" applyFont="1" applyFill="1" applyBorder="1" applyAlignment="1">
      <alignment horizontal="center" vertical="center" wrapText="1"/>
    </xf>
    <xf numFmtId="0" fontId="44" fillId="0" borderId="0" xfId="107" applyFont="1" applyFill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12" fillId="10" borderId="11" xfId="164" applyFont="1" applyFill="1" applyBorder="1" applyAlignment="1" applyProtection="1">
      <alignment horizontal="center" vertical="center" wrapText="1"/>
      <protection locked="0"/>
    </xf>
    <xf numFmtId="0" fontId="12" fillId="10" borderId="45" xfId="164" applyFont="1" applyFill="1" applyBorder="1" applyAlignment="1" applyProtection="1">
      <alignment horizontal="center" vertical="center" wrapText="1"/>
      <protection locked="0"/>
    </xf>
    <xf numFmtId="0" fontId="158" fillId="10" borderId="11" xfId="164" applyFont="1" applyFill="1" applyBorder="1" applyAlignment="1" applyProtection="1">
      <alignment horizontal="center" vertical="center" wrapText="1"/>
      <protection locked="0"/>
    </xf>
    <xf numFmtId="0" fontId="158" fillId="10" borderId="45" xfId="164" applyFont="1" applyFill="1" applyBorder="1" applyAlignment="1" applyProtection="1">
      <alignment horizontal="center" vertical="center" wrapText="1"/>
      <protection locked="0"/>
    </xf>
    <xf numFmtId="0" fontId="46" fillId="10" borderId="23" xfId="164" applyFont="1" applyFill="1" applyBorder="1" applyAlignment="1" applyProtection="1">
      <alignment horizontal="right" vertical="center" wrapText="1"/>
      <protection locked="0"/>
    </xf>
    <xf numFmtId="0" fontId="46" fillId="10" borderId="24" xfId="164" applyFont="1" applyFill="1" applyBorder="1" applyAlignment="1" applyProtection="1">
      <alignment horizontal="right" vertical="center" wrapText="1"/>
      <protection locked="0"/>
    </xf>
    <xf numFmtId="0" fontId="12" fillId="10" borderId="11" xfId="164" applyFont="1" applyFill="1" applyBorder="1" applyAlignment="1" applyProtection="1">
      <alignment horizontal="center" vertical="center" wrapText="1"/>
      <protection hidden="1"/>
    </xf>
    <xf numFmtId="0" fontId="12" fillId="10" borderId="45" xfId="164" applyFont="1" applyFill="1" applyBorder="1" applyAlignment="1" applyProtection="1">
      <alignment horizontal="center" vertical="center" wrapText="1"/>
      <protection hidden="1"/>
    </xf>
    <xf numFmtId="0" fontId="158" fillId="10" borderId="8" xfId="164" applyFont="1" applyFill="1" applyBorder="1" applyAlignment="1" applyProtection="1">
      <alignment horizontal="center" vertical="center" wrapText="1"/>
      <protection hidden="1"/>
    </xf>
    <xf numFmtId="0" fontId="158" fillId="10" borderId="22" xfId="164" applyFont="1" applyFill="1" applyBorder="1" applyAlignment="1" applyProtection="1">
      <alignment horizontal="center" vertical="center" wrapText="1"/>
      <protection hidden="1"/>
    </xf>
    <xf numFmtId="0" fontId="9" fillId="10" borderId="11" xfId="164" applyFont="1" applyFill="1" applyBorder="1" applyAlignment="1" applyProtection="1">
      <alignment horizontal="center" vertical="center" wrapText="1"/>
      <protection locked="0"/>
    </xf>
    <xf numFmtId="0" fontId="9" fillId="10" borderId="45" xfId="164" applyFont="1" applyFill="1" applyBorder="1" applyAlignment="1" applyProtection="1">
      <alignment horizontal="center" vertical="center" wrapText="1"/>
      <protection locked="0"/>
    </xf>
    <xf numFmtId="0" fontId="170" fillId="0" borderId="0" xfId="165" applyFont="1" applyFill="1" applyBorder="1" applyAlignment="1" applyProtection="1">
      <alignment horizontal="center" vertical="top"/>
      <protection hidden="1"/>
    </xf>
    <xf numFmtId="0" fontId="5" fillId="0" borderId="0" xfId="165" applyFont="1" applyFill="1" applyBorder="1" applyAlignment="1" applyProtection="1">
      <alignment horizontal="center" vertical="center"/>
      <protection hidden="1"/>
    </xf>
    <xf numFmtId="0" fontId="173" fillId="0" borderId="0" xfId="165" applyFont="1" applyFill="1" applyBorder="1" applyAlignment="1" applyProtection="1">
      <alignment horizontal="center" vertical="top" wrapText="1"/>
      <protection hidden="1"/>
    </xf>
    <xf numFmtId="0" fontId="76" fillId="0" borderId="0" xfId="165" applyFont="1" applyFill="1" applyBorder="1" applyAlignment="1" applyProtection="1">
      <alignment horizontal="left" vertical="top" wrapText="1"/>
      <protection hidden="1"/>
    </xf>
    <xf numFmtId="0" fontId="117" fillId="0" borderId="0" xfId="165" applyFont="1" applyFill="1" applyBorder="1" applyAlignment="1" applyProtection="1">
      <alignment vertical="center"/>
      <protection hidden="1"/>
    </xf>
    <xf numFmtId="0" fontId="171" fillId="0" borderId="0" xfId="165" applyFont="1" applyFill="1" applyBorder="1" applyAlignment="1" applyProtection="1">
      <alignment horizontal="center" vertical="center"/>
      <protection hidden="1"/>
    </xf>
    <xf numFmtId="0" fontId="117" fillId="0" borderId="0" xfId="165" applyFont="1" applyFill="1" applyBorder="1" applyAlignment="1" applyProtection="1">
      <alignment horizontal="center" vertical="top"/>
      <protection hidden="1"/>
    </xf>
    <xf numFmtId="0" fontId="176" fillId="0" borderId="0" xfId="165" applyFont="1" applyFill="1" applyBorder="1" applyAlignment="1" applyProtection="1">
      <alignment horizontal="center" vertical="center"/>
      <protection hidden="1"/>
    </xf>
    <xf numFmtId="0" fontId="160" fillId="0" borderId="0" xfId="165" applyFont="1" applyFill="1" applyBorder="1" applyAlignment="1" applyProtection="1">
      <alignment horizontal="center" vertical="center"/>
      <protection hidden="1"/>
    </xf>
    <xf numFmtId="171" fontId="10" fillId="0" borderId="15" xfId="65" applyNumberFormat="1" applyFont="1" applyFill="1" applyBorder="1" applyAlignment="1" applyProtection="1">
      <alignment horizontal="center" vertical="center"/>
      <protection hidden="1"/>
    </xf>
    <xf numFmtId="0" fontId="127" fillId="7" borderId="6" xfId="0" applyFont="1" applyFill="1" applyBorder="1" applyAlignment="1" applyProtection="1">
      <alignment horizontal="center" vertical="center" wrapText="1"/>
      <protection hidden="1"/>
    </xf>
    <xf numFmtId="0" fontId="9" fillId="7" borderId="6" xfId="0" applyFont="1" applyFill="1" applyBorder="1" applyAlignment="1" applyProtection="1">
      <alignment horizontal="center" vertical="center" wrapText="1"/>
      <protection hidden="1"/>
    </xf>
    <xf numFmtId="3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0" fontId="164" fillId="0" borderId="0" xfId="0" applyFont="1" applyFill="1" applyBorder="1" applyAlignment="1" applyProtection="1">
      <alignment horizontal="center" vertical="center"/>
      <protection hidden="1"/>
    </xf>
    <xf numFmtId="171" fontId="140" fillId="0" borderId="0" xfId="65" applyNumberFormat="1" applyFont="1" applyFill="1" applyBorder="1" applyAlignment="1" applyProtection="1">
      <alignment horizontal="center" vertical="center"/>
      <protection locked="0"/>
    </xf>
    <xf numFmtId="0" fontId="167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168" fillId="0" borderId="15" xfId="0" applyFont="1" applyFill="1" applyBorder="1" applyAlignment="1" applyProtection="1">
      <alignment horizontal="left" vertical="center"/>
      <protection hidden="1"/>
    </xf>
    <xf numFmtId="38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38" fontId="162" fillId="0" borderId="0" xfId="0" applyNumberFormat="1" applyFont="1" applyFill="1" applyAlignment="1" applyProtection="1">
      <alignment horizontal="center" vertical="center"/>
      <protection hidden="1"/>
    </xf>
    <xf numFmtId="171" fontId="140" fillId="0" borderId="0" xfId="65" applyNumberFormat="1" applyFont="1" applyFill="1" applyBorder="1" applyAlignment="1" applyProtection="1">
      <alignment horizontal="center" vertical="center"/>
      <protection hidden="1"/>
    </xf>
    <xf numFmtId="38" fontId="180" fillId="7" borderId="60" xfId="0" applyNumberFormat="1" applyFont="1" applyFill="1" applyBorder="1" applyAlignment="1" applyProtection="1">
      <alignment horizontal="center" vertical="center"/>
      <protection hidden="1"/>
    </xf>
    <xf numFmtId="38" fontId="180" fillId="7" borderId="53" xfId="0" applyNumberFormat="1" applyFont="1" applyFill="1" applyBorder="1" applyAlignment="1" applyProtection="1">
      <alignment horizontal="center" vertical="center"/>
      <protection hidden="1"/>
    </xf>
    <xf numFmtId="0" fontId="134" fillId="0" borderId="0" xfId="0" applyFont="1" applyBorder="1" applyAlignment="1" applyProtection="1">
      <alignment horizontal="center" vertical="center"/>
      <protection hidden="1"/>
    </xf>
    <xf numFmtId="171" fontId="148" fillId="0" borderId="15" xfId="65" applyNumberFormat="1" applyFont="1" applyFill="1" applyBorder="1" applyAlignment="1" applyProtection="1">
      <alignment horizontal="center" vertical="center"/>
      <protection hidden="1"/>
    </xf>
    <xf numFmtId="0" fontId="9" fillId="7" borderId="48" xfId="0" applyFont="1" applyFill="1" applyBorder="1" applyAlignment="1" applyProtection="1">
      <alignment horizontal="center" vertical="center" wrapText="1"/>
      <protection hidden="1"/>
    </xf>
    <xf numFmtId="0" fontId="9" fillId="7" borderId="50" xfId="0" applyFont="1" applyFill="1" applyBorder="1" applyAlignment="1" applyProtection="1">
      <alignment horizontal="center" vertical="center" wrapText="1"/>
      <protection hidden="1"/>
    </xf>
    <xf numFmtId="0" fontId="9" fillId="7" borderId="49" xfId="0" applyFont="1" applyFill="1" applyBorder="1" applyAlignment="1" applyProtection="1">
      <alignment horizontal="center" vertical="center" wrapText="1"/>
      <protection hidden="1"/>
    </xf>
    <xf numFmtId="0" fontId="9" fillId="7" borderId="30" xfId="0" applyFont="1" applyFill="1" applyBorder="1" applyAlignment="1" applyProtection="1">
      <alignment horizontal="center" vertical="center" wrapText="1"/>
      <protection hidden="1"/>
    </xf>
    <xf numFmtId="218" fontId="43" fillId="7" borderId="49" xfId="0" applyNumberFormat="1" applyFont="1" applyFill="1" applyBorder="1" applyAlignment="1" applyProtection="1">
      <alignment horizontal="center" vertical="center" wrapText="1"/>
      <protection hidden="1"/>
    </xf>
    <xf numFmtId="218" fontId="43" fillId="7" borderId="54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7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146" fillId="0" borderId="15" xfId="0" applyFont="1" applyBorder="1" applyAlignment="1" applyProtection="1">
      <alignment horizontal="center"/>
      <protection hidden="1"/>
    </xf>
    <xf numFmtId="0" fontId="9" fillId="0" borderId="11" xfId="0" applyFont="1" applyBorder="1" applyAlignment="1" applyProtection="1">
      <alignment horizontal="center" wrapText="1"/>
      <protection hidden="1"/>
    </xf>
    <xf numFmtId="0" fontId="9" fillId="0" borderId="10" xfId="0" applyFont="1" applyBorder="1" applyAlignment="1" applyProtection="1">
      <alignment horizontal="center" wrapText="1"/>
      <protection hidden="1"/>
    </xf>
    <xf numFmtId="0" fontId="9" fillId="0" borderId="30" xfId="0" applyFont="1" applyBorder="1" applyAlignment="1" applyProtection="1">
      <alignment horizontal="center" wrapText="1"/>
      <protection hidden="1"/>
    </xf>
    <xf numFmtId="3" fontId="9" fillId="0" borderId="11" xfId="0" applyNumberFormat="1" applyFont="1" applyBorder="1" applyAlignment="1" applyProtection="1">
      <alignment horizontal="center" vertical="center" wrapText="1"/>
      <protection hidden="1"/>
    </xf>
    <xf numFmtId="3" fontId="9" fillId="0" borderId="30" xfId="0" applyNumberFormat="1" applyFont="1" applyBorder="1" applyAlignment="1" applyProtection="1">
      <alignment horizontal="center" vertical="center" wrapText="1"/>
      <protection hidden="1"/>
    </xf>
    <xf numFmtId="0" fontId="121" fillId="0" borderId="30" xfId="0" applyFont="1" applyBorder="1" applyAlignment="1" applyProtection="1">
      <alignment horizontal="center" vertical="center" wrapText="1"/>
      <protection hidden="1"/>
    </xf>
    <xf numFmtId="0" fontId="9" fillId="0" borderId="8" xfId="0" applyFont="1" applyBorder="1" applyAlignment="1" applyProtection="1">
      <alignment horizontal="center" vertical="center"/>
      <protection hidden="1"/>
    </xf>
    <xf numFmtId="0" fontId="9" fillId="0" borderId="22" xfId="0" applyFont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center" vertical="center" wrapText="1"/>
      <protection hidden="1"/>
    </xf>
    <xf numFmtId="0" fontId="9" fillId="0" borderId="10" xfId="0" applyFont="1" applyBorder="1" applyAlignment="1" applyProtection="1">
      <alignment horizontal="center" vertical="center" wrapText="1"/>
      <protection hidden="1"/>
    </xf>
    <xf numFmtId="0" fontId="9" fillId="0" borderId="30" xfId="0" applyFont="1" applyBorder="1" applyAlignment="1" applyProtection="1">
      <alignment horizontal="center" vertical="center" wrapText="1"/>
      <protection hidden="1"/>
    </xf>
    <xf numFmtId="0" fontId="9" fillId="0" borderId="6" xfId="0" applyFont="1" applyBorder="1" applyAlignment="1" applyProtection="1">
      <alignment horizontal="center" vertical="center"/>
      <protection hidden="1"/>
    </xf>
    <xf numFmtId="3" fontId="9" fillId="0" borderId="0" xfId="0" applyNumberFormat="1" applyFont="1" applyAlignment="1" applyProtection="1">
      <alignment horizontal="center"/>
      <protection hidden="1"/>
    </xf>
    <xf numFmtId="0" fontId="9" fillId="0" borderId="8" xfId="0" applyFont="1" applyBorder="1" applyAlignment="1" applyProtection="1">
      <alignment horizontal="right"/>
      <protection hidden="1"/>
    </xf>
    <xf numFmtId="0" fontId="9" fillId="0" borderId="4" xfId="0" applyFont="1" applyBorder="1" applyAlignment="1" applyProtection="1">
      <alignment horizontal="right"/>
      <protection hidden="1"/>
    </xf>
    <xf numFmtId="0" fontId="9" fillId="0" borderId="22" xfId="0" applyFont="1" applyBorder="1" applyAlignment="1" applyProtection="1">
      <alignment horizontal="right"/>
      <protection hidden="1"/>
    </xf>
    <xf numFmtId="0" fontId="142" fillId="0" borderId="16" xfId="0" applyFont="1" applyBorder="1" applyAlignment="1" applyProtection="1">
      <alignment wrapText="1"/>
      <protection hidden="1"/>
    </xf>
    <xf numFmtId="0" fontId="148" fillId="0" borderId="0" xfId="0" applyFont="1" applyAlignment="1" applyProtection="1">
      <alignment horizontal="center"/>
      <protection hidden="1"/>
    </xf>
    <xf numFmtId="0" fontId="12" fillId="0" borderId="11" xfId="0" applyFont="1" applyBorder="1" applyAlignment="1" applyProtection="1">
      <alignment horizontal="center" vertical="center" wrapText="1"/>
      <protection hidden="1"/>
    </xf>
    <xf numFmtId="0" fontId="147" fillId="0" borderId="10" xfId="0" applyFont="1" applyBorder="1" applyAlignment="1" applyProtection="1">
      <alignment horizontal="center" vertical="center" wrapText="1"/>
      <protection hidden="1"/>
    </xf>
    <xf numFmtId="0" fontId="147" fillId="0" borderId="30" xfId="0" applyFont="1" applyBorder="1" applyAlignment="1" applyProtection="1">
      <alignment horizontal="center" vertical="center" wrapText="1"/>
      <protection hidden="1"/>
    </xf>
    <xf numFmtId="0" fontId="121" fillId="0" borderId="10" xfId="0" applyFont="1" applyBorder="1" applyAlignment="1" applyProtection="1">
      <alignment horizontal="center" vertical="center" wrapText="1"/>
      <protection hidden="1"/>
    </xf>
    <xf numFmtId="3" fontId="18" fillId="0" borderId="0" xfId="0" applyNumberFormat="1" applyFont="1" applyAlignment="1" applyProtection="1">
      <alignment horizontal="center"/>
      <protection hidden="1"/>
    </xf>
    <xf numFmtId="3" fontId="12" fillId="0" borderId="0" xfId="0" applyNumberFormat="1" applyFont="1" applyAlignment="1" applyProtection="1">
      <alignment horizontal="center"/>
      <protection hidden="1"/>
    </xf>
    <xf numFmtId="49" fontId="12" fillId="0" borderId="11" xfId="0" applyNumberFormat="1" applyFont="1" applyBorder="1" applyAlignment="1" applyProtection="1">
      <alignment horizontal="center" vertical="center" wrapText="1"/>
      <protection hidden="1"/>
    </xf>
    <xf numFmtId="49" fontId="12" fillId="0" borderId="30" xfId="0" applyNumberFormat="1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left"/>
      <protection hidden="1"/>
    </xf>
    <xf numFmtId="3" fontId="10" fillId="0" borderId="0" xfId="0" applyNumberFormat="1" applyFont="1" applyAlignment="1" applyProtection="1">
      <alignment horizontal="right"/>
      <protection hidden="1"/>
    </xf>
    <xf numFmtId="3" fontId="137" fillId="0" borderId="0" xfId="0" applyNumberFormat="1" applyFont="1" applyAlignment="1" applyProtection="1">
      <alignment horizontal="center"/>
      <protection hidden="1"/>
    </xf>
    <xf numFmtId="0" fontId="12" fillId="0" borderId="10" xfId="0" applyFont="1" applyBorder="1" applyAlignment="1" applyProtection="1">
      <alignment horizontal="center" vertical="center" wrapText="1"/>
      <protection hidden="1"/>
    </xf>
    <xf numFmtId="0" fontId="12" fillId="0" borderId="30" xfId="0" applyFont="1" applyBorder="1" applyAlignment="1" applyProtection="1">
      <alignment horizontal="center" vertical="center" wrapText="1"/>
      <protection hidden="1"/>
    </xf>
    <xf numFmtId="0" fontId="12" fillId="0" borderId="8" xfId="0" applyFont="1" applyBorder="1" applyAlignment="1" applyProtection="1">
      <alignment horizontal="center" vertical="center"/>
      <protection hidden="1"/>
    </xf>
    <xf numFmtId="0" fontId="12" fillId="0" borderId="4" xfId="0" applyFont="1" applyBorder="1" applyAlignment="1" applyProtection="1">
      <alignment horizontal="center" vertical="center"/>
      <protection hidden="1"/>
    </xf>
    <xf numFmtId="0" fontId="12" fillId="0" borderId="22" xfId="0" applyFont="1" applyBorder="1" applyAlignment="1" applyProtection="1">
      <alignment horizontal="center" vertical="center"/>
      <protection hidden="1"/>
    </xf>
    <xf numFmtId="3" fontId="12" fillId="0" borderId="8" xfId="0" applyNumberFormat="1" applyFont="1" applyBorder="1" applyAlignment="1" applyProtection="1">
      <alignment horizontal="center" vertical="center"/>
      <protection hidden="1"/>
    </xf>
    <xf numFmtId="3" fontId="12" fillId="0" borderId="22" xfId="0" applyNumberFormat="1" applyFont="1" applyBorder="1" applyAlignment="1" applyProtection="1">
      <alignment horizontal="center" vertical="center"/>
      <protection hidden="1"/>
    </xf>
    <xf numFmtId="171" fontId="9" fillId="0" borderId="0" xfId="65" applyNumberFormat="1" applyFont="1" applyBorder="1" applyAlignment="1">
      <alignment horizontal="center" vertical="center"/>
    </xf>
    <xf numFmtId="0" fontId="9" fillId="0" borderId="6" xfId="106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71" fontId="9" fillId="0" borderId="6" xfId="65" applyNumberFormat="1" applyFont="1" applyFill="1" applyBorder="1" applyAlignment="1" applyProtection="1">
      <alignment horizontal="center" vertical="center" wrapText="1"/>
      <protection locked="0"/>
    </xf>
    <xf numFmtId="171" fontId="119" fillId="0" borderId="0" xfId="65" applyNumberFormat="1" applyFont="1" applyBorder="1" applyAlignment="1">
      <alignment horizontal="center" vertical="center"/>
    </xf>
    <xf numFmtId="171" fontId="9" fillId="0" borderId="6" xfId="65" applyNumberFormat="1" applyFont="1" applyFill="1" applyBorder="1" applyAlignment="1">
      <alignment horizontal="center" vertical="center"/>
    </xf>
    <xf numFmtId="0" fontId="136" fillId="0" borderId="0" xfId="0" applyFont="1" applyAlignment="1">
      <alignment horizontal="center" vertical="center"/>
    </xf>
    <xf numFmtId="38" fontId="9" fillId="16" borderId="11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30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8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4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22" xfId="65" applyNumberFormat="1" applyFont="1" applyFill="1" applyBorder="1" applyAlignment="1" applyProtection="1">
      <alignment horizontal="center" vertical="center" wrapText="1"/>
      <protection locked="0"/>
    </xf>
    <xf numFmtId="0" fontId="3" fillId="18" borderId="11" xfId="0" applyFont="1" applyFill="1" applyBorder="1" applyAlignment="1">
      <alignment horizontal="center" vertical="center" wrapText="1"/>
    </xf>
    <xf numFmtId="0" fontId="3" fillId="18" borderId="3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18" borderId="8" xfId="0" applyFont="1" applyFill="1" applyBorder="1" applyAlignment="1">
      <alignment horizontal="center" vertical="center" wrapText="1"/>
    </xf>
    <xf numFmtId="0" fontId="9" fillId="18" borderId="22" xfId="0" applyFont="1" applyFill="1" applyBorder="1" applyAlignment="1">
      <alignment horizontal="center" vertical="center" wrapText="1"/>
    </xf>
    <xf numFmtId="0" fontId="9" fillId="18" borderId="11" xfId="0" applyFont="1" applyFill="1" applyBorder="1" applyAlignment="1">
      <alignment horizontal="center" vertical="center" wrapText="1"/>
    </xf>
    <xf numFmtId="0" fontId="9" fillId="18" borderId="30" xfId="0" applyFont="1" applyFill="1" applyBorder="1" applyAlignment="1">
      <alignment horizontal="center" vertical="center" wrapText="1"/>
    </xf>
  </cellXfs>
  <cellStyles count="168">
    <cellStyle name="          _x000d__x000a_shell=progman.exe_x000d__x000a_m" xfId="1"/>
    <cellStyle name="# ##0" xfId="2"/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[0]_Book1" xfId="8"/>
    <cellStyle name="???_???" xfId="9"/>
    <cellStyle name="??_(????)??????" xfId="10"/>
    <cellStyle name="_Book1" xfId="11"/>
    <cellStyle name="_Tong hop may cheu nganh 1" xfId="12"/>
    <cellStyle name="•W€_STDFOR" xfId="13"/>
    <cellStyle name="W_STDFOR" xfId="14"/>
    <cellStyle name="00" xfId="15"/>
    <cellStyle name="1" xfId="16"/>
    <cellStyle name="¹éºÐÀ²_±âÅ¸" xfId="17"/>
    <cellStyle name="2" xfId="18"/>
    <cellStyle name="20" xfId="19"/>
    <cellStyle name="3" xfId="20"/>
    <cellStyle name="4" xfId="21"/>
    <cellStyle name="6" xfId="22"/>
    <cellStyle name="6_Opensoure" xfId="23"/>
    <cellStyle name="ÅëÈ­ [0]_¿ì¹°Åë" xfId="24"/>
    <cellStyle name="AeE­ [0]_INQUIRY ¿µ¾÷AßAø " xfId="25"/>
    <cellStyle name="ÅëÈ­ [0]_S" xfId="26"/>
    <cellStyle name="ÅëÈ­_¿ì¹°Åë" xfId="27"/>
    <cellStyle name="AeE­_INQUIRY ¿µ¾÷AßAø " xfId="28"/>
    <cellStyle name="ÅëÈ­_S" xfId="29"/>
    <cellStyle name="args.style" xfId="30"/>
    <cellStyle name="ÄÞ¸¶ [0]_¿ì¹°Åë" xfId="31"/>
    <cellStyle name="AÞ¸¶ [0]_INQUIRY ¿?¾÷AßAø " xfId="32"/>
    <cellStyle name="ÄÞ¸¶ [0]_L601CPT" xfId="33"/>
    <cellStyle name="ÄÞ¸¶_¿ì¹°Åë" xfId="34"/>
    <cellStyle name="AÞ¸¶_INQUIRY ¿?¾÷AßAø " xfId="35"/>
    <cellStyle name="ÄÞ¸¶_L601CPT" xfId="36"/>
    <cellStyle name="Bình thường 2" xfId="37"/>
    <cellStyle name="Bình thường 3" xfId="38"/>
    <cellStyle name="Bình thường 4" xfId="164"/>
    <cellStyle name="Body" xfId="39"/>
    <cellStyle name="C?AØ_¿?¾÷CoE² " xfId="40"/>
    <cellStyle name="Ç¥ÁØ_#2(M17)_1" xfId="41"/>
    <cellStyle name="C￥AØ_¿μ¾÷CoE² " xfId="42"/>
    <cellStyle name="Ç¥ÁØ_±³°¢¼ö·®" xfId="43"/>
    <cellStyle name="C￥AØ_Sheet1_¿μ¾÷CoE² " xfId="44"/>
    <cellStyle name="Calc Currency (0)" xfId="45"/>
    <cellStyle name="category" xfId="46"/>
    <cellStyle name="Comma" xfId="65" builtinId="3"/>
    <cellStyle name="Comma  - Style1" xfId="47"/>
    <cellStyle name="Comma  - Style2" xfId="48"/>
    <cellStyle name="Comma  - Style3" xfId="49"/>
    <cellStyle name="Comma  - Style4" xfId="50"/>
    <cellStyle name="Comma  - Style5" xfId="51"/>
    <cellStyle name="Comma  - Style6" xfId="52"/>
    <cellStyle name="Comma  - Style7" xfId="53"/>
    <cellStyle name="Comma  - Style8" xfId="54"/>
    <cellStyle name="Comma 2" xfId="55"/>
    <cellStyle name="Comma 2 2" xfId="56"/>
    <cellStyle name="Comma 3" xfId="57"/>
    <cellStyle name="comma zerodec" xfId="58"/>
    <cellStyle name="Comma_So quy tien mat 2011" xfId="166"/>
    <cellStyle name="Comma0" xfId="59"/>
    <cellStyle name="Copied" xfId="60"/>
    <cellStyle name="Currency0" xfId="61"/>
    <cellStyle name="Currency1" xfId="62"/>
    <cellStyle name="D1" xfId="63"/>
    <cellStyle name="Date" xfId="64"/>
    <cellStyle name="ddmmyy" xfId="66"/>
    <cellStyle name="Dezimal [0]_NEGS" xfId="67"/>
    <cellStyle name="Dezimal_NEGS" xfId="68"/>
    <cellStyle name="Dollar (zero dec)" xfId="69"/>
    <cellStyle name="e" xfId="70"/>
    <cellStyle name="Entered" xfId="71"/>
    <cellStyle name="f" xfId="72"/>
    <cellStyle name="Fixed" xfId="73"/>
    <cellStyle name="Grey" xfId="74"/>
    <cellStyle name="Head 1" xfId="75"/>
    <cellStyle name="HEADER" xfId="76"/>
    <cellStyle name="Header1" xfId="77"/>
    <cellStyle name="Header2" xfId="78"/>
    <cellStyle name="Heading 1" xfId="79"/>
    <cellStyle name="Heading 2" xfId="80"/>
    <cellStyle name="Heading1" xfId="81"/>
    <cellStyle name="Heading2" xfId="82"/>
    <cellStyle name="HEADINGS" xfId="83"/>
    <cellStyle name="HEADINGSTOP" xfId="84"/>
    <cellStyle name="Hyperlink" xfId="163" builtinId="8"/>
    <cellStyle name="Input [yellow]" xfId="85"/>
    <cellStyle name="Ledger 17 x 11 in" xfId="86"/>
    <cellStyle name="Millares [0]_Well Timing" xfId="87"/>
    <cellStyle name="Millares_Well Timing" xfId="88"/>
    <cellStyle name="Model" xfId="89"/>
    <cellStyle name="moi" xfId="90"/>
    <cellStyle name="Moneda [0]_Well Timing" xfId="91"/>
    <cellStyle name="Moneda_Well Timing" xfId="92"/>
    <cellStyle name="Monétaire [0]_TARIFFS DB" xfId="93"/>
    <cellStyle name="Monétaire_TARIFFS DB" xfId="94"/>
    <cellStyle name="n" xfId="95"/>
    <cellStyle name="New Times Roman" xfId="96"/>
    <cellStyle name="no dec" xfId="97"/>
    <cellStyle name="Normal" xfId="0" builtinId="0"/>
    <cellStyle name="Normal - Style1" xfId="98"/>
    <cellStyle name="Normal 10" xfId="99"/>
    <cellStyle name="Normal 2" xfId="100"/>
    <cellStyle name="Normal 3" xfId="101"/>
    <cellStyle name="Normal 9" xfId="102"/>
    <cellStyle name="Normal VN" xfId="103"/>
    <cellStyle name="Normal_In phieu thu-chi" xfId="165"/>
    <cellStyle name="Normal_In phieu thu-chi (ATGT)" xfId="167"/>
    <cellStyle name="Normal_Sheet3" xfId="104"/>
    <cellStyle name="Normal_Sheet4" xfId="105"/>
    <cellStyle name="Normal_So sach KT" xfId="106"/>
    <cellStyle name="Normal_Su nghiep" xfId="107"/>
    <cellStyle name="Normal_Theo doi du toan, nhan du toan (von NS tinh)" xfId="108"/>
    <cellStyle name="Normal1" xfId="109"/>
    <cellStyle name="Œ…‹æØ‚è [0.00]_laroux" xfId="110"/>
    <cellStyle name="Œ…‹æØ‚è_laroux" xfId="111"/>
    <cellStyle name="oft Excel]_x000d__x000a_Comment=The open=/f lines load custom functions into the Paste Function list._x000d__x000a_Maximized=2_x000d__x000a_Basics=1_x000d__x000a_A" xfId="112"/>
    <cellStyle name="oft Excel]_x000d__x000a_Comment=The open=/f lines load custom functions into the Paste Function list._x000d__x000a_Maximized=3_x000d__x000a_Basics=1_x000d__x000a_A" xfId="113"/>
    <cellStyle name="omma [0]_Mktg Prog" xfId="114"/>
    <cellStyle name="ormal_Sheet1_1" xfId="115"/>
    <cellStyle name="per.style" xfId="116"/>
    <cellStyle name="Percent [2]" xfId="117"/>
    <cellStyle name="regstoresfromspecstores" xfId="118"/>
    <cellStyle name="RevList" xfId="119"/>
    <cellStyle name="s]_x000d__x000a_spooler=yes_x000d__x000a_load=_x000d__x000a_Beep=yes_x000d__x000a_NullPort=None_x000d__x000a_BorderWidth=3_x000d__x000a_CursorBlinkRate=1200_x000d__x000a_DoubleClickSpeed=452_x000d__x000a_Programs=co" xfId="120"/>
    <cellStyle name="SHADEDSTORES" xfId="121"/>
    <cellStyle name="specstores" xfId="122"/>
    <cellStyle name="Standard_NEGS" xfId="123"/>
    <cellStyle name="Style 1" xfId="124"/>
    <cellStyle name="Style Date" xfId="125"/>
    <cellStyle name="style_1" xfId="126"/>
    <cellStyle name="subhead" xfId="127"/>
    <cellStyle name="Subtotal" xfId="128"/>
    <cellStyle name="T" xfId="129"/>
    <cellStyle name="T_Book1" xfId="130"/>
    <cellStyle name="T_Opensoure" xfId="131"/>
    <cellStyle name="Total" xfId="132"/>
    <cellStyle name="th" xfId="133"/>
    <cellStyle name="þ_x001d_ð·_x000c_æþ'_x000d_ßþU_x0001_Ø_x0005_ü_x0014__x0007__x0001__x0001_" xfId="134"/>
    <cellStyle name="þ_x001d_ðÇ%Uý—&amp;Hý9_x0008_Ÿ_x0009_s_x000a__x0007__x0001__x0001_" xfId="135"/>
    <cellStyle name="viet" xfId="136"/>
    <cellStyle name="viet2" xfId="137"/>
    <cellStyle name="vntxt1" xfId="138"/>
    <cellStyle name="vnhead3" xfId="139"/>
    <cellStyle name="Währung [0]_UXO VII" xfId="140"/>
    <cellStyle name="Währung_UXO VII" xfId="141"/>
    <cellStyle name="xuan" xfId="142"/>
    <cellStyle name=" [0.00]_ Att. 1- Cover" xfId="143"/>
    <cellStyle name="_ Att. 1- Cover" xfId="144"/>
    <cellStyle name="?_ Att. 1- Cover" xfId="145"/>
    <cellStyle name="똿뗦먛귟 [0.00]_PRODUCT DETAIL Q1" xfId="146"/>
    <cellStyle name="똿뗦먛귟_PRODUCT DETAIL Q1" xfId="147"/>
    <cellStyle name="믅됞 [0.00]_PRODUCT DETAIL Q1" xfId="148"/>
    <cellStyle name="믅됞_PRODUCT DETAIL Q1" xfId="149"/>
    <cellStyle name="백분율_95" xfId="150"/>
    <cellStyle name="뷭?_BOOKSHIP" xfId="151"/>
    <cellStyle name="콤마 [0]_ 비목별 월별기술 " xfId="152"/>
    <cellStyle name="콤마_ 비목별 월별기술 " xfId="153"/>
    <cellStyle name="통화 [0]_1202" xfId="154"/>
    <cellStyle name="통화_1202" xfId="155"/>
    <cellStyle name="표준_(정보부문)월별인원계획" xfId="156"/>
    <cellStyle name="一般_00Q3902REV.1" xfId="157"/>
    <cellStyle name="千分位[0]_00Q3902REV.1" xfId="158"/>
    <cellStyle name="千分位_00Q3902REV.1" xfId="159"/>
    <cellStyle name="貨幣 [0]_00Q3902REV.1" xfId="160"/>
    <cellStyle name="貨幣[0]_BRE" xfId="161"/>
    <cellStyle name="貨幣_00Q3902REV.1" xfId="162"/>
  </cellStyles>
  <dxfs count="26"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</dxfs>
  <tableStyles count="0" defaultTableStyle="TableStyleMedium9" defaultPivotStyle="PivotStyleLight16"/>
  <colors>
    <mruColors>
      <color rgb="FF0F0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image" Target="../media/image2.jpeg"/><Relationship Id="rId1" Type="http://schemas.openxmlformats.org/officeDocument/2006/relationships/hyperlink" Target="#'In Giay RDT'!A1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Nhap lieu'!A1"/><Relationship Id="rId2" Type="http://schemas.openxmlformats.org/officeDocument/2006/relationships/image" Target="../media/image3.png"/><Relationship Id="rId1" Type="http://schemas.openxmlformats.org/officeDocument/2006/relationships/hyperlink" Target="#Menu!A1"/><Relationship Id="rId6" Type="http://schemas.openxmlformats.org/officeDocument/2006/relationships/image" Target="../media/image5.png"/><Relationship Id="rId5" Type="http://schemas.openxmlformats.org/officeDocument/2006/relationships/hyperlink" Target="#'Bang ke'!A1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Nhap lieu'!A1"/><Relationship Id="rId2" Type="http://schemas.openxmlformats.org/officeDocument/2006/relationships/image" Target="../media/image3.png"/><Relationship Id="rId1" Type="http://schemas.openxmlformats.org/officeDocument/2006/relationships/hyperlink" Target="#Menu!A1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Nhap lieu'!A1"/><Relationship Id="rId2" Type="http://schemas.openxmlformats.org/officeDocument/2006/relationships/image" Target="../media/image3.png"/><Relationship Id="rId1" Type="http://schemas.openxmlformats.org/officeDocument/2006/relationships/hyperlink" Target="#Menu!A1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Nhap lieu'!A1"/><Relationship Id="rId2" Type="http://schemas.openxmlformats.org/officeDocument/2006/relationships/image" Target="../media/image3.png"/><Relationship Id="rId1" Type="http://schemas.openxmlformats.org/officeDocument/2006/relationships/hyperlink" Target="#Menu!A1"/><Relationship Id="rId4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image" Target="../media/image10.jpeg"/><Relationship Id="rId1" Type="http://schemas.openxmlformats.org/officeDocument/2006/relationships/hyperlink" Target="#'Phieu chi'!A1"/><Relationship Id="rId4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DS Chi'!A1"/><Relationship Id="rId2" Type="http://schemas.openxmlformats.org/officeDocument/2006/relationships/image" Target="../media/image3.png"/><Relationship Id="rId1" Type="http://schemas.openxmlformats.org/officeDocument/2006/relationships/hyperlink" Target="#Menu!A1"/><Relationship Id="rId4" Type="http://schemas.openxmlformats.org/officeDocument/2006/relationships/image" Target="../media/image11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DS Chi'!A1"/><Relationship Id="rId2" Type="http://schemas.openxmlformats.org/officeDocument/2006/relationships/image" Target="../media/image3.png"/><Relationship Id="rId1" Type="http://schemas.openxmlformats.org/officeDocument/2006/relationships/hyperlink" Target="#Menu!A1"/><Relationship Id="rId4" Type="http://schemas.openxmlformats.org/officeDocument/2006/relationships/image" Target="../media/image13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10</xdr:col>
          <xdr:colOff>666750</xdr:colOff>
          <xdr:row>1</xdr:row>
          <xdr:rowOff>333375</xdr:rowOff>
        </xdr:to>
        <xdr:sp macro="" textlink="">
          <xdr:nvSpPr>
            <xdr:cNvPr id="25309" name="ComboBox1" hidden="1">
              <a:extLst>
                <a:ext uri="{63B3BB69-23CF-44E3-9099-C40C66FF867C}">
                  <a14:compatExt spid="_x0000_s25309"/>
                </a:ext>
                <a:ext uri="{FF2B5EF4-FFF2-40B4-BE49-F238E27FC236}">
                  <a16:creationId xmlns:a16="http://schemas.microsoft.com/office/drawing/2014/main" id="{00000000-0008-0000-0100-0000DD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11</xdr:col>
      <xdr:colOff>231402</xdr:colOff>
      <xdr:row>0</xdr:row>
      <xdr:rowOff>0</xdr:rowOff>
    </xdr:from>
    <xdr:to>
      <xdr:col>11</xdr:col>
      <xdr:colOff>800100</xdr:colOff>
      <xdr:row>2</xdr:row>
      <xdr:rowOff>66675</xdr:rowOff>
    </xdr:to>
    <xdr:pic>
      <xdr:nvPicPr>
        <xdr:cNvPr id="25527" name="Ảnh 7" descr="Kết quả hình ảnh cho icon máy i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B76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2" t="4514" r="5904" b="6943"/>
        <a:stretch>
          <a:fillRect/>
        </a:stretch>
      </xdr:blipFill>
      <xdr:spPr bwMode="auto">
        <a:xfrm>
          <a:off x="1676961" y="0"/>
          <a:ext cx="568698" cy="570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152400</xdr:colOff>
      <xdr:row>0</xdr:row>
      <xdr:rowOff>57150</xdr:rowOff>
    </xdr:from>
    <xdr:to>
      <xdr:col>12</xdr:col>
      <xdr:colOff>685800</xdr:colOff>
      <xdr:row>2</xdr:row>
      <xdr:rowOff>19050</xdr:rowOff>
    </xdr:to>
    <xdr:pic>
      <xdr:nvPicPr>
        <xdr:cNvPr id="11" name="Picture 10" descr="Kết quả hình ảnh cho icon hom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57150"/>
          <a:ext cx="533400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2</xdr:row>
      <xdr:rowOff>9525</xdr:rowOff>
    </xdr:from>
    <xdr:to>
      <xdr:col>9</xdr:col>
      <xdr:colOff>371475</xdr:colOff>
      <xdr:row>5</xdr:row>
      <xdr:rowOff>9525</xdr:rowOff>
    </xdr:to>
    <xdr:cxnSp macro="">
      <xdr:nvCxnSpPr>
        <xdr:cNvPr id="5" name="Đường kết nối Thẳng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4343400" y="590550"/>
          <a:ext cx="0" cy="7143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17</xdr:col>
      <xdr:colOff>209550</xdr:colOff>
      <xdr:row>0</xdr:row>
      <xdr:rowOff>47626</xdr:rowOff>
    </xdr:from>
    <xdr:to>
      <xdr:col>18</xdr:col>
      <xdr:colOff>404134</xdr:colOff>
      <xdr:row>2</xdr:row>
      <xdr:rowOff>95251</xdr:rowOff>
    </xdr:to>
    <xdr:pic>
      <xdr:nvPicPr>
        <xdr:cNvPr id="6" name="Picture 5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1550" y="47626"/>
          <a:ext cx="718458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209550</xdr:colOff>
      <xdr:row>3</xdr:row>
      <xdr:rowOff>85725</xdr:rowOff>
    </xdr:from>
    <xdr:to>
      <xdr:col>18</xdr:col>
      <xdr:colOff>419101</xdr:colOff>
      <xdr:row>6</xdr:row>
      <xdr:rowOff>200025</xdr:rowOff>
    </xdr:to>
    <xdr:pic>
      <xdr:nvPicPr>
        <xdr:cNvPr id="7" name="Picture 6" descr="Kết quả hình ảnh cho icon danh sách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1550" y="847725"/>
          <a:ext cx="733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228600</xdr:colOff>
      <xdr:row>7</xdr:row>
      <xdr:rowOff>228600</xdr:rowOff>
    </xdr:from>
    <xdr:to>
      <xdr:col>18</xdr:col>
      <xdr:colOff>390525</xdr:colOff>
      <xdr:row>10</xdr:row>
      <xdr:rowOff>200025</xdr:rowOff>
    </xdr:to>
    <xdr:pic>
      <xdr:nvPicPr>
        <xdr:cNvPr id="13" name="Picture 12" descr="Kết quả hình ảnh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1905000"/>
          <a:ext cx="685800" cy="685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9525</xdr:rowOff>
        </xdr:from>
        <xdr:to>
          <xdr:col>4</xdr:col>
          <xdr:colOff>0</xdr:colOff>
          <xdr:row>3</xdr:row>
          <xdr:rowOff>57150</xdr:rowOff>
        </xdr:to>
        <xdr:sp macro="" textlink="">
          <xdr:nvSpPr>
            <xdr:cNvPr id="3147" name="HopChon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00000000-0008-0000-0300-00004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4</xdr:col>
      <xdr:colOff>0</xdr:colOff>
      <xdr:row>112</xdr:row>
      <xdr:rowOff>0</xdr:rowOff>
    </xdr:from>
    <xdr:to>
      <xdr:col>4</xdr:col>
      <xdr:colOff>304800</xdr:colOff>
      <xdr:row>113</xdr:row>
      <xdr:rowOff>66675</xdr:rowOff>
    </xdr:to>
    <xdr:sp macro="" textlink="">
      <xdr:nvSpPr>
        <xdr:cNvPr id="3149" name="AutoShape 77" descr="Kết quả hình ảnh cho icon home">
          <a:extLst>
            <a:ext uri="{FF2B5EF4-FFF2-40B4-BE49-F238E27FC236}">
              <a16:creationId xmlns:a16="http://schemas.microsoft.com/office/drawing/2014/main" id="{00000000-0008-0000-0300-00004D0C0000}"/>
            </a:ext>
          </a:extLst>
        </xdr:cNvPr>
        <xdr:cNvSpPr>
          <a:spLocks noChangeAspect="1" noChangeArrowheads="1"/>
        </xdr:cNvSpPr>
      </xdr:nvSpPr>
      <xdr:spPr bwMode="auto">
        <a:xfrm>
          <a:off x="2266950" y="318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219075</xdr:colOff>
      <xdr:row>0</xdr:row>
      <xdr:rowOff>0</xdr:rowOff>
    </xdr:from>
    <xdr:to>
      <xdr:col>1</xdr:col>
      <xdr:colOff>281667</xdr:colOff>
      <xdr:row>0</xdr:row>
      <xdr:rowOff>304799</xdr:rowOff>
    </xdr:to>
    <xdr:pic>
      <xdr:nvPicPr>
        <xdr:cNvPr id="5" name="Picture 4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0"/>
          <a:ext cx="348342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352425</xdr:colOff>
      <xdr:row>1</xdr:row>
      <xdr:rowOff>19050</xdr:rowOff>
    </xdr:to>
    <xdr:pic>
      <xdr:nvPicPr>
        <xdr:cNvPr id="8" name="Picture 7" descr="Kết quả hình ảnh cho icon danh sách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0"/>
          <a:ext cx="3524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0</xdr:row>
      <xdr:rowOff>66674</xdr:rowOff>
    </xdr:from>
    <xdr:to>
      <xdr:col>2</xdr:col>
      <xdr:colOff>704850</xdr:colOff>
      <xdr:row>3</xdr:row>
      <xdr:rowOff>142874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209550" y="66674"/>
          <a:ext cx="116205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.VnTime"/>
            </a:rPr>
            <a:t>Kh«ng  ghi   vµo khu vùc nµy</a:t>
          </a:r>
        </a:p>
      </xdr:txBody>
    </xdr:sp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108859</xdr:colOff>
      <xdr:row>4</xdr:row>
      <xdr:rowOff>104775</xdr:rowOff>
    </xdr:to>
    <xdr:pic>
      <xdr:nvPicPr>
        <xdr:cNvPr id="3" name="Picture 2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9475" y="209550"/>
          <a:ext cx="718459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5</xdr:row>
      <xdr:rowOff>19049</xdr:rowOff>
    </xdr:from>
    <xdr:to>
      <xdr:col>13</xdr:col>
      <xdr:colOff>123826</xdr:colOff>
      <xdr:row>9</xdr:row>
      <xdr:rowOff>123824</xdr:rowOff>
    </xdr:to>
    <xdr:pic>
      <xdr:nvPicPr>
        <xdr:cNvPr id="4" name="Picture 3" descr="Kết quả hình ảnh cho icon danh sách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9475" y="1066799"/>
          <a:ext cx="733426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228600</xdr:colOff>
      <xdr:row>2</xdr:row>
      <xdr:rowOff>38100</xdr:rowOff>
    </xdr:to>
    <xdr:sp macro="" textlink="">
      <xdr:nvSpPr>
        <xdr:cNvPr id="6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Arrowheads="1"/>
        </xdr:cNvSpPr>
      </xdr:nvSpPr>
      <xdr:spPr bwMode="auto">
        <a:xfrm>
          <a:off x="9725025" y="0"/>
          <a:ext cx="838200" cy="600075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38</xdr:col>
      <xdr:colOff>304800</xdr:colOff>
      <xdr:row>0</xdr:row>
      <xdr:rowOff>0</xdr:rowOff>
    </xdr:from>
    <xdr:to>
      <xdr:col>39</xdr:col>
      <xdr:colOff>320352</xdr:colOff>
      <xdr:row>3</xdr:row>
      <xdr:rowOff>61232</xdr:rowOff>
    </xdr:to>
    <xdr:pic>
      <xdr:nvPicPr>
        <xdr:cNvPr id="8" name="Picture 7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0"/>
          <a:ext cx="625152" cy="5470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304800</xdr:colOff>
      <xdr:row>3</xdr:row>
      <xdr:rowOff>276224</xdr:rowOff>
    </xdr:from>
    <xdr:to>
      <xdr:col>39</xdr:col>
      <xdr:colOff>333375</xdr:colOff>
      <xdr:row>7</xdr:row>
      <xdr:rowOff>200024</xdr:rowOff>
    </xdr:to>
    <xdr:pic>
      <xdr:nvPicPr>
        <xdr:cNvPr id="9" name="Picture 8" descr="Kết quả hình ảnh cho icon danh sách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800099"/>
          <a:ext cx="63817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161925</xdr:colOff>
      <xdr:row>0</xdr:row>
      <xdr:rowOff>85725</xdr:rowOff>
    </xdr:from>
    <xdr:to>
      <xdr:col>12</xdr:col>
      <xdr:colOff>880383</xdr:colOff>
      <xdr:row>3</xdr:row>
      <xdr:rowOff>66675</xdr:rowOff>
    </xdr:to>
    <xdr:pic>
      <xdr:nvPicPr>
        <xdr:cNvPr id="3" name="Picture 2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85725"/>
          <a:ext cx="718458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342900</xdr:colOff>
      <xdr:row>0</xdr:row>
      <xdr:rowOff>0</xdr:rowOff>
    </xdr:from>
    <xdr:to>
      <xdr:col>4</xdr:col>
      <xdr:colOff>838200</xdr:colOff>
      <xdr:row>2</xdr:row>
      <xdr:rowOff>116840</xdr:rowOff>
    </xdr:to>
    <xdr:pic>
      <xdr:nvPicPr>
        <xdr:cNvPr id="2" name="Ảnh 7" descr="Kết quả hình ảnh cho icon máy i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2" t="4514" r="5904" b="6943"/>
        <a:stretch>
          <a:fillRect/>
        </a:stretch>
      </xdr:blipFill>
      <xdr:spPr bwMode="auto">
        <a:xfrm>
          <a:off x="2181225" y="0"/>
          <a:ext cx="495300" cy="4787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209550</xdr:rowOff>
        </xdr:from>
        <xdr:to>
          <xdr:col>4</xdr:col>
          <xdr:colOff>95250</xdr:colOff>
          <xdr:row>2</xdr:row>
          <xdr:rowOff>76200</xdr:rowOff>
        </xdr:to>
        <xdr:sp macro="" textlink="">
          <xdr:nvSpPr>
            <xdr:cNvPr id="47107" name="ComboBox1" hidden="1">
              <a:extLst>
                <a:ext uri="{63B3BB69-23CF-44E3-9099-C40C66FF867C}">
                  <a14:compatExt spid="_x0000_s47107"/>
                </a:ext>
                <a:ext uri="{FF2B5EF4-FFF2-40B4-BE49-F238E27FC236}">
                  <a16:creationId xmlns:a16="http://schemas.microsoft.com/office/drawing/2014/main" id="{00000000-0008-0000-0800-000003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1104899</xdr:colOff>
      <xdr:row>0</xdr:row>
      <xdr:rowOff>0</xdr:rowOff>
    </xdr:from>
    <xdr:to>
      <xdr:col>5</xdr:col>
      <xdr:colOff>129267</xdr:colOff>
      <xdr:row>2</xdr:row>
      <xdr:rowOff>76200</xdr:rowOff>
    </xdr:to>
    <xdr:pic>
      <xdr:nvPicPr>
        <xdr:cNvPr id="5" name="Picture 4" descr="Kết quả hình ảnh cho icon hom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4" y="0"/>
          <a:ext cx="500743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515937</xdr:colOff>
      <xdr:row>1</xdr:row>
      <xdr:rowOff>59531</xdr:rowOff>
    </xdr:from>
    <xdr:to>
      <xdr:col>12</xdr:col>
      <xdr:colOff>734217</xdr:colOff>
      <xdr:row>4</xdr:row>
      <xdr:rowOff>174872</xdr:rowOff>
    </xdr:to>
    <xdr:pic>
      <xdr:nvPicPr>
        <xdr:cNvPr id="5" name="Picture 4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1093" y="158750"/>
          <a:ext cx="823515" cy="72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515938</xdr:colOff>
      <xdr:row>5</xdr:row>
      <xdr:rowOff>158750</xdr:rowOff>
    </xdr:from>
    <xdr:to>
      <xdr:col>12</xdr:col>
      <xdr:colOff>754062</xdr:colOff>
      <xdr:row>9</xdr:row>
      <xdr:rowOff>136847</xdr:rowOff>
    </xdr:to>
    <xdr:pic>
      <xdr:nvPicPr>
        <xdr:cNvPr id="7" name="Picture 6" descr="Kết quả hình ảnh cho icon danh sách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57" b="8929"/>
        <a:stretch/>
      </xdr:blipFill>
      <xdr:spPr bwMode="auto">
        <a:xfrm>
          <a:off x="7481094" y="1041797"/>
          <a:ext cx="843359" cy="8115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4</xdr:col>
          <xdr:colOff>704850</xdr:colOff>
          <xdr:row>2</xdr:row>
          <xdr:rowOff>57150</xdr:rowOff>
        </xdr:to>
        <xdr:sp macro="" textlink="">
          <xdr:nvSpPr>
            <xdr:cNvPr id="50177" name="HopChon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id="{00000000-0008-0000-0A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9</xdr:col>
      <xdr:colOff>85725</xdr:colOff>
      <xdr:row>1</xdr:row>
      <xdr:rowOff>1</xdr:rowOff>
    </xdr:from>
    <xdr:to>
      <xdr:col>9</xdr:col>
      <xdr:colOff>522804</xdr:colOff>
      <xdr:row>2</xdr:row>
      <xdr:rowOff>125269</xdr:rowOff>
    </xdr:to>
    <xdr:pic>
      <xdr:nvPicPr>
        <xdr:cNvPr id="6" name="Picture 5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86925" y="76201"/>
          <a:ext cx="437079" cy="3824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85727</xdr:colOff>
      <xdr:row>3</xdr:row>
      <xdr:rowOff>95251</xdr:rowOff>
    </xdr:from>
    <xdr:to>
      <xdr:col>9</xdr:col>
      <xdr:colOff>590551</xdr:colOff>
      <xdr:row>5</xdr:row>
      <xdr:rowOff>180975</xdr:rowOff>
    </xdr:to>
    <xdr:pic>
      <xdr:nvPicPr>
        <xdr:cNvPr id="8" name="Picture 7" descr="Kết quả hình ảnh cho icon danh sách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57" b="8929"/>
        <a:stretch/>
      </xdr:blipFill>
      <xdr:spPr bwMode="auto">
        <a:xfrm>
          <a:off x="9686927" y="666751"/>
          <a:ext cx="504824" cy="485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</xdr:colOff>
      <xdr:row>0</xdr:row>
      <xdr:rowOff>0</xdr:rowOff>
    </xdr:from>
    <xdr:to>
      <xdr:col>8</xdr:col>
      <xdr:colOff>175533</xdr:colOff>
      <xdr:row>2</xdr:row>
      <xdr:rowOff>247650</xdr:rowOff>
    </xdr:to>
    <xdr:pic>
      <xdr:nvPicPr>
        <xdr:cNvPr id="7" name="Picture 6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0"/>
          <a:ext cx="718458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0</xdr:row>
      <xdr:rowOff>0</xdr:rowOff>
    </xdr:from>
    <xdr:to>
      <xdr:col>15</xdr:col>
      <xdr:colOff>718458</xdr:colOff>
      <xdr:row>3</xdr:row>
      <xdr:rowOff>85725</xdr:rowOff>
    </xdr:to>
    <xdr:pic>
      <xdr:nvPicPr>
        <xdr:cNvPr id="5" name="Picture 4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718458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28575</xdr:colOff>
      <xdr:row>0</xdr:row>
      <xdr:rowOff>0</xdr:rowOff>
    </xdr:from>
    <xdr:to>
      <xdr:col>11</xdr:col>
      <xdr:colOff>747033</xdr:colOff>
      <xdr:row>2</xdr:row>
      <xdr:rowOff>190500</xdr:rowOff>
    </xdr:to>
    <xdr:pic>
      <xdr:nvPicPr>
        <xdr:cNvPr id="5" name="Picture 4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0"/>
          <a:ext cx="718458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0</xdr:rowOff>
    </xdr:from>
    <xdr:to>
      <xdr:col>1</xdr:col>
      <xdr:colOff>103415</xdr:colOff>
      <xdr:row>1</xdr:row>
      <xdr:rowOff>142874</xdr:rowOff>
    </xdr:to>
    <xdr:pic>
      <xdr:nvPicPr>
        <xdr:cNvPr id="6" name="Picture 5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598715" cy="523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33619</xdr:colOff>
      <xdr:row>2</xdr:row>
      <xdr:rowOff>42021</xdr:rowOff>
    </xdr:to>
    <xdr:pic>
      <xdr:nvPicPr>
        <xdr:cNvPr id="5" name="Picture 4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560294" cy="4902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0</xdr:row>
      <xdr:rowOff>0</xdr:rowOff>
    </xdr:from>
    <xdr:to>
      <xdr:col>1</xdr:col>
      <xdr:colOff>93889</xdr:colOff>
      <xdr:row>2</xdr:row>
      <xdr:rowOff>66675</xdr:rowOff>
    </xdr:to>
    <xdr:pic>
      <xdr:nvPicPr>
        <xdr:cNvPr id="3" name="Picture 2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0"/>
          <a:ext cx="52251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6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9.emf"/><Relationship Id="rId4" Type="http://schemas.openxmlformats.org/officeDocument/2006/relationships/control" Target="../activeX/activeX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5" Type="http://schemas.openxmlformats.org/officeDocument/2006/relationships/image" Target="../media/image12.emf"/><Relationship Id="rId4" Type="http://schemas.openxmlformats.org/officeDocument/2006/relationships/control" Target="../activeX/activeX4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25"/>
  <sheetViews>
    <sheetView showGridLines="0" workbookViewId="0">
      <selection activeCell="B15" sqref="B15:D16"/>
    </sheetView>
  </sheetViews>
  <sheetFormatPr defaultRowHeight="12.75"/>
  <cols>
    <col min="1" max="1" width="3.7109375" style="694" customWidth="1"/>
    <col min="2" max="4" width="9.42578125" style="694" customWidth="1"/>
    <col min="5" max="5" width="4.85546875" style="694" customWidth="1"/>
    <col min="6" max="8" width="9.42578125" style="694" customWidth="1"/>
    <col min="9" max="9" width="4.85546875" style="694" customWidth="1"/>
    <col min="10" max="10" width="9.42578125" style="694" customWidth="1"/>
    <col min="11" max="11" width="9.42578125" style="695" customWidth="1"/>
    <col min="12" max="12" width="9.42578125" style="694" customWidth="1"/>
    <col min="13" max="13" width="5.42578125" style="694" customWidth="1"/>
    <col min="14" max="19" width="9.42578125" style="694" customWidth="1"/>
    <col min="20" max="16384" width="9.140625" style="694"/>
  </cols>
  <sheetData>
    <row r="1" spans="1:19" ht="6.75" customHeight="1"/>
    <row r="2" spans="1:19" s="696" customFormat="1" ht="21" customHeight="1">
      <c r="A2" s="842" t="s">
        <v>448</v>
      </c>
      <c r="B2" s="842"/>
      <c r="C2" s="842"/>
      <c r="D2" s="842"/>
      <c r="E2" s="842"/>
      <c r="F2" s="842"/>
      <c r="G2" s="842"/>
      <c r="H2" s="842"/>
      <c r="I2" s="842"/>
      <c r="J2" s="842"/>
      <c r="K2" s="842"/>
      <c r="L2" s="842"/>
      <c r="M2" s="842"/>
    </row>
    <row r="3" spans="1:19" s="696" customFormat="1" ht="21" customHeight="1">
      <c r="A3" s="842" t="s">
        <v>449</v>
      </c>
      <c r="B3" s="842"/>
      <c r="C3" s="842"/>
      <c r="D3" s="842"/>
      <c r="E3" s="842"/>
      <c r="F3" s="842"/>
      <c r="G3" s="842"/>
      <c r="H3" s="842"/>
      <c r="I3" s="842"/>
      <c r="J3" s="842"/>
      <c r="K3" s="842"/>
      <c r="L3" s="842"/>
      <c r="M3" s="842"/>
    </row>
    <row r="4" spans="1:19" s="696" customFormat="1" ht="21" customHeight="1">
      <c r="A4" s="697"/>
      <c r="B4" s="835" t="str">
        <f>"Hôm nay:"</f>
        <v>Hôm nay:</v>
      </c>
      <c r="C4" s="835"/>
      <c r="D4" s="849">
        <f ca="1">TODAY()</f>
        <v>43174</v>
      </c>
      <c r="E4" s="849"/>
      <c r="F4" s="849"/>
      <c r="H4" s="850" t="s">
        <v>659</v>
      </c>
      <c r="I4" s="850"/>
      <c r="J4" s="850"/>
      <c r="K4" s="851">
        <v>2017</v>
      </c>
      <c r="L4" s="851"/>
    </row>
    <row r="5" spans="1:19" ht="10.5" customHeight="1" thickBot="1">
      <c r="O5" s="696"/>
      <c r="P5" s="696"/>
      <c r="Q5" s="696"/>
      <c r="R5" s="696"/>
      <c r="S5" s="696"/>
    </row>
    <row r="6" spans="1:19" s="698" customFormat="1" ht="18" customHeight="1">
      <c r="B6" s="836" t="s">
        <v>538</v>
      </c>
      <c r="C6" s="837"/>
      <c r="D6" s="838"/>
      <c r="F6" s="843" t="s">
        <v>647</v>
      </c>
      <c r="G6" s="844"/>
      <c r="H6" s="845"/>
      <c r="J6" s="836" t="s">
        <v>601</v>
      </c>
      <c r="K6" s="837"/>
      <c r="L6" s="838"/>
      <c r="O6" s="696"/>
      <c r="P6" s="696"/>
      <c r="Q6" s="696"/>
      <c r="R6" s="696"/>
      <c r="S6" s="696"/>
    </row>
    <row r="7" spans="1:19" s="698" customFormat="1" ht="18" customHeight="1" thickBot="1">
      <c r="B7" s="839"/>
      <c r="C7" s="840"/>
      <c r="D7" s="841"/>
      <c r="F7" s="846"/>
      <c r="G7" s="847"/>
      <c r="H7" s="848"/>
      <c r="J7" s="839"/>
      <c r="K7" s="840"/>
      <c r="L7" s="841"/>
      <c r="O7" s="696"/>
      <c r="P7" s="696"/>
      <c r="Q7" s="696"/>
      <c r="R7" s="696"/>
      <c r="S7" s="696"/>
    </row>
    <row r="8" spans="1:19" s="698" customFormat="1" ht="12.75" customHeight="1" thickBot="1">
      <c r="K8" s="699"/>
      <c r="O8" s="696"/>
      <c r="P8" s="696"/>
      <c r="Q8" s="696"/>
      <c r="R8" s="696"/>
      <c r="S8" s="696"/>
    </row>
    <row r="9" spans="1:19" s="698" customFormat="1" ht="18" customHeight="1">
      <c r="B9" s="836" t="s">
        <v>587</v>
      </c>
      <c r="C9" s="837"/>
      <c r="D9" s="838"/>
      <c r="F9" s="836" t="s">
        <v>648</v>
      </c>
      <c r="G9" s="837"/>
      <c r="H9" s="838"/>
      <c r="J9" s="836" t="s">
        <v>576</v>
      </c>
      <c r="K9" s="837"/>
      <c r="L9" s="838"/>
      <c r="O9" s="696"/>
      <c r="P9" s="696"/>
      <c r="Q9" s="696"/>
      <c r="R9" s="696"/>
      <c r="S9" s="696"/>
    </row>
    <row r="10" spans="1:19" s="698" customFormat="1" ht="18" customHeight="1" thickBot="1">
      <c r="B10" s="839"/>
      <c r="C10" s="840"/>
      <c r="D10" s="841"/>
      <c r="F10" s="839"/>
      <c r="G10" s="840"/>
      <c r="H10" s="841"/>
      <c r="J10" s="839"/>
      <c r="K10" s="840"/>
      <c r="L10" s="841"/>
      <c r="O10" s="696"/>
      <c r="P10" s="696"/>
      <c r="Q10" s="696"/>
      <c r="R10" s="696"/>
      <c r="S10" s="696"/>
    </row>
    <row r="11" spans="1:19" s="698" customFormat="1" ht="12.75" customHeight="1" thickBot="1">
      <c r="G11" s="700"/>
      <c r="K11" s="700"/>
      <c r="O11" s="696"/>
      <c r="P11" s="696"/>
      <c r="Q11" s="696"/>
      <c r="R11" s="696"/>
      <c r="S11" s="696"/>
    </row>
    <row r="12" spans="1:19" s="698" customFormat="1" ht="18" customHeight="1">
      <c r="B12" s="836" t="s">
        <v>600</v>
      </c>
      <c r="C12" s="837"/>
      <c r="D12" s="838"/>
      <c r="F12" s="836" t="s">
        <v>539</v>
      </c>
      <c r="G12" s="837"/>
      <c r="H12" s="838"/>
      <c r="J12" s="836" t="s">
        <v>559</v>
      </c>
      <c r="K12" s="837"/>
      <c r="L12" s="838"/>
      <c r="O12" s="696"/>
      <c r="P12" s="696"/>
      <c r="Q12" s="696"/>
      <c r="R12" s="696"/>
      <c r="S12" s="696"/>
    </row>
    <row r="13" spans="1:19" s="698" customFormat="1" ht="18" customHeight="1" thickBot="1">
      <c r="B13" s="839"/>
      <c r="C13" s="840"/>
      <c r="D13" s="841"/>
      <c r="F13" s="839"/>
      <c r="G13" s="840"/>
      <c r="H13" s="841"/>
      <c r="J13" s="839"/>
      <c r="K13" s="840"/>
      <c r="L13" s="841"/>
      <c r="O13" s="694"/>
      <c r="P13" s="694"/>
      <c r="Q13" s="694"/>
    </row>
    <row r="14" spans="1:19" s="698" customFormat="1" ht="12.75" customHeight="1" thickBot="1">
      <c r="G14" s="700"/>
      <c r="K14" s="700"/>
      <c r="O14" s="694"/>
      <c r="P14" s="694"/>
      <c r="Q14" s="694"/>
    </row>
    <row r="15" spans="1:19" s="698" customFormat="1" ht="18" customHeight="1">
      <c r="B15" s="836" t="s">
        <v>599</v>
      </c>
      <c r="C15" s="837"/>
      <c r="D15" s="838"/>
      <c r="F15" s="836" t="s">
        <v>596</v>
      </c>
      <c r="G15" s="837"/>
      <c r="H15" s="838"/>
      <c r="J15" s="836" t="s">
        <v>548</v>
      </c>
      <c r="K15" s="837"/>
      <c r="L15" s="838"/>
      <c r="O15" s="694"/>
      <c r="P15" s="694"/>
      <c r="Q15" s="694"/>
    </row>
    <row r="16" spans="1:19" s="698" customFormat="1" ht="18" customHeight="1" thickBot="1">
      <c r="B16" s="839"/>
      <c r="C16" s="840"/>
      <c r="D16" s="841"/>
      <c r="F16" s="839"/>
      <c r="G16" s="840"/>
      <c r="H16" s="841"/>
      <c r="J16" s="839"/>
      <c r="K16" s="840"/>
      <c r="L16" s="841"/>
      <c r="O16" s="694"/>
      <c r="P16" s="694"/>
      <c r="Q16" s="694"/>
    </row>
    <row r="17" spans="2:17" s="698" customFormat="1" ht="12.75" customHeight="1" thickBot="1">
      <c r="G17" s="699"/>
      <c r="K17" s="700"/>
      <c r="O17" s="694"/>
      <c r="P17" s="694"/>
      <c r="Q17" s="694"/>
    </row>
    <row r="18" spans="2:17" s="698" customFormat="1" ht="18" customHeight="1">
      <c r="B18" s="836" t="s">
        <v>594</v>
      </c>
      <c r="C18" s="837"/>
      <c r="D18" s="838"/>
      <c r="F18" s="836" t="s">
        <v>597</v>
      </c>
      <c r="G18" s="837"/>
      <c r="H18" s="838"/>
      <c r="J18" s="836" t="s">
        <v>595</v>
      </c>
      <c r="K18" s="837"/>
      <c r="L18" s="838"/>
      <c r="O18" s="694"/>
      <c r="P18" s="694"/>
      <c r="Q18" s="694"/>
    </row>
    <row r="19" spans="2:17" s="698" customFormat="1" ht="18" customHeight="1" thickBot="1">
      <c r="B19" s="839"/>
      <c r="C19" s="840"/>
      <c r="D19" s="841"/>
      <c r="F19" s="839"/>
      <c r="G19" s="840"/>
      <c r="H19" s="841"/>
      <c r="J19" s="839"/>
      <c r="K19" s="840"/>
      <c r="L19" s="841"/>
      <c r="O19" s="694"/>
      <c r="P19" s="694"/>
      <c r="Q19" s="694"/>
    </row>
    <row r="20" spans="2:17" s="701" customFormat="1" ht="21" customHeight="1">
      <c r="K20" s="702"/>
      <c r="O20" s="694"/>
      <c r="P20" s="694"/>
      <c r="Q20" s="694"/>
    </row>
    <row r="21" spans="2:17" s="701" customFormat="1" ht="21" customHeight="1">
      <c r="K21" s="702"/>
    </row>
    <row r="22" spans="2:17" s="701" customFormat="1" ht="21" customHeight="1">
      <c r="K22" s="702"/>
    </row>
    <row r="23" spans="2:17" s="701" customFormat="1" ht="21" customHeight="1">
      <c r="K23" s="702"/>
    </row>
    <row r="24" spans="2:17" s="701" customFormat="1">
      <c r="K24" s="702"/>
    </row>
    <row r="25" spans="2:17" s="701" customFormat="1">
      <c r="K25" s="702"/>
    </row>
  </sheetData>
  <mergeCells count="21">
    <mergeCell ref="F9:H10"/>
    <mergeCell ref="B18:D19"/>
    <mergeCell ref="F18:H19"/>
    <mergeCell ref="J18:L19"/>
    <mergeCell ref="B15:D16"/>
    <mergeCell ref="F15:H16"/>
    <mergeCell ref="J15:L16"/>
    <mergeCell ref="B9:D10"/>
    <mergeCell ref="J9:L10"/>
    <mergeCell ref="B12:D13"/>
    <mergeCell ref="F12:H13"/>
    <mergeCell ref="J12:L13"/>
    <mergeCell ref="B4:C4"/>
    <mergeCell ref="B6:D7"/>
    <mergeCell ref="J6:L7"/>
    <mergeCell ref="A2:M2"/>
    <mergeCell ref="A3:M3"/>
    <mergeCell ref="F6:H7"/>
    <mergeCell ref="D4:F4"/>
    <mergeCell ref="H4:J4"/>
    <mergeCell ref="K4:L4"/>
  </mergeCells>
  <phoneticPr fontId="1" type="noConversion"/>
  <hyperlinks>
    <hyperlink ref="B12:D13" location="'BC TT Cong trinh'!A1" display="BÁO CÁO THANH TOÁN CÔNG TRÌNH"/>
    <hyperlink ref="B15:D16" location="'BC Du toan'!A1" display="BÁO CÁO DỰ TOÁN"/>
    <hyperlink ref="B9:D10" location="'In Giay RDT'!A1" display="IN GIẤY RÚT DỰ TOÁN"/>
    <hyperlink ref="B18:D19" location="'Quyet toan KP'!A1" display="QUYẾT TOÁN KINH PHÍ"/>
    <hyperlink ref="J6:L7" location="'Danh muc DA'!A1" display="DANH MỤC DỰ ÁN"/>
    <hyperlink ref="B6:D7" location="'Giao  du toan'!A1" display="GIAO DỰ TOÁN"/>
    <hyperlink ref="F12:H13" location="ĐVHT!A1" display="ĐƠN VỊ HƯỞNG THỤ"/>
    <hyperlink ref="F15:H16" location="'Mau 01'!A1" display="'Mau 01'!A1"/>
    <hyperlink ref="F18:H19" location="'Mau 02'!A1" display="'Mau 02'!A1"/>
    <hyperlink ref="J9:L10" location="'DS Chi'!A1" display="DANH SÁCH CHI"/>
    <hyperlink ref="J18:L19" location="'TH Quy TM'!A1" display="'TH Quy TM'!A1"/>
    <hyperlink ref="J12:L13" location="'Phieu chi'!A1" display="PHIẾU CHI"/>
    <hyperlink ref="J15:L16" location="'BC Thu Chi'!A1" display="BÁO CÁO THU CHI"/>
    <hyperlink ref="F6:H10" location="'Nhap lieu'!A1" display="NHẬP LIỆU"/>
    <hyperlink ref="F9:H10" location="'Bang ke'!A1" display="BẢNG KÊ CHỨNG TỪ"/>
  </hyperlink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FF0000"/>
  </sheetPr>
  <dimension ref="A1:AO221"/>
  <sheetViews>
    <sheetView showZeros="0" zoomScaleNormal="100" workbookViewId="0">
      <pane xSplit="12" ySplit="8" topLeftCell="Q9" activePane="bottomRight" state="frozen"/>
      <selection activeCell="E6" sqref="E6"/>
      <selection pane="topRight" activeCell="E6" sqref="E6"/>
      <selection pane="bottomLeft" activeCell="E6" sqref="E6"/>
      <selection pane="bottomRight" activeCell="P9" sqref="P9"/>
    </sheetView>
  </sheetViews>
  <sheetFormatPr defaultRowHeight="12.75"/>
  <cols>
    <col min="1" max="1" width="6.28515625" style="173" hidden="1" customWidth="1"/>
    <col min="2" max="2" width="9.140625" style="173" hidden="1" customWidth="1"/>
    <col min="3" max="3" width="8.42578125" style="335" hidden="1" customWidth="1"/>
    <col min="4" max="4" width="10.28515625" style="219" hidden="1" customWidth="1"/>
    <col min="5" max="5" width="8.7109375" style="336" hidden="1" customWidth="1"/>
    <col min="6" max="6" width="8.42578125" style="219" hidden="1" customWidth="1"/>
    <col min="7" max="7" width="5.7109375" style="221" hidden="1" customWidth="1"/>
    <col min="8" max="8" width="3.85546875" style="221" hidden="1" customWidth="1"/>
    <col min="9" max="9" width="5" style="219" customWidth="1"/>
    <col min="10" max="10" width="6" style="182" customWidth="1"/>
    <col min="11" max="11" width="10.5703125" style="173" customWidth="1"/>
    <col min="12" max="12" width="12.140625" style="183" customWidth="1"/>
    <col min="13" max="13" width="12.42578125" style="183" customWidth="1"/>
    <col min="14" max="14" width="43.28515625" style="184" customWidth="1"/>
    <col min="15" max="15" width="87.85546875" style="492" hidden="1" customWidth="1"/>
    <col min="16" max="16" width="6.140625" style="185" customWidth="1"/>
    <col min="17" max="17" width="56" style="185" customWidth="1"/>
    <col min="18" max="18" width="13.42578125" style="185" customWidth="1"/>
    <col min="19" max="19" width="6.140625" style="186" customWidth="1"/>
    <col min="20" max="20" width="29.85546875" style="186" customWidth="1"/>
    <col min="21" max="21" width="12.28515625" style="186" customWidth="1"/>
    <col min="22" max="22" width="6.140625" style="187" customWidth="1"/>
    <col min="23" max="23" width="21.28515625" style="187" customWidth="1"/>
    <col min="24" max="24" width="12.28515625" style="187" customWidth="1"/>
    <col min="25" max="25" width="6.140625" style="186" customWidth="1"/>
    <col min="26" max="26" width="20.42578125" style="186" customWidth="1"/>
    <col min="27" max="27" width="12.28515625" style="186" customWidth="1"/>
    <col min="28" max="28" width="6.140625" style="188" customWidth="1"/>
    <col min="29" max="29" width="21.140625" style="188" customWidth="1"/>
    <col min="30" max="30" width="12.28515625" style="188" customWidth="1"/>
    <col min="31" max="31" width="6.140625" style="186" customWidth="1"/>
    <col min="32" max="32" width="20.42578125" style="186" customWidth="1"/>
    <col min="33" max="33" width="12.28515625" style="186" customWidth="1"/>
    <col min="34" max="34" width="6.140625" style="188" customWidth="1"/>
    <col min="35" max="35" width="19.5703125" style="188" customWidth="1"/>
    <col min="36" max="36" width="12.28515625" style="188" customWidth="1"/>
    <col min="37" max="37" width="16.28515625" style="227" customWidth="1"/>
    <col min="38" max="38" width="46.5703125" style="186" customWidth="1"/>
    <col min="39" max="39" width="16" style="186" customWidth="1"/>
    <col min="40" max="40" width="15.140625" style="190" customWidth="1"/>
    <col min="41" max="41" width="15.140625" style="693" customWidth="1"/>
    <col min="42" max="16384" width="9.140625" style="173"/>
  </cols>
  <sheetData>
    <row r="1" spans="1:41" ht="11.25" customHeight="1">
      <c r="C1" s="331" t="s">
        <v>514</v>
      </c>
      <c r="D1" s="332" t="s">
        <v>515</v>
      </c>
      <c r="E1" s="333" t="s">
        <v>512</v>
      </c>
      <c r="F1" s="332" t="s">
        <v>513</v>
      </c>
      <c r="G1" s="859" t="s">
        <v>5</v>
      </c>
      <c r="H1" s="859"/>
      <c r="J1" s="174"/>
      <c r="K1" s="174"/>
      <c r="L1" s="174"/>
      <c r="M1" s="174"/>
      <c r="N1" s="175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/>
      <c r="AN1" s="176"/>
      <c r="AO1" s="688"/>
    </row>
    <row r="2" spans="1:41" ht="28.5" customHeight="1">
      <c r="C2" s="334">
        <f>'Mau 01'!G1</f>
        <v>42736</v>
      </c>
      <c r="D2" s="334">
        <f>Nguon!G17</f>
        <v>42736</v>
      </c>
      <c r="E2" s="334">
        <f>'Mau 02'!E1</f>
        <v>42917</v>
      </c>
      <c r="F2" s="334">
        <f>D2</f>
        <v>42736</v>
      </c>
      <c r="G2" s="311"/>
      <c r="H2" s="311"/>
      <c r="I2" s="220"/>
      <c r="J2" s="177" t="s">
        <v>110</v>
      </c>
      <c r="K2" s="177"/>
      <c r="L2" s="178" t="s">
        <v>110</v>
      </c>
      <c r="M2" s="178"/>
      <c r="N2" s="858" t="str">
        <f>"BẢNG KÊ GIẤY RÚT DỰ TOÁN NĂM "&amp;Menu!K4</f>
        <v>BẢNG KÊ GIẤY RÚT DỰ TOÁN NĂM 2017</v>
      </c>
      <c r="O2" s="858"/>
      <c r="P2" s="858"/>
      <c r="Q2" s="858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  <c r="AK2" s="174"/>
      <c r="AL2" s="174"/>
      <c r="AM2" s="174"/>
      <c r="AN2" s="174"/>
      <c r="AO2" s="688"/>
    </row>
    <row r="3" spans="1:41" s="833" customFormat="1" ht="20.25" customHeight="1">
      <c r="H3" s="834">
        <v>1</v>
      </c>
      <c r="I3" s="834">
        <v>2</v>
      </c>
      <c r="J3" s="834">
        <v>3</v>
      </c>
      <c r="K3" s="834">
        <v>4</v>
      </c>
      <c r="L3" s="834">
        <v>5</v>
      </c>
      <c r="M3" s="834">
        <v>6</v>
      </c>
      <c r="N3" s="834">
        <v>7</v>
      </c>
      <c r="O3" s="834">
        <v>8</v>
      </c>
      <c r="P3" s="834">
        <v>9</v>
      </c>
      <c r="Q3" s="834">
        <v>10</v>
      </c>
      <c r="R3" s="834">
        <v>11</v>
      </c>
      <c r="S3" s="834">
        <v>12</v>
      </c>
      <c r="T3" s="834">
        <v>13</v>
      </c>
      <c r="U3" s="834">
        <v>14</v>
      </c>
      <c r="V3" s="834">
        <v>15</v>
      </c>
      <c r="W3" s="834">
        <v>16</v>
      </c>
      <c r="X3" s="834">
        <v>17</v>
      </c>
      <c r="Y3" s="834">
        <v>18</v>
      </c>
      <c r="Z3" s="834">
        <v>19</v>
      </c>
      <c r="AA3" s="834">
        <v>20</v>
      </c>
      <c r="AB3" s="834">
        <v>21</v>
      </c>
      <c r="AC3" s="834">
        <v>22</v>
      </c>
      <c r="AD3" s="834">
        <v>23</v>
      </c>
      <c r="AE3" s="834">
        <v>24</v>
      </c>
      <c r="AF3" s="834">
        <v>25</v>
      </c>
      <c r="AG3" s="834">
        <v>26</v>
      </c>
      <c r="AH3" s="834">
        <v>27</v>
      </c>
      <c r="AI3" s="834">
        <v>28</v>
      </c>
      <c r="AJ3" s="834">
        <v>29</v>
      </c>
      <c r="AK3" s="834">
        <v>30</v>
      </c>
      <c r="AL3" s="834">
        <v>31</v>
      </c>
      <c r="AM3" s="834">
        <v>32</v>
      </c>
      <c r="AN3" s="834">
        <v>33</v>
      </c>
      <c r="AO3" s="834">
        <v>34</v>
      </c>
    </row>
    <row r="4" spans="1:41" s="325" customFormat="1" ht="9" hidden="1" customHeight="1">
      <c r="C4" s="326"/>
      <c r="D4" s="326"/>
      <c r="E4" s="326"/>
      <c r="F4" s="326"/>
      <c r="G4" s="326">
        <v>1</v>
      </c>
      <c r="H4" s="326">
        <v>1</v>
      </c>
      <c r="I4" s="326">
        <v>2</v>
      </c>
      <c r="J4" s="326">
        <v>3</v>
      </c>
      <c r="K4" s="326">
        <v>4</v>
      </c>
      <c r="L4" s="326">
        <v>5</v>
      </c>
      <c r="M4" s="326">
        <v>6</v>
      </c>
      <c r="N4" s="326">
        <v>7</v>
      </c>
      <c r="O4" s="326">
        <v>8</v>
      </c>
      <c r="P4" s="326">
        <v>9</v>
      </c>
      <c r="Q4" s="326">
        <v>10</v>
      </c>
      <c r="R4" s="326">
        <v>11</v>
      </c>
      <c r="S4" s="326">
        <v>12</v>
      </c>
      <c r="T4" s="326">
        <v>13</v>
      </c>
      <c r="U4" s="326">
        <v>14</v>
      </c>
      <c r="V4" s="326">
        <v>15</v>
      </c>
      <c r="W4" s="326">
        <v>16</v>
      </c>
      <c r="X4" s="326">
        <v>17</v>
      </c>
      <c r="Y4" s="326">
        <v>18</v>
      </c>
      <c r="Z4" s="326">
        <v>19</v>
      </c>
      <c r="AA4" s="326">
        <v>20</v>
      </c>
      <c r="AB4" s="326">
        <v>21</v>
      </c>
      <c r="AC4" s="326">
        <v>22</v>
      </c>
      <c r="AD4" s="326">
        <v>23</v>
      </c>
      <c r="AE4" s="326">
        <v>24</v>
      </c>
      <c r="AF4" s="326">
        <v>25</v>
      </c>
      <c r="AG4" s="326">
        <v>26</v>
      </c>
      <c r="AH4" s="326">
        <v>27</v>
      </c>
      <c r="AI4" s="326">
        <v>28</v>
      </c>
      <c r="AJ4" s="326">
        <v>29</v>
      </c>
      <c r="AK4" s="326">
        <v>30</v>
      </c>
      <c r="AL4" s="326">
        <v>31</v>
      </c>
      <c r="AM4" s="326">
        <v>33</v>
      </c>
      <c r="AN4" s="193">
        <v>24</v>
      </c>
      <c r="AO4" s="689">
        <v>24</v>
      </c>
    </row>
    <row r="5" spans="1:41" ht="17.25" customHeight="1">
      <c r="B5" s="173">
        <f>'BC Thu Chi'!A2</f>
        <v>102</v>
      </c>
      <c r="C5" s="334">
        <f>'Mau 01'!H1</f>
        <v>43100</v>
      </c>
      <c r="D5" s="334">
        <f>C5</f>
        <v>43100</v>
      </c>
      <c r="E5" s="334">
        <f>'Mau 02'!F1</f>
        <v>43008</v>
      </c>
      <c r="F5" s="334">
        <f>E5</f>
        <v>43008</v>
      </c>
      <c r="G5" s="221" t="s">
        <v>356</v>
      </c>
      <c r="H5" s="221" t="s">
        <v>18</v>
      </c>
      <c r="I5" s="860" t="s">
        <v>0</v>
      </c>
      <c r="J5" s="861" t="s">
        <v>18</v>
      </c>
      <c r="K5" s="861" t="s">
        <v>1</v>
      </c>
      <c r="L5" s="861"/>
      <c r="M5" s="305"/>
      <c r="N5" s="863" t="s">
        <v>336</v>
      </c>
      <c r="O5" s="862" t="s">
        <v>81</v>
      </c>
      <c r="P5" s="856" t="s">
        <v>17</v>
      </c>
      <c r="Q5" s="856"/>
      <c r="R5" s="856"/>
      <c r="S5" s="856"/>
      <c r="T5" s="856"/>
      <c r="U5" s="856"/>
      <c r="V5" s="856"/>
      <c r="W5" s="856"/>
      <c r="X5" s="856"/>
      <c r="Y5" s="856"/>
      <c r="Z5" s="856"/>
      <c r="AA5" s="856"/>
      <c r="AB5" s="856"/>
      <c r="AC5" s="856"/>
      <c r="AD5" s="856"/>
      <c r="AE5" s="856"/>
      <c r="AF5" s="856"/>
      <c r="AG5" s="856"/>
      <c r="AH5" s="856"/>
      <c r="AI5" s="856"/>
      <c r="AJ5" s="856"/>
      <c r="AK5" s="856"/>
      <c r="AL5" s="857" t="s">
        <v>343</v>
      </c>
      <c r="AM5" s="857"/>
      <c r="AN5" s="855" t="s">
        <v>608</v>
      </c>
      <c r="AO5" s="854" t="s">
        <v>609</v>
      </c>
    </row>
    <row r="6" spans="1:41" ht="17.25" customHeight="1">
      <c r="G6" s="221" t="str">
        <f>'BC TT Cong trinh'!D2</f>
        <v>Sự nghiệp giao thông</v>
      </c>
      <c r="H6" s="222">
        <f>IF(Matonghop="","",Matonghop)</f>
        <v>223</v>
      </c>
      <c r="I6" s="860"/>
      <c r="J6" s="861"/>
      <c r="K6" s="861" t="s">
        <v>23</v>
      </c>
      <c r="L6" s="864" t="s">
        <v>3</v>
      </c>
      <c r="M6" s="864" t="s">
        <v>459</v>
      </c>
      <c r="N6" s="863"/>
      <c r="O6" s="862"/>
      <c r="P6" s="865" t="s">
        <v>128</v>
      </c>
      <c r="Q6" s="865"/>
      <c r="R6" s="865"/>
      <c r="S6" s="856" t="s">
        <v>129</v>
      </c>
      <c r="T6" s="856"/>
      <c r="U6" s="856"/>
      <c r="V6" s="866" t="s">
        <v>130</v>
      </c>
      <c r="W6" s="866"/>
      <c r="X6" s="866"/>
      <c r="Y6" s="856" t="s">
        <v>131</v>
      </c>
      <c r="Z6" s="856"/>
      <c r="AA6" s="856"/>
      <c r="AB6" s="852" t="s">
        <v>132</v>
      </c>
      <c r="AC6" s="852"/>
      <c r="AD6" s="852"/>
      <c r="AE6" s="856" t="s">
        <v>536</v>
      </c>
      <c r="AF6" s="856"/>
      <c r="AG6" s="856"/>
      <c r="AH6" s="853" t="s">
        <v>537</v>
      </c>
      <c r="AI6" s="853"/>
      <c r="AJ6" s="853"/>
      <c r="AK6" s="856" t="s">
        <v>6</v>
      </c>
      <c r="AL6" s="857" t="s">
        <v>338</v>
      </c>
      <c r="AM6" s="857" t="s">
        <v>346</v>
      </c>
      <c r="AN6" s="855"/>
      <c r="AO6" s="854"/>
    </row>
    <row r="7" spans="1:41" ht="18" customHeight="1">
      <c r="B7" s="609" t="s">
        <v>457</v>
      </c>
      <c r="I7" s="860"/>
      <c r="J7" s="861"/>
      <c r="K7" s="861"/>
      <c r="L7" s="864"/>
      <c r="M7" s="864"/>
      <c r="N7" s="863"/>
      <c r="O7" s="862"/>
      <c r="P7" s="480" t="s">
        <v>126</v>
      </c>
      <c r="Q7" s="480" t="s">
        <v>86</v>
      </c>
      <c r="R7" s="480" t="s">
        <v>127</v>
      </c>
      <c r="S7" s="483" t="s">
        <v>126</v>
      </c>
      <c r="T7" s="483" t="s">
        <v>86</v>
      </c>
      <c r="U7" s="483" t="s">
        <v>127</v>
      </c>
      <c r="V7" s="484" t="s">
        <v>126</v>
      </c>
      <c r="W7" s="484" t="s">
        <v>86</v>
      </c>
      <c r="X7" s="484" t="s">
        <v>127</v>
      </c>
      <c r="Y7" s="483" t="s">
        <v>126</v>
      </c>
      <c r="Z7" s="483" t="s">
        <v>86</v>
      </c>
      <c r="AA7" s="483" t="s">
        <v>127</v>
      </c>
      <c r="AB7" s="485" t="s">
        <v>126</v>
      </c>
      <c r="AC7" s="485" t="s">
        <v>86</v>
      </c>
      <c r="AD7" s="485" t="s">
        <v>127</v>
      </c>
      <c r="AE7" s="483" t="s">
        <v>126</v>
      </c>
      <c r="AF7" s="483" t="s">
        <v>86</v>
      </c>
      <c r="AG7" s="483" t="s">
        <v>127</v>
      </c>
      <c r="AH7" s="486" t="s">
        <v>126</v>
      </c>
      <c r="AI7" s="486" t="s">
        <v>86</v>
      </c>
      <c r="AJ7" s="486" t="s">
        <v>127</v>
      </c>
      <c r="AK7" s="856"/>
      <c r="AL7" s="857"/>
      <c r="AM7" s="857"/>
      <c r="AN7" s="855"/>
      <c r="AO7" s="854"/>
    </row>
    <row r="8" spans="1:41" s="181" customFormat="1" ht="20.25" customHeight="1">
      <c r="C8" s="337"/>
      <c r="D8" s="338"/>
      <c r="E8" s="339"/>
      <c r="F8" s="338"/>
      <c r="G8" s="223"/>
      <c r="H8" s="223"/>
      <c r="I8" s="224"/>
      <c r="J8" s="194"/>
      <c r="K8" s="218" t="s">
        <v>447</v>
      </c>
      <c r="L8" s="217" t="s">
        <v>349</v>
      </c>
      <c r="M8" s="217"/>
      <c r="N8" s="195"/>
      <c r="O8" s="487"/>
      <c r="P8" s="481"/>
      <c r="Q8" s="481"/>
      <c r="R8" s="481"/>
      <c r="S8" s="481"/>
      <c r="T8" s="481"/>
      <c r="U8" s="481"/>
      <c r="V8" s="481"/>
      <c r="W8" s="481"/>
      <c r="X8" s="481"/>
      <c r="Y8" s="481"/>
      <c r="Z8" s="488"/>
      <c r="AA8" s="481"/>
      <c r="AB8" s="481"/>
      <c r="AC8" s="481"/>
      <c r="AD8" s="481"/>
      <c r="AE8" s="481"/>
      <c r="AF8" s="488"/>
      <c r="AG8" s="481"/>
      <c r="AH8" s="489"/>
      <c r="AI8" s="489"/>
      <c r="AJ8" s="489"/>
      <c r="AK8" s="490">
        <f>SUM(AK9:AK200)</f>
        <v>5179755</v>
      </c>
      <c r="AL8" s="491"/>
      <c r="AM8" s="491"/>
      <c r="AN8" s="180"/>
      <c r="AO8" s="690"/>
    </row>
    <row r="9" spans="1:41" s="516" customFormat="1" ht="31.5">
      <c r="A9" s="516">
        <f>IF(J9="223'",223,IF(J9="373'",373,J9))</f>
        <v>223</v>
      </c>
      <c r="B9" s="610" t="str">
        <f>IF(AND($B$7=AN9,$B$5=J9),MAX($B$8:B8)+1,"")</f>
        <v/>
      </c>
      <c r="C9" s="493" t="str">
        <f t="shared" ref="C9:C40" si="0">IF($M9="","",IF(OR($M9&lt;=C$2,$M9&gt;=C$5),"",M1K))</f>
        <v>M1</v>
      </c>
      <c r="D9" s="494" t="str">
        <f t="shared" ref="D9:D72" si="1">IF($M9="","",IF(OR($M9&lt;=D$2,$M9&gt;=D$5),"",M1L))</f>
        <v>M1L</v>
      </c>
      <c r="E9" s="493" t="str">
        <f t="shared" ref="E9:E72" si="2">IF($M9="","",IF(OR($M9&lt;=E$2,$M9&gt;=E$5),"",M2K))</f>
        <v/>
      </c>
      <c r="F9" s="495" t="str">
        <f t="shared" ref="F9:F72" si="3">IF($M9="","",IF(OR($M9&lt;=F$2,$M9&gt;=F$5),"",M2L))</f>
        <v>M2L</v>
      </c>
      <c r="G9" s="496" t="str">
        <f>IF($G$6=N9,MAX($G$8:G8)+1,"")</f>
        <v/>
      </c>
      <c r="H9" s="496">
        <f>IF($H$6=J9,MAX($H$8:H8)+1,"")</f>
        <v>1</v>
      </c>
      <c r="I9" s="497">
        <f>IF(L9&lt;&gt;"",COUNTA($L9:L$9),"")</f>
        <v>1</v>
      </c>
      <c r="J9" s="498">
        <v>223</v>
      </c>
      <c r="K9" s="172" t="str">
        <f>IF(I9="","",$K$8&amp;IF(I9&lt;10,"0"&amp;I9,I9))</f>
        <v>GRDT01</v>
      </c>
      <c r="L9" s="531">
        <v>42910</v>
      </c>
      <c r="M9" s="531">
        <v>42915</v>
      </c>
      <c r="N9" s="532" t="s">
        <v>610</v>
      </c>
      <c r="O9" s="328" t="str">
        <f t="shared" ref="O9:O72" si="4">TRIM(Q9&amp;IF(T9="","","; "&amp;T9)&amp;IF(W9="","","; "&amp;W9)&amp;IF(Z9="","","; "&amp;Z9)&amp;IF(AC9="","","; "&amp;AC9)&amp;IF(AF9="","","; "&amp;AF9)&amp;IF(AI9="","","; "&amp;AI9)&amp;" - "&amp;N9)</f>
        <v>Thanh toán kinh phí XL đường ĐH.95 Thụy Dân-Thụy Ninh; Thanh toán tiền thẩm định; Thanh toán tiền VPP; Thanh toán tiền giám sát - Đường ĐH.95 Thụy Dân - Thụy Ninh</v>
      </c>
      <c r="P9" s="501">
        <v>6501</v>
      </c>
      <c r="Q9" s="533" t="s">
        <v>611</v>
      </c>
      <c r="R9" s="534">
        <v>5000000</v>
      </c>
      <c r="S9" s="501">
        <v>6922</v>
      </c>
      <c r="T9" s="534" t="s">
        <v>661</v>
      </c>
      <c r="U9" s="501">
        <v>30000</v>
      </c>
      <c r="V9" s="504">
        <v>6922</v>
      </c>
      <c r="W9" s="503" t="s">
        <v>662</v>
      </c>
      <c r="X9" s="504">
        <v>21000</v>
      </c>
      <c r="Y9" s="501">
        <v>6922</v>
      </c>
      <c r="Z9" s="500" t="s">
        <v>663</v>
      </c>
      <c r="AA9" s="501">
        <v>22500</v>
      </c>
      <c r="AB9" s="507">
        <v>6922</v>
      </c>
      <c r="AC9" s="506"/>
      <c r="AD9" s="507">
        <v>50000</v>
      </c>
      <c r="AE9" s="510">
        <v>6922</v>
      </c>
      <c r="AF9" s="509"/>
      <c r="AG9" s="510">
        <v>51000</v>
      </c>
      <c r="AH9" s="513">
        <v>6922</v>
      </c>
      <c r="AI9" s="512"/>
      <c r="AJ9" s="513">
        <v>5255</v>
      </c>
      <c r="AK9" s="514">
        <f>R9+U9+X9+AA9+AD9+AG9+AJ9</f>
        <v>5179755</v>
      </c>
      <c r="AL9" s="515" t="s">
        <v>664</v>
      </c>
      <c r="AM9" s="535"/>
      <c r="AN9" s="329" t="str">
        <f>IF(AM9="","","Tiền mặt")</f>
        <v/>
      </c>
      <c r="AO9" s="691"/>
    </row>
    <row r="10" spans="1:41" s="516" customFormat="1" ht="15.75">
      <c r="A10" s="516">
        <f t="shared" ref="A10:A73" si="5">IF(J10="223'",223,IF(J10="373'",373,J10))</f>
        <v>0</v>
      </c>
      <c r="B10" s="610" t="str">
        <f>IF(AND($B$7=AN10,$B$5=J10),MAX($B$8:B9)+1,"")</f>
        <v/>
      </c>
      <c r="C10" s="493" t="str">
        <f t="shared" si="0"/>
        <v/>
      </c>
      <c r="D10" s="494" t="str">
        <f t="shared" si="1"/>
        <v/>
      </c>
      <c r="E10" s="493" t="str">
        <f t="shared" si="2"/>
        <v/>
      </c>
      <c r="F10" s="495" t="str">
        <f t="shared" si="3"/>
        <v/>
      </c>
      <c r="G10" s="496" t="str">
        <f>IF($G$6=N10,MAX($G$8:G9)+1,"")</f>
        <v/>
      </c>
      <c r="H10" s="496" t="str">
        <f>IF($H$6=J10,MAX($H$8:H9)+1,"")</f>
        <v/>
      </c>
      <c r="I10" s="172" t="str">
        <f>IF(L10&lt;&gt;"",COUNTA($L$9:L10),"")</f>
        <v/>
      </c>
      <c r="J10" s="517"/>
      <c r="K10" s="172" t="str">
        <f t="shared" ref="K10:K73" si="6">IF(I10="","",$K$8&amp;IF(I10&lt;10,"0"&amp;I10,I10))</f>
        <v/>
      </c>
      <c r="L10" s="136"/>
      <c r="M10" s="136"/>
      <c r="N10" s="225"/>
      <c r="O10" s="328" t="str">
        <f t="shared" si="4"/>
        <v>-</v>
      </c>
      <c r="P10" s="499"/>
      <c r="Q10" s="536"/>
      <c r="R10" s="537"/>
      <c r="S10" s="499"/>
      <c r="T10" s="537"/>
      <c r="U10" s="499"/>
      <c r="V10" s="502"/>
      <c r="W10" s="519"/>
      <c r="X10" s="502"/>
      <c r="Y10" s="499"/>
      <c r="Z10" s="518"/>
      <c r="AA10" s="499"/>
      <c r="AB10" s="505"/>
      <c r="AC10" s="520"/>
      <c r="AD10" s="505"/>
      <c r="AE10" s="508"/>
      <c r="AF10" s="521"/>
      <c r="AG10" s="508"/>
      <c r="AH10" s="511"/>
      <c r="AI10" s="522"/>
      <c r="AJ10" s="511"/>
      <c r="AK10" s="514">
        <f>R10+U10+X10+AA10+AD10+AG10+AJ10</f>
        <v>0</v>
      </c>
      <c r="AL10" s="523"/>
      <c r="AM10" s="525"/>
      <c r="AN10" s="329"/>
      <c r="AO10" s="691"/>
    </row>
    <row r="11" spans="1:41" s="516" customFormat="1" ht="15.75">
      <c r="A11" s="516">
        <f t="shared" si="5"/>
        <v>0</v>
      </c>
      <c r="B11" s="610" t="str">
        <f>IF(AND($B$7=AN11,$B$5=J11),MAX($B$8:B10)+1,"")</f>
        <v/>
      </c>
      <c r="C11" s="493" t="str">
        <f t="shared" si="0"/>
        <v/>
      </c>
      <c r="D11" s="494" t="str">
        <f t="shared" si="1"/>
        <v/>
      </c>
      <c r="E11" s="493" t="str">
        <f t="shared" si="2"/>
        <v/>
      </c>
      <c r="F11" s="495" t="str">
        <f t="shared" si="3"/>
        <v/>
      </c>
      <c r="G11" s="496" t="str">
        <f>IF($G$6=N11,MAX($G$8:G10)+1,"")</f>
        <v/>
      </c>
      <c r="H11" s="496" t="str">
        <f>IF($H$6=J11,MAX($H$8:H10)+1,"")</f>
        <v/>
      </c>
      <c r="I11" s="172" t="str">
        <f>IF(L11&lt;&gt;"",COUNTA($L$9:L11),"")</f>
        <v/>
      </c>
      <c r="J11" s="517"/>
      <c r="K11" s="172" t="str">
        <f t="shared" si="6"/>
        <v/>
      </c>
      <c r="L11" s="136"/>
      <c r="M11" s="136"/>
      <c r="N11" s="225"/>
      <c r="O11" s="328" t="str">
        <f t="shared" si="4"/>
        <v>-</v>
      </c>
      <c r="P11" s="499"/>
      <c r="Q11" s="536"/>
      <c r="R11" s="537"/>
      <c r="S11" s="499"/>
      <c r="T11" s="537"/>
      <c r="U11" s="499"/>
      <c r="V11" s="502"/>
      <c r="W11" s="519"/>
      <c r="X11" s="502"/>
      <c r="Y11" s="499"/>
      <c r="Z11" s="518"/>
      <c r="AA11" s="499"/>
      <c r="AB11" s="505"/>
      <c r="AC11" s="520"/>
      <c r="AD11" s="505"/>
      <c r="AE11" s="508"/>
      <c r="AF11" s="521"/>
      <c r="AG11" s="508"/>
      <c r="AH11" s="511"/>
      <c r="AI11" s="522"/>
      <c r="AJ11" s="511"/>
      <c r="AK11" s="514">
        <f t="shared" ref="AK11:AK74" si="7">R11+U11+X11+AA11+AD11+AG11+AJ11</f>
        <v>0</v>
      </c>
      <c r="AL11" s="523"/>
      <c r="AM11" s="525"/>
      <c r="AN11" s="329"/>
      <c r="AO11" s="691"/>
    </row>
    <row r="12" spans="1:41" s="524" customFormat="1" ht="15.75">
      <c r="A12" s="516">
        <f t="shared" si="5"/>
        <v>0</v>
      </c>
      <c r="B12" s="610" t="str">
        <f>IF(AND($B$7=AN12,$B$5=J12),MAX($B$8:B11)+1,"")</f>
        <v/>
      </c>
      <c r="C12" s="493" t="str">
        <f t="shared" si="0"/>
        <v/>
      </c>
      <c r="D12" s="494" t="str">
        <f t="shared" si="1"/>
        <v/>
      </c>
      <c r="E12" s="493" t="str">
        <f t="shared" si="2"/>
        <v/>
      </c>
      <c r="F12" s="495" t="str">
        <f t="shared" si="3"/>
        <v/>
      </c>
      <c r="G12" s="496" t="str">
        <f>IF($G$6=N12,MAX($G$8:G11)+1,"")</f>
        <v/>
      </c>
      <c r="H12" s="496" t="str">
        <f>IF($H$6=J12,MAX($H$8:H11)+1,"")</f>
        <v/>
      </c>
      <c r="I12" s="172" t="str">
        <f>IF(L12&lt;&gt;"",COUNTA($L$9:L12),"")</f>
        <v/>
      </c>
      <c r="J12" s="517"/>
      <c r="K12" s="172" t="str">
        <f t="shared" si="6"/>
        <v/>
      </c>
      <c r="L12" s="136"/>
      <c r="M12" s="136"/>
      <c r="N12" s="225"/>
      <c r="O12" s="328" t="str">
        <f t="shared" si="4"/>
        <v>-</v>
      </c>
      <c r="P12" s="499"/>
      <c r="Q12" s="536"/>
      <c r="R12" s="537"/>
      <c r="S12" s="499"/>
      <c r="T12" s="671"/>
      <c r="U12" s="499"/>
      <c r="V12" s="502"/>
      <c r="W12" s="519"/>
      <c r="X12" s="502"/>
      <c r="Y12" s="499"/>
      <c r="Z12" s="518"/>
      <c r="AA12" s="499"/>
      <c r="AB12" s="505"/>
      <c r="AC12" s="520"/>
      <c r="AD12" s="505"/>
      <c r="AE12" s="508"/>
      <c r="AF12" s="521"/>
      <c r="AG12" s="508"/>
      <c r="AH12" s="511"/>
      <c r="AI12" s="522"/>
      <c r="AJ12" s="511"/>
      <c r="AK12" s="514">
        <f t="shared" si="7"/>
        <v>0</v>
      </c>
      <c r="AL12" s="523"/>
      <c r="AM12" s="525"/>
      <c r="AN12" s="329"/>
      <c r="AO12" s="691"/>
    </row>
    <row r="13" spans="1:41" s="516" customFormat="1" ht="15.75">
      <c r="A13" s="516">
        <f t="shared" si="5"/>
        <v>0</v>
      </c>
      <c r="B13" s="610" t="str">
        <f>IF(AND($B$7=AN13,$B$5=J13),MAX($B$8:B12)+1,"")</f>
        <v/>
      </c>
      <c r="C13" s="493" t="str">
        <f t="shared" si="0"/>
        <v/>
      </c>
      <c r="D13" s="494" t="str">
        <f t="shared" si="1"/>
        <v/>
      </c>
      <c r="E13" s="493" t="str">
        <f t="shared" si="2"/>
        <v/>
      </c>
      <c r="F13" s="495" t="str">
        <f t="shared" si="3"/>
        <v/>
      </c>
      <c r="G13" s="496" t="str">
        <f>IF($G$6=N13,MAX($G$8:G12)+1,"")</f>
        <v/>
      </c>
      <c r="H13" s="496" t="str">
        <f>IF($H$6=J13,MAX($H$8:H12)+1,"")</f>
        <v/>
      </c>
      <c r="I13" s="172" t="str">
        <f>IF(L13&lt;&gt;"",COUNTA($L$9:L13),"")</f>
        <v/>
      </c>
      <c r="J13" s="517"/>
      <c r="K13" s="172" t="str">
        <f t="shared" si="6"/>
        <v/>
      </c>
      <c r="L13" s="136"/>
      <c r="M13" s="136"/>
      <c r="N13" s="225"/>
      <c r="O13" s="328" t="str">
        <f t="shared" si="4"/>
        <v>-</v>
      </c>
      <c r="P13" s="499"/>
      <c r="Q13" s="536"/>
      <c r="R13" s="537"/>
      <c r="S13" s="499"/>
      <c r="T13" s="537"/>
      <c r="U13" s="499"/>
      <c r="V13" s="502"/>
      <c r="W13" s="519"/>
      <c r="X13" s="502"/>
      <c r="Y13" s="499"/>
      <c r="Z13" s="518"/>
      <c r="AA13" s="499"/>
      <c r="AB13" s="505"/>
      <c r="AC13" s="520"/>
      <c r="AD13" s="505"/>
      <c r="AE13" s="508"/>
      <c r="AF13" s="521"/>
      <c r="AG13" s="508"/>
      <c r="AH13" s="511"/>
      <c r="AI13" s="522"/>
      <c r="AJ13" s="511"/>
      <c r="AK13" s="514">
        <f t="shared" si="7"/>
        <v>0</v>
      </c>
      <c r="AL13" s="523"/>
      <c r="AM13" s="525"/>
      <c r="AN13" s="329"/>
      <c r="AO13" s="691"/>
    </row>
    <row r="14" spans="1:41" s="524" customFormat="1" ht="15.75">
      <c r="A14" s="516">
        <f t="shared" si="5"/>
        <v>0</v>
      </c>
      <c r="B14" s="610" t="str">
        <f>IF(AND($B$7=AN14,$B$5=J14),MAX($B$8:B13)+1,"")</f>
        <v/>
      </c>
      <c r="C14" s="493" t="str">
        <f t="shared" si="0"/>
        <v/>
      </c>
      <c r="D14" s="494" t="str">
        <f t="shared" si="1"/>
        <v/>
      </c>
      <c r="E14" s="493" t="str">
        <f t="shared" si="2"/>
        <v/>
      </c>
      <c r="F14" s="495" t="str">
        <f t="shared" si="3"/>
        <v/>
      </c>
      <c r="G14" s="496" t="str">
        <f>IF($G$6=N14,MAX($G$8:G13)+1,"")</f>
        <v/>
      </c>
      <c r="H14" s="496" t="str">
        <f>IF($H$6=J14,MAX($H$8:H13)+1,"")</f>
        <v/>
      </c>
      <c r="I14" s="172" t="str">
        <f>IF(L14&lt;&gt;"",COUNTA($L$9:L14),"")</f>
        <v/>
      </c>
      <c r="J14" s="517"/>
      <c r="K14" s="172" t="str">
        <f t="shared" si="6"/>
        <v/>
      </c>
      <c r="L14" s="136"/>
      <c r="M14" s="136"/>
      <c r="N14" s="225"/>
      <c r="O14" s="328" t="str">
        <f t="shared" si="4"/>
        <v>-</v>
      </c>
      <c r="P14" s="499"/>
      <c r="Q14" s="536"/>
      <c r="R14" s="537"/>
      <c r="S14" s="499"/>
      <c r="T14" s="671"/>
      <c r="U14" s="499"/>
      <c r="V14" s="502"/>
      <c r="W14" s="519"/>
      <c r="X14" s="502"/>
      <c r="Y14" s="499"/>
      <c r="Z14" s="518"/>
      <c r="AA14" s="499"/>
      <c r="AB14" s="505"/>
      <c r="AC14" s="520"/>
      <c r="AD14" s="505"/>
      <c r="AE14" s="508"/>
      <c r="AF14" s="521"/>
      <c r="AG14" s="508"/>
      <c r="AH14" s="511"/>
      <c r="AI14" s="522"/>
      <c r="AJ14" s="511"/>
      <c r="AK14" s="514">
        <f t="shared" si="7"/>
        <v>0</v>
      </c>
      <c r="AL14" s="523"/>
      <c r="AM14" s="525"/>
      <c r="AN14" s="329"/>
      <c r="AO14" s="691"/>
    </row>
    <row r="15" spans="1:41" s="516" customFormat="1" ht="15.75">
      <c r="A15" s="516">
        <f t="shared" si="5"/>
        <v>0</v>
      </c>
      <c r="B15" s="610" t="str">
        <f>IF(AND($B$7=AN15,$B$5=J15),MAX($B$8:B14)+1,"")</f>
        <v/>
      </c>
      <c r="C15" s="493" t="str">
        <f t="shared" si="0"/>
        <v/>
      </c>
      <c r="D15" s="494" t="str">
        <f t="shared" si="1"/>
        <v/>
      </c>
      <c r="E15" s="493" t="str">
        <f t="shared" si="2"/>
        <v/>
      </c>
      <c r="F15" s="495" t="str">
        <f t="shared" si="3"/>
        <v/>
      </c>
      <c r="G15" s="496" t="str">
        <f>IF($G$6=N15,MAX($G$8:G14)+1,"")</f>
        <v/>
      </c>
      <c r="H15" s="496" t="str">
        <f>IF($H$6=J15,MAX($H$8:H14)+1,"")</f>
        <v/>
      </c>
      <c r="I15" s="172" t="str">
        <f>IF(L15&lt;&gt;"",COUNTA($L$9:L15),"")</f>
        <v/>
      </c>
      <c r="J15" s="517"/>
      <c r="K15" s="172" t="str">
        <f t="shared" si="6"/>
        <v/>
      </c>
      <c r="L15" s="136"/>
      <c r="M15" s="136"/>
      <c r="N15" s="225"/>
      <c r="O15" s="328" t="str">
        <f t="shared" si="4"/>
        <v>-</v>
      </c>
      <c r="P15" s="499"/>
      <c r="Q15" s="536"/>
      <c r="R15" s="537"/>
      <c r="S15" s="499"/>
      <c r="T15" s="537"/>
      <c r="U15" s="499"/>
      <c r="V15" s="502"/>
      <c r="W15" s="519"/>
      <c r="X15" s="502"/>
      <c r="Y15" s="499"/>
      <c r="Z15" s="518"/>
      <c r="AA15" s="499"/>
      <c r="AB15" s="505"/>
      <c r="AC15" s="520"/>
      <c r="AD15" s="505"/>
      <c r="AE15" s="508"/>
      <c r="AF15" s="521"/>
      <c r="AG15" s="508"/>
      <c r="AH15" s="511"/>
      <c r="AI15" s="522"/>
      <c r="AJ15" s="511"/>
      <c r="AK15" s="514">
        <f t="shared" si="7"/>
        <v>0</v>
      </c>
      <c r="AL15" s="523"/>
      <c r="AM15" s="525"/>
      <c r="AN15" s="329"/>
      <c r="AO15" s="691"/>
    </row>
    <row r="16" spans="1:41" s="516" customFormat="1" ht="15.75">
      <c r="A16" s="516">
        <f t="shared" si="5"/>
        <v>0</v>
      </c>
      <c r="B16" s="610" t="str">
        <f>IF(AND($B$7=AN16,$B$5=J16),MAX($B$8:B15)+1,"")</f>
        <v/>
      </c>
      <c r="C16" s="493" t="str">
        <f t="shared" si="0"/>
        <v/>
      </c>
      <c r="D16" s="494" t="str">
        <f t="shared" si="1"/>
        <v/>
      </c>
      <c r="E16" s="493" t="str">
        <f t="shared" si="2"/>
        <v/>
      </c>
      <c r="F16" s="495" t="str">
        <f t="shared" si="3"/>
        <v/>
      </c>
      <c r="G16" s="496" t="str">
        <f>IF($G$6=N16,MAX($G$8:G15)+1,"")</f>
        <v/>
      </c>
      <c r="H16" s="496" t="str">
        <f>IF($H$6=J16,MAX($H$8:H15)+1,"")</f>
        <v/>
      </c>
      <c r="I16" s="172" t="str">
        <f>IF(L16&lt;&gt;"",COUNTA($L$9:L16),"")</f>
        <v/>
      </c>
      <c r="J16" s="517"/>
      <c r="K16" s="172" t="str">
        <f t="shared" si="6"/>
        <v/>
      </c>
      <c r="L16" s="136"/>
      <c r="M16" s="136"/>
      <c r="N16" s="225"/>
      <c r="O16" s="328" t="str">
        <f t="shared" si="4"/>
        <v>-</v>
      </c>
      <c r="P16" s="499"/>
      <c r="Q16" s="536"/>
      <c r="R16" s="537"/>
      <c r="S16" s="499"/>
      <c r="T16" s="537"/>
      <c r="U16" s="499"/>
      <c r="V16" s="502"/>
      <c r="W16" s="519"/>
      <c r="X16" s="502"/>
      <c r="Y16" s="499"/>
      <c r="Z16" s="518"/>
      <c r="AA16" s="499"/>
      <c r="AB16" s="505"/>
      <c r="AC16" s="520"/>
      <c r="AD16" s="505"/>
      <c r="AE16" s="508"/>
      <c r="AF16" s="521"/>
      <c r="AG16" s="508"/>
      <c r="AH16" s="511"/>
      <c r="AI16" s="522"/>
      <c r="AJ16" s="511"/>
      <c r="AK16" s="514">
        <f t="shared" si="7"/>
        <v>0</v>
      </c>
      <c r="AL16" s="523"/>
      <c r="AM16" s="525"/>
      <c r="AN16" s="329"/>
      <c r="AO16" s="691"/>
    </row>
    <row r="17" spans="1:41" s="516" customFormat="1" ht="15.75">
      <c r="A17" s="516">
        <f t="shared" si="5"/>
        <v>0</v>
      </c>
      <c r="B17" s="610" t="str">
        <f>IF(AND($B$7=AN17,$B$5=J17),MAX($B$8:B16)+1,"")</f>
        <v/>
      </c>
      <c r="C17" s="493" t="str">
        <f t="shared" si="0"/>
        <v/>
      </c>
      <c r="D17" s="494" t="str">
        <f t="shared" si="1"/>
        <v/>
      </c>
      <c r="E17" s="493" t="str">
        <f t="shared" si="2"/>
        <v/>
      </c>
      <c r="F17" s="495" t="str">
        <f t="shared" si="3"/>
        <v/>
      </c>
      <c r="G17" s="496" t="str">
        <f>IF($G$6=N17,MAX($G$8:G16)+1,"")</f>
        <v/>
      </c>
      <c r="H17" s="496" t="str">
        <f>IF($H$6=J17,MAX($H$8:H16)+1,"")</f>
        <v/>
      </c>
      <c r="I17" s="172" t="str">
        <f>IF(L17&lt;&gt;"",COUNTA($L$9:L17),"")</f>
        <v/>
      </c>
      <c r="J17" s="517"/>
      <c r="K17" s="172" t="str">
        <f t="shared" si="6"/>
        <v/>
      </c>
      <c r="L17" s="136"/>
      <c r="M17" s="136"/>
      <c r="N17" s="225"/>
      <c r="O17" s="328" t="str">
        <f t="shared" si="4"/>
        <v>-</v>
      </c>
      <c r="P17" s="499"/>
      <c r="Q17" s="536"/>
      <c r="R17" s="537"/>
      <c r="S17" s="499"/>
      <c r="T17" s="537"/>
      <c r="U17" s="499"/>
      <c r="V17" s="502"/>
      <c r="W17" s="519"/>
      <c r="X17" s="502"/>
      <c r="Y17" s="499"/>
      <c r="Z17" s="518"/>
      <c r="AA17" s="499"/>
      <c r="AB17" s="505"/>
      <c r="AC17" s="520"/>
      <c r="AD17" s="505"/>
      <c r="AE17" s="508"/>
      <c r="AF17" s="521"/>
      <c r="AG17" s="508"/>
      <c r="AH17" s="511"/>
      <c r="AI17" s="522"/>
      <c r="AJ17" s="511"/>
      <c r="AK17" s="514">
        <f t="shared" si="7"/>
        <v>0</v>
      </c>
      <c r="AL17" s="523"/>
      <c r="AM17" s="525"/>
      <c r="AN17" s="329"/>
      <c r="AO17" s="691"/>
    </row>
    <row r="18" spans="1:41" s="516" customFormat="1" ht="15.75">
      <c r="A18" s="516">
        <f t="shared" si="5"/>
        <v>0</v>
      </c>
      <c r="B18" s="610" t="str">
        <f>IF(AND($B$7=AN18,$B$5=J18),MAX($B$8:B17)+1,"")</f>
        <v/>
      </c>
      <c r="C18" s="493" t="str">
        <f t="shared" si="0"/>
        <v/>
      </c>
      <c r="D18" s="494" t="str">
        <f t="shared" si="1"/>
        <v/>
      </c>
      <c r="E18" s="493" t="str">
        <f t="shared" si="2"/>
        <v/>
      </c>
      <c r="F18" s="495" t="str">
        <f t="shared" si="3"/>
        <v/>
      </c>
      <c r="G18" s="496" t="str">
        <f>IF($G$6=N18,MAX($G$8:G17)+1,"")</f>
        <v/>
      </c>
      <c r="H18" s="496" t="str">
        <f>IF($H$6=J18,MAX($H$8:H17)+1,"")</f>
        <v/>
      </c>
      <c r="I18" s="172" t="str">
        <f>IF(L18&lt;&gt;"",COUNTA($L$9:L18),"")</f>
        <v/>
      </c>
      <c r="J18" s="517"/>
      <c r="K18" s="172" t="str">
        <f t="shared" si="6"/>
        <v/>
      </c>
      <c r="L18" s="136"/>
      <c r="M18" s="136"/>
      <c r="N18" s="225"/>
      <c r="O18" s="328" t="str">
        <f t="shared" si="4"/>
        <v>-</v>
      </c>
      <c r="P18" s="499"/>
      <c r="Q18" s="536"/>
      <c r="R18" s="537"/>
      <c r="S18" s="499"/>
      <c r="T18" s="537"/>
      <c r="U18" s="499"/>
      <c r="V18" s="502"/>
      <c r="W18" s="519"/>
      <c r="X18" s="502"/>
      <c r="Y18" s="499"/>
      <c r="Z18" s="518"/>
      <c r="AA18" s="499"/>
      <c r="AB18" s="505"/>
      <c r="AC18" s="520"/>
      <c r="AD18" s="505"/>
      <c r="AE18" s="508"/>
      <c r="AF18" s="521"/>
      <c r="AG18" s="508"/>
      <c r="AH18" s="511"/>
      <c r="AI18" s="522"/>
      <c r="AJ18" s="511"/>
      <c r="AK18" s="514">
        <f t="shared" si="7"/>
        <v>0</v>
      </c>
      <c r="AL18" s="523"/>
      <c r="AM18" s="525"/>
      <c r="AN18" s="329"/>
      <c r="AO18" s="691"/>
    </row>
    <row r="19" spans="1:41" s="516" customFormat="1" ht="15.75">
      <c r="A19" s="516">
        <f t="shared" si="5"/>
        <v>0</v>
      </c>
      <c r="B19" s="610" t="str">
        <f>IF(AND($B$7=AN19,$B$5=J19),MAX($B$8:B18)+1,"")</f>
        <v/>
      </c>
      <c r="C19" s="493" t="str">
        <f t="shared" si="0"/>
        <v/>
      </c>
      <c r="D19" s="494" t="str">
        <f t="shared" si="1"/>
        <v/>
      </c>
      <c r="E19" s="493" t="str">
        <f t="shared" si="2"/>
        <v/>
      </c>
      <c r="F19" s="495" t="str">
        <f t="shared" si="3"/>
        <v/>
      </c>
      <c r="G19" s="496" t="str">
        <f>IF($G$6=N19,MAX($G$8:G18)+1,"")</f>
        <v/>
      </c>
      <c r="H19" s="496" t="str">
        <f>IF($H$6=J19,MAX($H$8:H18)+1,"")</f>
        <v/>
      </c>
      <c r="I19" s="172" t="str">
        <f>IF(L19&lt;&gt;"",COUNTA($L$9:L19),"")</f>
        <v/>
      </c>
      <c r="J19" s="517"/>
      <c r="K19" s="172" t="str">
        <f t="shared" si="6"/>
        <v/>
      </c>
      <c r="L19" s="136"/>
      <c r="M19" s="136"/>
      <c r="N19" s="225"/>
      <c r="O19" s="328" t="str">
        <f t="shared" si="4"/>
        <v>-</v>
      </c>
      <c r="P19" s="499"/>
      <c r="Q19" s="536"/>
      <c r="R19" s="537"/>
      <c r="S19" s="499"/>
      <c r="T19" s="537"/>
      <c r="U19" s="499"/>
      <c r="V19" s="502"/>
      <c r="W19" s="519"/>
      <c r="X19" s="502"/>
      <c r="Y19" s="499"/>
      <c r="Z19" s="518"/>
      <c r="AA19" s="499"/>
      <c r="AB19" s="505"/>
      <c r="AC19" s="520"/>
      <c r="AD19" s="505"/>
      <c r="AE19" s="508"/>
      <c r="AF19" s="521"/>
      <c r="AG19" s="508"/>
      <c r="AH19" s="511"/>
      <c r="AI19" s="522"/>
      <c r="AJ19" s="511"/>
      <c r="AK19" s="514">
        <f t="shared" si="7"/>
        <v>0</v>
      </c>
      <c r="AL19" s="523"/>
      <c r="AM19" s="525"/>
      <c r="AN19" s="329"/>
      <c r="AO19" s="691"/>
    </row>
    <row r="20" spans="1:41" s="526" customFormat="1" ht="15.75">
      <c r="A20" s="516">
        <f t="shared" si="5"/>
        <v>0</v>
      </c>
      <c r="B20" s="610" t="str">
        <f>IF(AND($B$7=AN20,$B$5=J20),MAX($B$8:B19)+1,"")</f>
        <v/>
      </c>
      <c r="C20" s="493" t="str">
        <f t="shared" si="0"/>
        <v/>
      </c>
      <c r="D20" s="494" t="str">
        <f t="shared" si="1"/>
        <v/>
      </c>
      <c r="E20" s="493" t="str">
        <f t="shared" si="2"/>
        <v/>
      </c>
      <c r="F20" s="495" t="str">
        <f t="shared" si="3"/>
        <v/>
      </c>
      <c r="G20" s="496" t="str">
        <f>IF($G$6=N20,MAX($G$8:G19)+1,"")</f>
        <v/>
      </c>
      <c r="H20" s="496" t="str">
        <f>IF($H$6=J20,MAX($H$8:H19)+1,"")</f>
        <v/>
      </c>
      <c r="I20" s="172" t="str">
        <f>IF(L20&lt;&gt;"",COUNTA($L$9:L20),"")</f>
        <v/>
      </c>
      <c r="J20" s="517"/>
      <c r="K20" s="172" t="str">
        <f t="shared" si="6"/>
        <v/>
      </c>
      <c r="L20" s="538"/>
      <c r="M20" s="136"/>
      <c r="N20" s="225"/>
      <c r="O20" s="328" t="str">
        <f t="shared" si="4"/>
        <v>-</v>
      </c>
      <c r="P20" s="499"/>
      <c r="Q20" s="539"/>
      <c r="R20" s="537"/>
      <c r="S20" s="499"/>
      <c r="T20" s="672"/>
      <c r="U20" s="499"/>
      <c r="V20" s="502"/>
      <c r="W20" s="519"/>
      <c r="X20" s="502"/>
      <c r="Y20" s="499"/>
      <c r="Z20" s="518"/>
      <c r="AA20" s="499"/>
      <c r="AB20" s="505"/>
      <c r="AC20" s="520"/>
      <c r="AD20" s="505"/>
      <c r="AE20" s="508"/>
      <c r="AF20" s="521"/>
      <c r="AG20" s="508"/>
      <c r="AH20" s="511"/>
      <c r="AI20" s="522"/>
      <c r="AJ20" s="511"/>
      <c r="AK20" s="514">
        <f t="shared" si="7"/>
        <v>0</v>
      </c>
      <c r="AL20" s="523"/>
      <c r="AM20" s="525"/>
      <c r="AN20" s="329"/>
      <c r="AO20" s="691"/>
    </row>
    <row r="21" spans="1:41" s="516" customFormat="1" ht="15.75">
      <c r="A21" s="516">
        <f t="shared" si="5"/>
        <v>0</v>
      </c>
      <c r="B21" s="610" t="str">
        <f>IF(AND($B$7=AN21,$B$5=J21),MAX($B$8:B20)+1,"")</f>
        <v/>
      </c>
      <c r="C21" s="493" t="str">
        <f t="shared" si="0"/>
        <v/>
      </c>
      <c r="D21" s="494" t="str">
        <f t="shared" si="1"/>
        <v/>
      </c>
      <c r="E21" s="493" t="str">
        <f t="shared" si="2"/>
        <v/>
      </c>
      <c r="F21" s="495" t="str">
        <f t="shared" si="3"/>
        <v/>
      </c>
      <c r="G21" s="496" t="str">
        <f>IF($G$6=N21,MAX($G$8:G20)+1,"")</f>
        <v/>
      </c>
      <c r="H21" s="496" t="str">
        <f>IF($H$6=J21,MAX($H$8:H20)+1,"")</f>
        <v/>
      </c>
      <c r="I21" s="172" t="str">
        <f>IF(L21&lt;&gt;"",COUNTA($L$9:L21),"")</f>
        <v/>
      </c>
      <c r="J21" s="517"/>
      <c r="K21" s="172" t="str">
        <f t="shared" si="6"/>
        <v/>
      </c>
      <c r="L21" s="136"/>
      <c r="M21" s="136"/>
      <c r="N21" s="225"/>
      <c r="O21" s="328" t="str">
        <f t="shared" si="4"/>
        <v>-</v>
      </c>
      <c r="P21" s="499"/>
      <c r="Q21" s="536"/>
      <c r="R21" s="537"/>
      <c r="S21" s="499"/>
      <c r="T21" s="537"/>
      <c r="U21" s="499"/>
      <c r="V21" s="502"/>
      <c r="W21" s="519"/>
      <c r="X21" s="502"/>
      <c r="Y21" s="499"/>
      <c r="Z21" s="518"/>
      <c r="AA21" s="499"/>
      <c r="AB21" s="505"/>
      <c r="AC21" s="520"/>
      <c r="AD21" s="505"/>
      <c r="AE21" s="508"/>
      <c r="AF21" s="521"/>
      <c r="AG21" s="508"/>
      <c r="AH21" s="511"/>
      <c r="AI21" s="522"/>
      <c r="AJ21" s="511"/>
      <c r="AK21" s="514">
        <f t="shared" si="7"/>
        <v>0</v>
      </c>
      <c r="AL21" s="523"/>
      <c r="AM21" s="525"/>
      <c r="AN21" s="329"/>
      <c r="AO21" s="691"/>
    </row>
    <row r="22" spans="1:41" s="524" customFormat="1" ht="15.75">
      <c r="A22" s="516">
        <f t="shared" si="5"/>
        <v>0</v>
      </c>
      <c r="B22" s="610" t="str">
        <f>IF(AND($B$7=AN22,$B$5=J22),MAX($B$8:B21)+1,"")</f>
        <v/>
      </c>
      <c r="C22" s="493" t="str">
        <f t="shared" si="0"/>
        <v/>
      </c>
      <c r="D22" s="494" t="str">
        <f t="shared" si="1"/>
        <v/>
      </c>
      <c r="E22" s="493" t="str">
        <f t="shared" si="2"/>
        <v/>
      </c>
      <c r="F22" s="495" t="str">
        <f t="shared" si="3"/>
        <v/>
      </c>
      <c r="G22" s="496" t="str">
        <f>IF($G$6=N22,MAX($G$8:G21)+1,"")</f>
        <v/>
      </c>
      <c r="H22" s="496" t="str">
        <f>IF($H$6=J22,MAX($H$8:H21)+1,"")</f>
        <v/>
      </c>
      <c r="I22" s="172" t="str">
        <f>IF(L22&lt;&gt;"",COUNTA($L$9:L22),"")</f>
        <v/>
      </c>
      <c r="J22" s="517"/>
      <c r="K22" s="172" t="str">
        <f t="shared" si="6"/>
        <v/>
      </c>
      <c r="L22" s="540"/>
      <c r="M22" s="136"/>
      <c r="N22" s="225"/>
      <c r="O22" s="328" t="str">
        <f t="shared" si="4"/>
        <v>-</v>
      </c>
      <c r="P22" s="499"/>
      <c r="Q22" s="536"/>
      <c r="R22" s="537"/>
      <c r="S22" s="499"/>
      <c r="T22" s="671"/>
      <c r="U22" s="499"/>
      <c r="V22" s="502"/>
      <c r="W22" s="519"/>
      <c r="X22" s="502"/>
      <c r="Y22" s="499"/>
      <c r="Z22" s="518"/>
      <c r="AA22" s="499"/>
      <c r="AB22" s="505"/>
      <c r="AC22" s="520"/>
      <c r="AD22" s="505"/>
      <c r="AE22" s="508"/>
      <c r="AF22" s="521"/>
      <c r="AG22" s="508"/>
      <c r="AH22" s="511"/>
      <c r="AI22" s="522"/>
      <c r="AJ22" s="511"/>
      <c r="AK22" s="514">
        <f t="shared" si="7"/>
        <v>0</v>
      </c>
      <c r="AL22" s="523"/>
      <c r="AM22" s="525"/>
      <c r="AN22" s="329"/>
      <c r="AO22" s="691"/>
    </row>
    <row r="23" spans="1:41" s="516" customFormat="1" ht="15.75">
      <c r="A23" s="516">
        <f t="shared" si="5"/>
        <v>0</v>
      </c>
      <c r="B23" s="610" t="str">
        <f>IF(AND($B$7=AN23,$B$5=J23),MAX($B$8:B22)+1,"")</f>
        <v/>
      </c>
      <c r="C23" s="493" t="str">
        <f t="shared" si="0"/>
        <v/>
      </c>
      <c r="D23" s="494" t="str">
        <f t="shared" si="1"/>
        <v/>
      </c>
      <c r="E23" s="493" t="str">
        <f t="shared" si="2"/>
        <v/>
      </c>
      <c r="F23" s="495" t="str">
        <f t="shared" si="3"/>
        <v/>
      </c>
      <c r="G23" s="496" t="str">
        <f>IF($G$6=N23,MAX($G$8:G22)+1,"")</f>
        <v/>
      </c>
      <c r="H23" s="496" t="str">
        <f>IF($H$6=J23,MAX($H$8:H22)+1,"")</f>
        <v/>
      </c>
      <c r="I23" s="172" t="str">
        <f>IF(L23&lt;&gt;"",COUNTA($L$9:L23),"")</f>
        <v/>
      </c>
      <c r="J23" s="517"/>
      <c r="K23" s="172" t="str">
        <f t="shared" si="6"/>
        <v/>
      </c>
      <c r="L23" s="136"/>
      <c r="M23" s="136"/>
      <c r="N23" s="225"/>
      <c r="O23" s="328" t="str">
        <f t="shared" si="4"/>
        <v>-</v>
      </c>
      <c r="P23" s="499"/>
      <c r="Q23" s="536"/>
      <c r="R23" s="537"/>
      <c r="S23" s="499"/>
      <c r="T23" s="537"/>
      <c r="U23" s="499"/>
      <c r="V23" s="502"/>
      <c r="W23" s="519"/>
      <c r="X23" s="502"/>
      <c r="Y23" s="499"/>
      <c r="Z23" s="518"/>
      <c r="AA23" s="499"/>
      <c r="AB23" s="505"/>
      <c r="AC23" s="520"/>
      <c r="AD23" s="505"/>
      <c r="AE23" s="508"/>
      <c r="AF23" s="521"/>
      <c r="AG23" s="508"/>
      <c r="AH23" s="511"/>
      <c r="AI23" s="522"/>
      <c r="AJ23" s="511"/>
      <c r="AK23" s="514">
        <f t="shared" si="7"/>
        <v>0</v>
      </c>
      <c r="AL23" s="523"/>
      <c r="AM23" s="525"/>
      <c r="AN23" s="329"/>
      <c r="AO23" s="691"/>
    </row>
    <row r="24" spans="1:41" s="516" customFormat="1" ht="15.75">
      <c r="A24" s="516">
        <f t="shared" si="5"/>
        <v>0</v>
      </c>
      <c r="B24" s="610" t="str">
        <f>IF(AND($B$7=AN24,$B$5=J24),MAX($B$8:B23)+1,"")</f>
        <v/>
      </c>
      <c r="C24" s="493" t="str">
        <f t="shared" si="0"/>
        <v/>
      </c>
      <c r="D24" s="494" t="str">
        <f t="shared" si="1"/>
        <v/>
      </c>
      <c r="E24" s="493" t="str">
        <f t="shared" si="2"/>
        <v/>
      </c>
      <c r="F24" s="495" t="str">
        <f t="shared" si="3"/>
        <v/>
      </c>
      <c r="G24" s="496" t="str">
        <f>IF($G$6=N24,MAX($G$8:G23)+1,"")</f>
        <v/>
      </c>
      <c r="H24" s="496" t="str">
        <f>IF($H$6=J24,MAX($H$8:H23)+1,"")</f>
        <v/>
      </c>
      <c r="I24" s="172" t="str">
        <f>IF(L24&lt;&gt;"",COUNTA($L$9:L24),"")</f>
        <v/>
      </c>
      <c r="J24" s="517"/>
      <c r="K24" s="172" t="str">
        <f t="shared" si="6"/>
        <v/>
      </c>
      <c r="L24" s="136"/>
      <c r="M24" s="136"/>
      <c r="N24" s="225"/>
      <c r="O24" s="328" t="str">
        <f t="shared" si="4"/>
        <v>-</v>
      </c>
      <c r="P24" s="499"/>
      <c r="Q24" s="536"/>
      <c r="R24" s="537"/>
      <c r="S24" s="499"/>
      <c r="T24" s="537"/>
      <c r="U24" s="499"/>
      <c r="V24" s="502"/>
      <c r="W24" s="519"/>
      <c r="X24" s="502"/>
      <c r="Y24" s="499"/>
      <c r="Z24" s="518"/>
      <c r="AA24" s="499"/>
      <c r="AB24" s="505"/>
      <c r="AC24" s="520"/>
      <c r="AD24" s="505"/>
      <c r="AE24" s="508"/>
      <c r="AF24" s="521"/>
      <c r="AG24" s="508"/>
      <c r="AH24" s="511"/>
      <c r="AI24" s="522"/>
      <c r="AJ24" s="511"/>
      <c r="AK24" s="514">
        <f t="shared" si="7"/>
        <v>0</v>
      </c>
      <c r="AL24" s="523"/>
      <c r="AM24" s="525"/>
      <c r="AN24" s="329"/>
      <c r="AO24" s="691"/>
    </row>
    <row r="25" spans="1:41" s="524" customFormat="1" ht="15.75">
      <c r="A25" s="516">
        <f t="shared" si="5"/>
        <v>0</v>
      </c>
      <c r="B25" s="610" t="str">
        <f>IF(AND($B$7=AN25,$B$5=J25),MAX($B$8:B24)+1,"")</f>
        <v/>
      </c>
      <c r="C25" s="493" t="str">
        <f t="shared" si="0"/>
        <v/>
      </c>
      <c r="D25" s="494" t="str">
        <f t="shared" si="1"/>
        <v/>
      </c>
      <c r="E25" s="493" t="str">
        <f t="shared" si="2"/>
        <v/>
      </c>
      <c r="F25" s="495" t="str">
        <f t="shared" si="3"/>
        <v/>
      </c>
      <c r="G25" s="496" t="str">
        <f>IF($G$6=N25,MAX($G$8:G24)+1,"")</f>
        <v/>
      </c>
      <c r="H25" s="496" t="str">
        <f>IF($H$6=J25,MAX($H$8:H24)+1,"")</f>
        <v/>
      </c>
      <c r="I25" s="172" t="str">
        <f>IF(L25&lt;&gt;"",COUNTA($L$9:L25),"")</f>
        <v/>
      </c>
      <c r="J25" s="517"/>
      <c r="K25" s="172" t="str">
        <f t="shared" si="6"/>
        <v/>
      </c>
      <c r="L25" s="136"/>
      <c r="M25" s="136"/>
      <c r="N25" s="225"/>
      <c r="O25" s="328" t="str">
        <f t="shared" si="4"/>
        <v>-</v>
      </c>
      <c r="P25" s="499"/>
      <c r="Q25" s="536"/>
      <c r="R25" s="537"/>
      <c r="S25" s="499"/>
      <c r="T25" s="671"/>
      <c r="U25" s="499"/>
      <c r="V25" s="502"/>
      <c r="W25" s="519"/>
      <c r="X25" s="502"/>
      <c r="Y25" s="499"/>
      <c r="Z25" s="518"/>
      <c r="AA25" s="499"/>
      <c r="AB25" s="505"/>
      <c r="AC25" s="520"/>
      <c r="AD25" s="505"/>
      <c r="AE25" s="508"/>
      <c r="AF25" s="521"/>
      <c r="AG25" s="508"/>
      <c r="AH25" s="511"/>
      <c r="AI25" s="522"/>
      <c r="AJ25" s="511"/>
      <c r="AK25" s="514">
        <f t="shared" si="7"/>
        <v>0</v>
      </c>
      <c r="AL25" s="523"/>
      <c r="AM25" s="525"/>
      <c r="AN25" s="329"/>
      <c r="AO25" s="691"/>
    </row>
    <row r="26" spans="1:41" s="516" customFormat="1" ht="15.75">
      <c r="A26" s="516">
        <f t="shared" si="5"/>
        <v>0</v>
      </c>
      <c r="B26" s="610" t="str">
        <f>IF(AND($B$7=AN26,$B$5=J26),MAX($B$8:B25)+1,"")</f>
        <v/>
      </c>
      <c r="C26" s="493" t="str">
        <f t="shared" si="0"/>
        <v/>
      </c>
      <c r="D26" s="494" t="str">
        <f t="shared" si="1"/>
        <v/>
      </c>
      <c r="E26" s="493" t="str">
        <f t="shared" si="2"/>
        <v/>
      </c>
      <c r="F26" s="495" t="str">
        <f t="shared" si="3"/>
        <v/>
      </c>
      <c r="G26" s="496" t="str">
        <f>IF($G$6=N26,MAX($G$8:G25)+1,"")</f>
        <v/>
      </c>
      <c r="H26" s="496" t="str">
        <f>IF($H$6=J26,MAX($H$8:H25)+1,"")</f>
        <v/>
      </c>
      <c r="I26" s="172" t="str">
        <f>IF(L26&lt;&gt;"",COUNTA($L$9:L26),"")</f>
        <v/>
      </c>
      <c r="J26" s="517"/>
      <c r="K26" s="172" t="str">
        <f t="shared" si="6"/>
        <v/>
      </c>
      <c r="L26" s="136"/>
      <c r="M26" s="136"/>
      <c r="N26" s="225"/>
      <c r="O26" s="328" t="str">
        <f t="shared" si="4"/>
        <v>-</v>
      </c>
      <c r="P26" s="499"/>
      <c r="Q26" s="536"/>
      <c r="R26" s="537"/>
      <c r="S26" s="499"/>
      <c r="T26" s="537"/>
      <c r="U26" s="499"/>
      <c r="V26" s="502"/>
      <c r="W26" s="519"/>
      <c r="X26" s="502"/>
      <c r="Y26" s="499"/>
      <c r="Z26" s="518"/>
      <c r="AA26" s="499"/>
      <c r="AB26" s="505"/>
      <c r="AC26" s="520"/>
      <c r="AD26" s="505"/>
      <c r="AE26" s="508"/>
      <c r="AF26" s="521"/>
      <c r="AG26" s="508"/>
      <c r="AH26" s="511"/>
      <c r="AI26" s="522"/>
      <c r="AJ26" s="511"/>
      <c r="AK26" s="514">
        <f t="shared" si="7"/>
        <v>0</v>
      </c>
      <c r="AL26" s="523"/>
      <c r="AM26" s="525"/>
      <c r="AN26" s="329"/>
      <c r="AO26" s="691"/>
    </row>
    <row r="27" spans="1:41" s="516" customFormat="1" ht="15.75">
      <c r="A27" s="516">
        <f t="shared" si="5"/>
        <v>0</v>
      </c>
      <c r="B27" s="610" t="str">
        <f>IF(AND($B$7=AN27,$B$5=J27),MAX($B$8:B26)+1,"")</f>
        <v/>
      </c>
      <c r="C27" s="493" t="str">
        <f t="shared" si="0"/>
        <v/>
      </c>
      <c r="D27" s="494" t="str">
        <f t="shared" si="1"/>
        <v/>
      </c>
      <c r="E27" s="493" t="str">
        <f t="shared" si="2"/>
        <v/>
      </c>
      <c r="F27" s="495" t="str">
        <f t="shared" si="3"/>
        <v/>
      </c>
      <c r="G27" s="496" t="str">
        <f>IF($G$6=N27,MAX($G$8:G26)+1,"")</f>
        <v/>
      </c>
      <c r="H27" s="496" t="str">
        <f>IF($H$6=J27,MAX($H$8:H26)+1,"")</f>
        <v/>
      </c>
      <c r="I27" s="172" t="str">
        <f>IF(L27&lt;&gt;"",COUNTA($L$9:L27),"")</f>
        <v/>
      </c>
      <c r="J27" s="517"/>
      <c r="K27" s="172" t="str">
        <f t="shared" si="6"/>
        <v/>
      </c>
      <c r="L27" s="136"/>
      <c r="M27" s="136"/>
      <c r="N27" s="225"/>
      <c r="O27" s="328" t="str">
        <f t="shared" si="4"/>
        <v>-</v>
      </c>
      <c r="P27" s="499"/>
      <c r="Q27" s="536"/>
      <c r="R27" s="537"/>
      <c r="S27" s="499"/>
      <c r="T27" s="537"/>
      <c r="U27" s="499"/>
      <c r="V27" s="502"/>
      <c r="W27" s="519"/>
      <c r="X27" s="502"/>
      <c r="Y27" s="499"/>
      <c r="Z27" s="518"/>
      <c r="AA27" s="499"/>
      <c r="AB27" s="505"/>
      <c r="AC27" s="520"/>
      <c r="AD27" s="505"/>
      <c r="AE27" s="508"/>
      <c r="AF27" s="521"/>
      <c r="AG27" s="508"/>
      <c r="AH27" s="511"/>
      <c r="AI27" s="522"/>
      <c r="AJ27" s="511"/>
      <c r="AK27" s="514">
        <f t="shared" si="7"/>
        <v>0</v>
      </c>
      <c r="AL27" s="523"/>
      <c r="AM27" s="525"/>
      <c r="AN27" s="329"/>
      <c r="AO27" s="691"/>
    </row>
    <row r="28" spans="1:41" s="524" customFormat="1" ht="15.75">
      <c r="A28" s="516">
        <f t="shared" si="5"/>
        <v>0</v>
      </c>
      <c r="B28" s="610" t="str">
        <f>IF(AND($B$7=AN28,$B$5=J28),MAX($B$8:B27)+1,"")</f>
        <v/>
      </c>
      <c r="C28" s="493" t="str">
        <f t="shared" si="0"/>
        <v/>
      </c>
      <c r="D28" s="494" t="str">
        <f t="shared" si="1"/>
        <v/>
      </c>
      <c r="E28" s="493" t="str">
        <f t="shared" si="2"/>
        <v/>
      </c>
      <c r="F28" s="495" t="str">
        <f t="shared" si="3"/>
        <v/>
      </c>
      <c r="G28" s="496" t="str">
        <f>IF($G$6=N28,MAX($G$8:G27)+1,"")</f>
        <v/>
      </c>
      <c r="H28" s="496" t="str">
        <f>IF($H$6=J28,MAX($H$8:H27)+1,"")</f>
        <v/>
      </c>
      <c r="I28" s="172" t="str">
        <f>IF(L28&lt;&gt;"",COUNTA($L$9:L28),"")</f>
        <v/>
      </c>
      <c r="J28" s="517"/>
      <c r="K28" s="172" t="str">
        <f t="shared" si="6"/>
        <v/>
      </c>
      <c r="L28" s="136"/>
      <c r="M28" s="136"/>
      <c r="N28" s="225"/>
      <c r="O28" s="328" t="str">
        <f t="shared" si="4"/>
        <v>-</v>
      </c>
      <c r="P28" s="499"/>
      <c r="Q28" s="536"/>
      <c r="R28" s="537"/>
      <c r="S28" s="499"/>
      <c r="T28" s="671"/>
      <c r="U28" s="499"/>
      <c r="V28" s="502"/>
      <c r="W28" s="519"/>
      <c r="X28" s="502"/>
      <c r="Y28" s="499"/>
      <c r="Z28" s="518"/>
      <c r="AA28" s="499"/>
      <c r="AB28" s="505"/>
      <c r="AC28" s="520"/>
      <c r="AD28" s="505"/>
      <c r="AE28" s="508"/>
      <c r="AF28" s="521"/>
      <c r="AG28" s="508"/>
      <c r="AH28" s="511"/>
      <c r="AI28" s="522"/>
      <c r="AJ28" s="511"/>
      <c r="AK28" s="514">
        <f t="shared" si="7"/>
        <v>0</v>
      </c>
      <c r="AL28" s="523"/>
      <c r="AM28" s="525"/>
      <c r="AN28" s="329"/>
      <c r="AO28" s="691"/>
    </row>
    <row r="29" spans="1:41" s="516" customFormat="1" ht="15.75">
      <c r="A29" s="516">
        <f t="shared" si="5"/>
        <v>0</v>
      </c>
      <c r="B29" s="610" t="str">
        <f>IF(AND($B$7=AN29,$B$5=J29),MAX($B$8:B28)+1,"")</f>
        <v/>
      </c>
      <c r="C29" s="493" t="str">
        <f t="shared" si="0"/>
        <v/>
      </c>
      <c r="D29" s="494" t="str">
        <f t="shared" si="1"/>
        <v/>
      </c>
      <c r="E29" s="493" t="str">
        <f t="shared" si="2"/>
        <v/>
      </c>
      <c r="F29" s="495" t="str">
        <f t="shared" si="3"/>
        <v/>
      </c>
      <c r="G29" s="496" t="str">
        <f>IF($G$6=N29,MAX($G$8:G28)+1,"")</f>
        <v/>
      </c>
      <c r="H29" s="496" t="str">
        <f>IF($H$6=J29,MAX($H$8:H28)+1,"")</f>
        <v/>
      </c>
      <c r="I29" s="172" t="str">
        <f>IF(L29&lt;&gt;"",COUNTA($L$9:L29),"")</f>
        <v/>
      </c>
      <c r="J29" s="517"/>
      <c r="K29" s="172" t="str">
        <f t="shared" si="6"/>
        <v/>
      </c>
      <c r="L29" s="136"/>
      <c r="M29" s="136"/>
      <c r="N29" s="225"/>
      <c r="O29" s="328" t="str">
        <f t="shared" si="4"/>
        <v>-</v>
      </c>
      <c r="P29" s="499"/>
      <c r="Q29" s="536"/>
      <c r="R29" s="537"/>
      <c r="S29" s="499"/>
      <c r="T29" s="537"/>
      <c r="U29" s="499"/>
      <c r="V29" s="502"/>
      <c r="W29" s="519"/>
      <c r="X29" s="502"/>
      <c r="Y29" s="499"/>
      <c r="Z29" s="518"/>
      <c r="AA29" s="499"/>
      <c r="AB29" s="505"/>
      <c r="AC29" s="520"/>
      <c r="AD29" s="505"/>
      <c r="AE29" s="508"/>
      <c r="AF29" s="521"/>
      <c r="AG29" s="508"/>
      <c r="AH29" s="511"/>
      <c r="AI29" s="522"/>
      <c r="AJ29" s="511"/>
      <c r="AK29" s="514">
        <f t="shared" si="7"/>
        <v>0</v>
      </c>
      <c r="AL29" s="523"/>
      <c r="AM29" s="525"/>
      <c r="AN29" s="329"/>
      <c r="AO29" s="691"/>
    </row>
    <row r="30" spans="1:41" s="516" customFormat="1" ht="15.75">
      <c r="A30" s="516">
        <f t="shared" si="5"/>
        <v>0</v>
      </c>
      <c r="B30" s="610" t="str">
        <f>IF(AND($B$7=AN30,$B$5=J30),MAX($B$8:B29)+1,"")</f>
        <v/>
      </c>
      <c r="C30" s="493" t="str">
        <f t="shared" si="0"/>
        <v/>
      </c>
      <c r="D30" s="494" t="str">
        <f t="shared" si="1"/>
        <v/>
      </c>
      <c r="E30" s="493" t="str">
        <f t="shared" si="2"/>
        <v/>
      </c>
      <c r="F30" s="495" t="str">
        <f t="shared" si="3"/>
        <v/>
      </c>
      <c r="G30" s="496" t="str">
        <f>IF($G$6=N30,MAX($G$8:G29)+1,"")</f>
        <v/>
      </c>
      <c r="H30" s="496" t="str">
        <f>IF($H$6=J30,MAX($H$8:H29)+1,"")</f>
        <v/>
      </c>
      <c r="I30" s="172" t="str">
        <f>IF(L30&lt;&gt;"",COUNTA($L$9:L30),"")</f>
        <v/>
      </c>
      <c r="J30" s="517"/>
      <c r="K30" s="172" t="str">
        <f t="shared" si="6"/>
        <v/>
      </c>
      <c r="L30" s="136"/>
      <c r="M30" s="136"/>
      <c r="N30" s="225"/>
      <c r="O30" s="328" t="str">
        <f t="shared" si="4"/>
        <v>-</v>
      </c>
      <c r="P30" s="499"/>
      <c r="Q30" s="536"/>
      <c r="R30" s="537"/>
      <c r="S30" s="499"/>
      <c r="T30" s="537"/>
      <c r="U30" s="499"/>
      <c r="V30" s="502"/>
      <c r="W30" s="519"/>
      <c r="X30" s="502"/>
      <c r="Y30" s="499"/>
      <c r="Z30" s="518"/>
      <c r="AA30" s="499"/>
      <c r="AB30" s="505"/>
      <c r="AC30" s="520"/>
      <c r="AD30" s="505"/>
      <c r="AE30" s="508"/>
      <c r="AF30" s="521"/>
      <c r="AG30" s="508"/>
      <c r="AH30" s="511"/>
      <c r="AI30" s="522"/>
      <c r="AJ30" s="511"/>
      <c r="AK30" s="514">
        <f t="shared" si="7"/>
        <v>0</v>
      </c>
      <c r="AL30" s="523"/>
      <c r="AM30" s="525"/>
      <c r="AN30" s="329"/>
      <c r="AO30" s="691"/>
    </row>
    <row r="31" spans="1:41" s="527" customFormat="1" ht="15.75">
      <c r="A31" s="516">
        <f t="shared" si="5"/>
        <v>0</v>
      </c>
      <c r="B31" s="610" t="str">
        <f>IF(AND($B$7=AN31,$B$5=J31),MAX($B$8:B30)+1,"")</f>
        <v/>
      </c>
      <c r="C31" s="493" t="str">
        <f t="shared" si="0"/>
        <v/>
      </c>
      <c r="D31" s="494" t="str">
        <f t="shared" si="1"/>
        <v/>
      </c>
      <c r="E31" s="493" t="str">
        <f t="shared" si="2"/>
        <v/>
      </c>
      <c r="F31" s="495" t="str">
        <f t="shared" si="3"/>
        <v/>
      </c>
      <c r="G31" s="496" t="str">
        <f>IF($G$6=N31,MAX($G$8:G30)+1,"")</f>
        <v/>
      </c>
      <c r="H31" s="496" t="str">
        <f>IF($H$6=J31,MAX($H$8:H30)+1,"")</f>
        <v/>
      </c>
      <c r="I31" s="172" t="str">
        <f>IF(L31&lt;&gt;"",COUNTA($L$9:L31),"")</f>
        <v/>
      </c>
      <c r="J31" s="517"/>
      <c r="K31" s="172" t="str">
        <f t="shared" si="6"/>
        <v/>
      </c>
      <c r="L31" s="136"/>
      <c r="M31" s="136"/>
      <c r="N31" s="225"/>
      <c r="O31" s="328" t="str">
        <f t="shared" si="4"/>
        <v>-</v>
      </c>
      <c r="P31" s="499"/>
      <c r="Q31" s="539"/>
      <c r="R31" s="537"/>
      <c r="S31" s="499"/>
      <c r="T31" s="672"/>
      <c r="U31" s="499"/>
      <c r="V31" s="502"/>
      <c r="W31" s="519"/>
      <c r="X31" s="502"/>
      <c r="Y31" s="499"/>
      <c r="Z31" s="518"/>
      <c r="AA31" s="499"/>
      <c r="AB31" s="505"/>
      <c r="AC31" s="520"/>
      <c r="AD31" s="505"/>
      <c r="AE31" s="508"/>
      <c r="AF31" s="521"/>
      <c r="AG31" s="508"/>
      <c r="AH31" s="511"/>
      <c r="AI31" s="522"/>
      <c r="AJ31" s="511"/>
      <c r="AK31" s="514">
        <f t="shared" si="7"/>
        <v>0</v>
      </c>
      <c r="AL31" s="523"/>
      <c r="AM31" s="525"/>
      <c r="AN31" s="329"/>
      <c r="AO31" s="691"/>
    </row>
    <row r="32" spans="1:41" s="516" customFormat="1" ht="15.75">
      <c r="A32" s="516">
        <f t="shared" si="5"/>
        <v>0</v>
      </c>
      <c r="B32" s="610" t="str">
        <f>IF(AND($B$7=AN32,$B$5=J32),MAX($B$8:B31)+1,"")</f>
        <v/>
      </c>
      <c r="C32" s="493" t="str">
        <f t="shared" si="0"/>
        <v/>
      </c>
      <c r="D32" s="494" t="str">
        <f t="shared" si="1"/>
        <v/>
      </c>
      <c r="E32" s="493" t="str">
        <f t="shared" si="2"/>
        <v/>
      </c>
      <c r="F32" s="495" t="str">
        <f t="shared" si="3"/>
        <v/>
      </c>
      <c r="G32" s="496" t="str">
        <f>IF($G$6=N32,MAX($G$8:G31)+1,"")</f>
        <v/>
      </c>
      <c r="H32" s="496" t="str">
        <f>IF($H$6=J32,MAX($H$8:H31)+1,"")</f>
        <v/>
      </c>
      <c r="I32" s="172" t="str">
        <f>IF(L32&lt;&gt;"",COUNTA($L$9:L32),"")</f>
        <v/>
      </c>
      <c r="J32" s="517"/>
      <c r="K32" s="172" t="str">
        <f t="shared" si="6"/>
        <v/>
      </c>
      <c r="L32" s="136"/>
      <c r="M32" s="136"/>
      <c r="N32" s="225"/>
      <c r="O32" s="328" t="str">
        <f t="shared" si="4"/>
        <v>-</v>
      </c>
      <c r="P32" s="499"/>
      <c r="Q32" s="539"/>
      <c r="R32" s="537"/>
      <c r="S32" s="499"/>
      <c r="T32" s="537"/>
      <c r="U32" s="499"/>
      <c r="V32" s="502"/>
      <c r="W32" s="519"/>
      <c r="X32" s="502"/>
      <c r="Y32" s="499"/>
      <c r="Z32" s="518"/>
      <c r="AA32" s="499"/>
      <c r="AB32" s="505"/>
      <c r="AC32" s="520"/>
      <c r="AD32" s="505"/>
      <c r="AE32" s="508"/>
      <c r="AF32" s="521"/>
      <c r="AG32" s="508"/>
      <c r="AH32" s="511"/>
      <c r="AI32" s="522"/>
      <c r="AJ32" s="511"/>
      <c r="AK32" s="514">
        <f t="shared" si="7"/>
        <v>0</v>
      </c>
      <c r="AL32" s="523"/>
      <c r="AM32" s="525"/>
      <c r="AN32" s="329"/>
      <c r="AO32" s="691"/>
    </row>
    <row r="33" spans="1:41" s="524" customFormat="1" ht="15.75">
      <c r="A33" s="516">
        <f t="shared" si="5"/>
        <v>0</v>
      </c>
      <c r="B33" s="610" t="str">
        <f>IF(AND($B$7=AN33,$B$5=J33),MAX($B$8:B32)+1,"")</f>
        <v/>
      </c>
      <c r="C33" s="493" t="str">
        <f t="shared" si="0"/>
        <v/>
      </c>
      <c r="D33" s="494" t="str">
        <f t="shared" si="1"/>
        <v/>
      </c>
      <c r="E33" s="493" t="str">
        <f t="shared" si="2"/>
        <v/>
      </c>
      <c r="F33" s="495" t="str">
        <f t="shared" si="3"/>
        <v/>
      </c>
      <c r="G33" s="496" t="str">
        <f>IF($G$6=N33,MAX($G$8:G32)+1,"")</f>
        <v/>
      </c>
      <c r="H33" s="496" t="str">
        <f>IF($H$6=J33,MAX($H$8:H32)+1,"")</f>
        <v/>
      </c>
      <c r="I33" s="172" t="str">
        <f>IF(L33&lt;&gt;"",COUNTA($L$9:L33),"")</f>
        <v/>
      </c>
      <c r="J33" s="517"/>
      <c r="K33" s="172" t="str">
        <f t="shared" si="6"/>
        <v/>
      </c>
      <c r="L33" s="136"/>
      <c r="M33" s="136"/>
      <c r="N33" s="225"/>
      <c r="O33" s="328" t="str">
        <f t="shared" si="4"/>
        <v>-</v>
      </c>
      <c r="P33" s="499"/>
      <c r="Q33" s="536"/>
      <c r="R33" s="537"/>
      <c r="S33" s="499"/>
      <c r="T33" s="671"/>
      <c r="U33" s="499"/>
      <c r="V33" s="502"/>
      <c r="W33" s="519"/>
      <c r="X33" s="502"/>
      <c r="Y33" s="499"/>
      <c r="Z33" s="518"/>
      <c r="AA33" s="499"/>
      <c r="AB33" s="505"/>
      <c r="AC33" s="520"/>
      <c r="AD33" s="505"/>
      <c r="AE33" s="508"/>
      <c r="AF33" s="521"/>
      <c r="AG33" s="508"/>
      <c r="AH33" s="511"/>
      <c r="AI33" s="522"/>
      <c r="AJ33" s="511"/>
      <c r="AK33" s="514">
        <f t="shared" si="7"/>
        <v>0</v>
      </c>
      <c r="AL33" s="523"/>
      <c r="AM33" s="525"/>
      <c r="AN33" s="329"/>
      <c r="AO33" s="691"/>
    </row>
    <row r="34" spans="1:41" s="524" customFormat="1" ht="15.75">
      <c r="A34" s="516">
        <f t="shared" si="5"/>
        <v>0</v>
      </c>
      <c r="B34" s="610" t="str">
        <f>IF(AND($B$7=AN34,$B$5=J34),MAX($B$8:B33)+1,"")</f>
        <v/>
      </c>
      <c r="C34" s="493" t="str">
        <f t="shared" si="0"/>
        <v/>
      </c>
      <c r="D34" s="494" t="str">
        <f t="shared" si="1"/>
        <v/>
      </c>
      <c r="E34" s="493" t="str">
        <f t="shared" si="2"/>
        <v/>
      </c>
      <c r="F34" s="495" t="str">
        <f t="shared" si="3"/>
        <v/>
      </c>
      <c r="G34" s="496" t="str">
        <f>IF($G$6=N34,MAX($G$8:G33)+1,"")</f>
        <v/>
      </c>
      <c r="H34" s="496" t="str">
        <f>IF($H$6=J34,MAX($H$8:H33)+1,"")</f>
        <v/>
      </c>
      <c r="I34" s="172" t="str">
        <f>IF(L34&lt;&gt;"",COUNTA($L$9:L34),"")</f>
        <v/>
      </c>
      <c r="J34" s="517"/>
      <c r="K34" s="172" t="str">
        <f t="shared" si="6"/>
        <v/>
      </c>
      <c r="L34" s="136"/>
      <c r="M34" s="136"/>
      <c r="N34" s="225"/>
      <c r="O34" s="328" t="str">
        <f t="shared" si="4"/>
        <v>-</v>
      </c>
      <c r="P34" s="499"/>
      <c r="Q34" s="536"/>
      <c r="R34" s="537"/>
      <c r="S34" s="499"/>
      <c r="T34" s="671"/>
      <c r="U34" s="499"/>
      <c r="V34" s="502"/>
      <c r="W34" s="519"/>
      <c r="X34" s="502"/>
      <c r="Y34" s="499"/>
      <c r="Z34" s="518"/>
      <c r="AA34" s="499"/>
      <c r="AB34" s="505"/>
      <c r="AC34" s="520"/>
      <c r="AD34" s="505"/>
      <c r="AE34" s="508"/>
      <c r="AF34" s="521"/>
      <c r="AG34" s="508"/>
      <c r="AH34" s="511"/>
      <c r="AI34" s="522"/>
      <c r="AJ34" s="511"/>
      <c r="AK34" s="514">
        <f t="shared" si="7"/>
        <v>0</v>
      </c>
      <c r="AL34" s="523"/>
      <c r="AM34" s="525"/>
      <c r="AN34" s="329"/>
      <c r="AO34" s="691"/>
    </row>
    <row r="35" spans="1:41" s="516" customFormat="1" ht="15.75">
      <c r="A35" s="516">
        <f t="shared" si="5"/>
        <v>0</v>
      </c>
      <c r="B35" s="610" t="str">
        <f>IF(AND($B$7=AN35,$B$5=J35),MAX($B$8:B34)+1,"")</f>
        <v/>
      </c>
      <c r="C35" s="493" t="str">
        <f t="shared" si="0"/>
        <v/>
      </c>
      <c r="D35" s="494" t="str">
        <f t="shared" si="1"/>
        <v/>
      </c>
      <c r="E35" s="493" t="str">
        <f t="shared" si="2"/>
        <v/>
      </c>
      <c r="F35" s="495" t="str">
        <f t="shared" si="3"/>
        <v/>
      </c>
      <c r="G35" s="496" t="str">
        <f>IF($G$6=N35,MAX($G$8:G34)+1,"")</f>
        <v/>
      </c>
      <c r="H35" s="496" t="str">
        <f>IF($H$6=J35,MAX($H$8:H34)+1,"")</f>
        <v/>
      </c>
      <c r="I35" s="172" t="str">
        <f>IF(L35&lt;&gt;"",COUNTA($L$9:L35),"")</f>
        <v/>
      </c>
      <c r="J35" s="517"/>
      <c r="K35" s="172" t="str">
        <f t="shared" si="6"/>
        <v/>
      </c>
      <c r="L35" s="136"/>
      <c r="M35" s="136"/>
      <c r="N35" s="225"/>
      <c r="O35" s="328" t="str">
        <f t="shared" si="4"/>
        <v>-</v>
      </c>
      <c r="P35" s="499"/>
      <c r="Q35" s="539"/>
      <c r="R35" s="537"/>
      <c r="S35" s="499"/>
      <c r="T35" s="537"/>
      <c r="U35" s="499"/>
      <c r="V35" s="502"/>
      <c r="W35" s="519"/>
      <c r="X35" s="502"/>
      <c r="Y35" s="499"/>
      <c r="Z35" s="518"/>
      <c r="AA35" s="499"/>
      <c r="AB35" s="505"/>
      <c r="AC35" s="520"/>
      <c r="AD35" s="505"/>
      <c r="AE35" s="508"/>
      <c r="AF35" s="521"/>
      <c r="AG35" s="508"/>
      <c r="AH35" s="511"/>
      <c r="AI35" s="522"/>
      <c r="AJ35" s="511"/>
      <c r="AK35" s="514">
        <f t="shared" si="7"/>
        <v>0</v>
      </c>
      <c r="AL35" s="523"/>
      <c r="AM35" s="525"/>
      <c r="AN35" s="329"/>
      <c r="AO35" s="691"/>
    </row>
    <row r="36" spans="1:41" s="516" customFormat="1" ht="15.75">
      <c r="A36" s="516">
        <f t="shared" si="5"/>
        <v>0</v>
      </c>
      <c r="B36" s="610" t="str">
        <f>IF(AND($B$7=AN36,$B$5=J36),MAX($B$8:B35)+1,"")</f>
        <v/>
      </c>
      <c r="C36" s="493" t="str">
        <f t="shared" si="0"/>
        <v/>
      </c>
      <c r="D36" s="494" t="str">
        <f t="shared" si="1"/>
        <v/>
      </c>
      <c r="E36" s="493" t="str">
        <f t="shared" si="2"/>
        <v/>
      </c>
      <c r="F36" s="495" t="str">
        <f t="shared" si="3"/>
        <v/>
      </c>
      <c r="G36" s="496" t="str">
        <f>IF($G$6=N36,MAX($G$8:G35)+1,"")</f>
        <v/>
      </c>
      <c r="H36" s="496" t="str">
        <f>IF($H$6=J36,MAX($H$8:H35)+1,"")</f>
        <v/>
      </c>
      <c r="I36" s="172" t="str">
        <f>IF(L36&lt;&gt;"",COUNTA($L$9:L36),"")</f>
        <v/>
      </c>
      <c r="J36" s="517"/>
      <c r="K36" s="172" t="str">
        <f t="shared" si="6"/>
        <v/>
      </c>
      <c r="L36" s="136"/>
      <c r="M36" s="136"/>
      <c r="N36" s="225"/>
      <c r="O36" s="328" t="str">
        <f t="shared" si="4"/>
        <v>-</v>
      </c>
      <c r="P36" s="499"/>
      <c r="Q36" s="536"/>
      <c r="R36" s="537"/>
      <c r="S36" s="499"/>
      <c r="T36" s="537"/>
      <c r="U36" s="499"/>
      <c r="V36" s="502"/>
      <c r="W36" s="519"/>
      <c r="X36" s="502"/>
      <c r="Y36" s="499"/>
      <c r="Z36" s="518"/>
      <c r="AA36" s="499"/>
      <c r="AB36" s="505"/>
      <c r="AC36" s="520"/>
      <c r="AD36" s="505"/>
      <c r="AE36" s="508"/>
      <c r="AF36" s="521"/>
      <c r="AG36" s="508"/>
      <c r="AH36" s="511"/>
      <c r="AI36" s="522"/>
      <c r="AJ36" s="511"/>
      <c r="AK36" s="514">
        <f t="shared" si="7"/>
        <v>0</v>
      </c>
      <c r="AL36" s="523"/>
      <c r="AM36" s="525"/>
      <c r="AN36" s="329"/>
      <c r="AO36" s="691"/>
    </row>
    <row r="37" spans="1:41" s="516" customFormat="1" ht="15.75">
      <c r="A37" s="516">
        <f t="shared" si="5"/>
        <v>0</v>
      </c>
      <c r="B37" s="610" t="str">
        <f>IF(AND($B$7=AN37,$B$5=J37),MAX($B$8:B36)+1,"")</f>
        <v/>
      </c>
      <c r="C37" s="493" t="str">
        <f t="shared" si="0"/>
        <v/>
      </c>
      <c r="D37" s="494" t="str">
        <f t="shared" si="1"/>
        <v/>
      </c>
      <c r="E37" s="493" t="str">
        <f t="shared" si="2"/>
        <v/>
      </c>
      <c r="F37" s="495" t="str">
        <f t="shared" si="3"/>
        <v/>
      </c>
      <c r="G37" s="496" t="str">
        <f>IF($G$6=N37,MAX($G$8:G36)+1,"")</f>
        <v/>
      </c>
      <c r="H37" s="496" t="str">
        <f>IF($H$6=J37,MAX($H$8:H36)+1,"")</f>
        <v/>
      </c>
      <c r="I37" s="172" t="str">
        <f>IF(L37&lt;&gt;"",COUNTA($L$9:L37),"")</f>
        <v/>
      </c>
      <c r="J37" s="517"/>
      <c r="K37" s="172" t="str">
        <f t="shared" si="6"/>
        <v/>
      </c>
      <c r="L37" s="136"/>
      <c r="M37" s="136"/>
      <c r="N37" s="225"/>
      <c r="O37" s="328" t="str">
        <f t="shared" si="4"/>
        <v>-</v>
      </c>
      <c r="P37" s="499"/>
      <c r="Q37" s="536"/>
      <c r="R37" s="537"/>
      <c r="S37" s="499"/>
      <c r="T37" s="537"/>
      <c r="U37" s="499"/>
      <c r="V37" s="502"/>
      <c r="W37" s="519"/>
      <c r="X37" s="502"/>
      <c r="Y37" s="499"/>
      <c r="Z37" s="518"/>
      <c r="AA37" s="499"/>
      <c r="AB37" s="505"/>
      <c r="AC37" s="520"/>
      <c r="AD37" s="505"/>
      <c r="AE37" s="508"/>
      <c r="AF37" s="521"/>
      <c r="AG37" s="508"/>
      <c r="AH37" s="511"/>
      <c r="AI37" s="522"/>
      <c r="AJ37" s="511"/>
      <c r="AK37" s="514">
        <f t="shared" si="7"/>
        <v>0</v>
      </c>
      <c r="AL37" s="523"/>
      <c r="AM37" s="525"/>
      <c r="AN37" s="329"/>
      <c r="AO37" s="691"/>
    </row>
    <row r="38" spans="1:41" s="526" customFormat="1" ht="15.75">
      <c r="A38" s="516">
        <f t="shared" si="5"/>
        <v>0</v>
      </c>
      <c r="B38" s="610" t="str">
        <f>IF(AND($B$7=AN38,$B$5=J38),MAX($B$8:B37)+1,"")</f>
        <v/>
      </c>
      <c r="C38" s="493" t="str">
        <f t="shared" si="0"/>
        <v/>
      </c>
      <c r="D38" s="494" t="str">
        <f t="shared" si="1"/>
        <v/>
      </c>
      <c r="E38" s="493" t="str">
        <f t="shared" si="2"/>
        <v/>
      </c>
      <c r="F38" s="495" t="str">
        <f t="shared" si="3"/>
        <v/>
      </c>
      <c r="G38" s="496" t="str">
        <f>IF($G$6=N38,MAX($G$8:G37)+1,"")</f>
        <v/>
      </c>
      <c r="H38" s="496" t="str">
        <f>IF($H$6=J38,MAX($H$8:H37)+1,"")</f>
        <v/>
      </c>
      <c r="I38" s="172" t="str">
        <f>IF(L38&lt;&gt;"",COUNTA($L$9:L38),"")</f>
        <v/>
      </c>
      <c r="J38" s="517"/>
      <c r="K38" s="172" t="str">
        <f t="shared" si="6"/>
        <v/>
      </c>
      <c r="L38" s="136"/>
      <c r="M38" s="136"/>
      <c r="N38" s="225"/>
      <c r="O38" s="328" t="str">
        <f t="shared" si="4"/>
        <v>-</v>
      </c>
      <c r="P38" s="499"/>
      <c r="Q38" s="536"/>
      <c r="R38" s="537"/>
      <c r="S38" s="499"/>
      <c r="T38" s="672"/>
      <c r="U38" s="499"/>
      <c r="V38" s="502"/>
      <c r="W38" s="519"/>
      <c r="X38" s="502"/>
      <c r="Y38" s="499"/>
      <c r="Z38" s="518"/>
      <c r="AA38" s="499"/>
      <c r="AB38" s="505"/>
      <c r="AC38" s="520"/>
      <c r="AD38" s="505"/>
      <c r="AE38" s="508"/>
      <c r="AF38" s="521"/>
      <c r="AG38" s="508"/>
      <c r="AH38" s="511"/>
      <c r="AI38" s="522"/>
      <c r="AJ38" s="511"/>
      <c r="AK38" s="514">
        <f t="shared" si="7"/>
        <v>0</v>
      </c>
      <c r="AL38" s="523"/>
      <c r="AM38" s="525"/>
      <c r="AN38" s="329"/>
      <c r="AO38" s="691"/>
    </row>
    <row r="39" spans="1:41" s="516" customFormat="1" ht="15.75">
      <c r="A39" s="516">
        <f t="shared" si="5"/>
        <v>0</v>
      </c>
      <c r="B39" s="610" t="str">
        <f>IF(AND($B$7=AN39,$B$5=J39),MAX($B$8:B38)+1,"")</f>
        <v/>
      </c>
      <c r="C39" s="493" t="str">
        <f t="shared" si="0"/>
        <v/>
      </c>
      <c r="D39" s="494" t="str">
        <f t="shared" si="1"/>
        <v/>
      </c>
      <c r="E39" s="493" t="str">
        <f t="shared" si="2"/>
        <v/>
      </c>
      <c r="F39" s="495" t="str">
        <f t="shared" si="3"/>
        <v/>
      </c>
      <c r="G39" s="496" t="str">
        <f>IF($G$6=N39,MAX($G$8:G38)+1,"")</f>
        <v/>
      </c>
      <c r="H39" s="496" t="str">
        <f>IF($H$6=J39,MAX($H$8:H38)+1,"")</f>
        <v/>
      </c>
      <c r="I39" s="172" t="str">
        <f>IF(L39&lt;&gt;"",COUNTA($L$9:L39),"")</f>
        <v/>
      </c>
      <c r="J39" s="517"/>
      <c r="K39" s="172" t="str">
        <f t="shared" si="6"/>
        <v/>
      </c>
      <c r="L39" s="136"/>
      <c r="M39" s="136"/>
      <c r="N39" s="225"/>
      <c r="O39" s="328" t="str">
        <f t="shared" si="4"/>
        <v>-</v>
      </c>
      <c r="P39" s="499"/>
      <c r="Q39" s="536"/>
      <c r="R39" s="537"/>
      <c r="S39" s="499"/>
      <c r="T39" s="673"/>
      <c r="U39" s="499"/>
      <c r="V39" s="502"/>
      <c r="W39" s="519"/>
      <c r="X39" s="502"/>
      <c r="Y39" s="499"/>
      <c r="Z39" s="518"/>
      <c r="AA39" s="499"/>
      <c r="AB39" s="505"/>
      <c r="AC39" s="520"/>
      <c r="AD39" s="505"/>
      <c r="AE39" s="508"/>
      <c r="AF39" s="521"/>
      <c r="AG39" s="508"/>
      <c r="AH39" s="511"/>
      <c r="AI39" s="522"/>
      <c r="AJ39" s="511"/>
      <c r="AK39" s="514">
        <f t="shared" si="7"/>
        <v>0</v>
      </c>
      <c r="AL39" s="523"/>
      <c r="AM39" s="525"/>
      <c r="AN39" s="329"/>
      <c r="AO39" s="691"/>
    </row>
    <row r="40" spans="1:41" s="516" customFormat="1" ht="15.75">
      <c r="A40" s="516">
        <f t="shared" si="5"/>
        <v>0</v>
      </c>
      <c r="B40" s="610" t="str">
        <f>IF(AND($B$7=AN40,$B$5=J40),MAX($B$8:B39)+1,"")</f>
        <v/>
      </c>
      <c r="C40" s="493" t="str">
        <f t="shared" si="0"/>
        <v/>
      </c>
      <c r="D40" s="494" t="str">
        <f t="shared" si="1"/>
        <v/>
      </c>
      <c r="E40" s="493" t="str">
        <f t="shared" si="2"/>
        <v/>
      </c>
      <c r="F40" s="495" t="str">
        <f t="shared" si="3"/>
        <v/>
      </c>
      <c r="G40" s="496" t="str">
        <f>IF($G$6=N40,MAX($G$8:G39)+1,"")</f>
        <v/>
      </c>
      <c r="H40" s="496" t="str">
        <f>IF($H$6=J40,MAX($H$8:H39)+1,"")</f>
        <v/>
      </c>
      <c r="I40" s="172" t="str">
        <f>IF(L40&lt;&gt;"",COUNTA($L$9:L40),"")</f>
        <v/>
      </c>
      <c r="J40" s="517"/>
      <c r="K40" s="172" t="str">
        <f t="shared" si="6"/>
        <v/>
      </c>
      <c r="L40" s="541"/>
      <c r="M40" s="136"/>
      <c r="N40" s="225"/>
      <c r="O40" s="328" t="str">
        <f t="shared" si="4"/>
        <v>-</v>
      </c>
      <c r="P40" s="499"/>
      <c r="Q40" s="536"/>
      <c r="R40" s="537"/>
      <c r="S40" s="499"/>
      <c r="T40" s="673"/>
      <c r="U40" s="499"/>
      <c r="V40" s="502"/>
      <c r="W40" s="519"/>
      <c r="X40" s="502"/>
      <c r="Y40" s="499"/>
      <c r="Z40" s="518"/>
      <c r="AA40" s="499"/>
      <c r="AB40" s="505"/>
      <c r="AC40" s="520"/>
      <c r="AD40" s="505"/>
      <c r="AE40" s="508"/>
      <c r="AF40" s="521"/>
      <c r="AG40" s="508"/>
      <c r="AH40" s="511"/>
      <c r="AI40" s="522"/>
      <c r="AJ40" s="511"/>
      <c r="AK40" s="514">
        <f t="shared" si="7"/>
        <v>0</v>
      </c>
      <c r="AL40" s="523"/>
      <c r="AM40" s="525"/>
      <c r="AN40" s="329"/>
      <c r="AO40" s="691"/>
    </row>
    <row r="41" spans="1:41" s="524" customFormat="1" ht="15.75">
      <c r="A41" s="516">
        <f t="shared" si="5"/>
        <v>0</v>
      </c>
      <c r="B41" s="610" t="str">
        <f>IF(AND($B$7=AN41,$B$5=J41),MAX($B$8:B40)+1,"")</f>
        <v/>
      </c>
      <c r="C41" s="493" t="str">
        <f t="shared" ref="C41:C72" si="8">IF($M41="","",IF(OR($M41&lt;=C$2,$M41&gt;=C$5),"",M1K))</f>
        <v/>
      </c>
      <c r="D41" s="494" t="str">
        <f t="shared" si="1"/>
        <v/>
      </c>
      <c r="E41" s="493" t="str">
        <f t="shared" si="2"/>
        <v/>
      </c>
      <c r="F41" s="495" t="str">
        <f t="shared" si="3"/>
        <v/>
      </c>
      <c r="G41" s="496" t="str">
        <f>IF($G$6=N41,MAX($G$8:G40)+1,"")</f>
        <v/>
      </c>
      <c r="H41" s="496" t="str">
        <f>IF($H$6=J41,MAX($H$8:H40)+1,"")</f>
        <v/>
      </c>
      <c r="I41" s="172" t="str">
        <f>IF(L41&lt;&gt;"",COUNTA($L$9:L41),"")</f>
        <v/>
      </c>
      <c r="J41" s="517"/>
      <c r="K41" s="172" t="str">
        <f t="shared" si="6"/>
        <v/>
      </c>
      <c r="L41" s="541"/>
      <c r="M41" s="541"/>
      <c r="N41" s="225"/>
      <c r="O41" s="328" t="str">
        <f t="shared" si="4"/>
        <v>-</v>
      </c>
      <c r="P41" s="499"/>
      <c r="Q41" s="536"/>
      <c r="R41" s="537"/>
      <c r="S41" s="499"/>
      <c r="T41" s="672"/>
      <c r="U41" s="499"/>
      <c r="V41" s="502"/>
      <c r="W41" s="519"/>
      <c r="X41" s="502"/>
      <c r="Y41" s="499"/>
      <c r="Z41" s="518"/>
      <c r="AA41" s="499"/>
      <c r="AB41" s="505"/>
      <c r="AC41" s="520"/>
      <c r="AD41" s="505"/>
      <c r="AE41" s="508"/>
      <c r="AF41" s="521"/>
      <c r="AG41" s="508"/>
      <c r="AH41" s="511"/>
      <c r="AI41" s="522"/>
      <c r="AJ41" s="511"/>
      <c r="AK41" s="514">
        <f t="shared" si="7"/>
        <v>0</v>
      </c>
      <c r="AL41" s="523"/>
      <c r="AM41" s="525"/>
      <c r="AN41" s="329"/>
      <c r="AO41" s="691"/>
    </row>
    <row r="42" spans="1:41" s="516" customFormat="1" ht="15.75">
      <c r="A42" s="516">
        <f t="shared" si="5"/>
        <v>0</v>
      </c>
      <c r="B42" s="610" t="str">
        <f>IF(AND($B$7=AN42,$B$5=J42),MAX($B$8:B41)+1,"")</f>
        <v/>
      </c>
      <c r="C42" s="493" t="str">
        <f t="shared" si="8"/>
        <v/>
      </c>
      <c r="D42" s="494" t="str">
        <f t="shared" si="1"/>
        <v/>
      </c>
      <c r="E42" s="493" t="str">
        <f t="shared" si="2"/>
        <v/>
      </c>
      <c r="F42" s="495" t="str">
        <f t="shared" si="3"/>
        <v/>
      </c>
      <c r="G42" s="496" t="str">
        <f>IF($G$6=N42,MAX($G$8:G41)+1,"")</f>
        <v/>
      </c>
      <c r="H42" s="496" t="str">
        <f>IF($H$6=J42,MAX($H$8:H41)+1,"")</f>
        <v/>
      </c>
      <c r="I42" s="172" t="str">
        <f>IF(L42&lt;&gt;"",COUNTA($L$9:L42),"")</f>
        <v/>
      </c>
      <c r="J42" s="517"/>
      <c r="K42" s="172" t="str">
        <f t="shared" si="6"/>
        <v/>
      </c>
      <c r="L42" s="541"/>
      <c r="M42" s="136"/>
      <c r="N42" s="225"/>
      <c r="O42" s="328" t="str">
        <f t="shared" si="4"/>
        <v>-</v>
      </c>
      <c r="P42" s="499"/>
      <c r="Q42" s="539"/>
      <c r="R42" s="537"/>
      <c r="S42" s="499"/>
      <c r="T42" s="673"/>
      <c r="U42" s="499"/>
      <c r="V42" s="502"/>
      <c r="W42" s="519"/>
      <c r="X42" s="502"/>
      <c r="Y42" s="499"/>
      <c r="Z42" s="518"/>
      <c r="AA42" s="499"/>
      <c r="AB42" s="505"/>
      <c r="AC42" s="520"/>
      <c r="AD42" s="505"/>
      <c r="AE42" s="508"/>
      <c r="AF42" s="521"/>
      <c r="AG42" s="508"/>
      <c r="AH42" s="511"/>
      <c r="AI42" s="522"/>
      <c r="AJ42" s="511"/>
      <c r="AK42" s="514">
        <f t="shared" si="7"/>
        <v>0</v>
      </c>
      <c r="AL42" s="523"/>
      <c r="AM42" s="525"/>
      <c r="AN42" s="329"/>
      <c r="AO42" s="691"/>
    </row>
    <row r="43" spans="1:41" s="516" customFormat="1" ht="15.75">
      <c r="A43" s="516">
        <f t="shared" si="5"/>
        <v>0</v>
      </c>
      <c r="B43" s="610" t="str">
        <f>IF(AND($B$7=AN43,$B$5=J43),MAX($B$8:B42)+1,"")</f>
        <v/>
      </c>
      <c r="C43" s="493" t="str">
        <f t="shared" si="8"/>
        <v/>
      </c>
      <c r="D43" s="494" t="str">
        <f t="shared" si="1"/>
        <v/>
      </c>
      <c r="E43" s="493" t="str">
        <f t="shared" si="2"/>
        <v/>
      </c>
      <c r="F43" s="495" t="str">
        <f t="shared" si="3"/>
        <v/>
      </c>
      <c r="G43" s="496" t="str">
        <f>IF($G$6=N43,MAX($G$8:G42)+1,"")</f>
        <v/>
      </c>
      <c r="H43" s="496" t="str">
        <f>IF($H$6=J43,MAX($H$8:H42)+1,"")</f>
        <v/>
      </c>
      <c r="I43" s="172" t="str">
        <f>IF(L43&lt;&gt;"",COUNTA($L$9:L43),"")</f>
        <v/>
      </c>
      <c r="J43" s="517"/>
      <c r="K43" s="172" t="str">
        <f t="shared" si="6"/>
        <v/>
      </c>
      <c r="L43" s="541"/>
      <c r="M43" s="136"/>
      <c r="N43" s="225"/>
      <c r="O43" s="328" t="str">
        <f t="shared" si="4"/>
        <v>-</v>
      </c>
      <c r="P43" s="499"/>
      <c r="Q43" s="539"/>
      <c r="R43" s="537"/>
      <c r="S43" s="499"/>
      <c r="T43" s="673"/>
      <c r="U43" s="499"/>
      <c r="V43" s="502"/>
      <c r="W43" s="519"/>
      <c r="X43" s="502"/>
      <c r="Y43" s="499"/>
      <c r="Z43" s="518"/>
      <c r="AA43" s="499"/>
      <c r="AB43" s="505"/>
      <c r="AC43" s="520"/>
      <c r="AD43" s="505"/>
      <c r="AE43" s="508"/>
      <c r="AF43" s="521"/>
      <c r="AG43" s="508"/>
      <c r="AH43" s="511"/>
      <c r="AI43" s="522"/>
      <c r="AJ43" s="511"/>
      <c r="AK43" s="514">
        <f t="shared" si="7"/>
        <v>0</v>
      </c>
      <c r="AL43" s="523"/>
      <c r="AM43" s="525"/>
      <c r="AN43" s="329"/>
      <c r="AO43" s="691"/>
    </row>
    <row r="44" spans="1:41" s="524" customFormat="1" ht="15.75">
      <c r="A44" s="516">
        <f t="shared" si="5"/>
        <v>0</v>
      </c>
      <c r="B44" s="610" t="str">
        <f>IF(AND($B$7=AN44,$B$5=J44),MAX($B$8:B43)+1,"")</f>
        <v/>
      </c>
      <c r="C44" s="493" t="str">
        <f t="shared" si="8"/>
        <v/>
      </c>
      <c r="D44" s="494" t="str">
        <f t="shared" si="1"/>
        <v/>
      </c>
      <c r="E44" s="493" t="str">
        <f t="shared" si="2"/>
        <v/>
      </c>
      <c r="F44" s="495" t="str">
        <f t="shared" si="3"/>
        <v/>
      </c>
      <c r="G44" s="496" t="str">
        <f>IF($G$6=N44,MAX($G$8:G43)+1,"")</f>
        <v/>
      </c>
      <c r="H44" s="496" t="str">
        <f>IF($H$6=J44,MAX($H$8:H43)+1,"")</f>
        <v/>
      </c>
      <c r="I44" s="172" t="str">
        <f>IF(L44&lt;&gt;"",COUNTA($L$9:L44),"")</f>
        <v/>
      </c>
      <c r="J44" s="517"/>
      <c r="K44" s="172" t="str">
        <f t="shared" si="6"/>
        <v/>
      </c>
      <c r="L44" s="541"/>
      <c r="M44" s="136"/>
      <c r="N44" s="225"/>
      <c r="O44" s="328" t="str">
        <f t="shared" si="4"/>
        <v>-</v>
      </c>
      <c r="P44" s="528"/>
      <c r="Q44" s="539"/>
      <c r="R44" s="528"/>
      <c r="S44" s="499"/>
      <c r="T44" s="672"/>
      <c r="U44" s="499"/>
      <c r="V44" s="502"/>
      <c r="W44" s="519"/>
      <c r="X44" s="502"/>
      <c r="Y44" s="499"/>
      <c r="Z44" s="518"/>
      <c r="AA44" s="499"/>
      <c r="AB44" s="505"/>
      <c r="AC44" s="520"/>
      <c r="AD44" s="505"/>
      <c r="AE44" s="508"/>
      <c r="AF44" s="521"/>
      <c r="AG44" s="508"/>
      <c r="AH44" s="511"/>
      <c r="AI44" s="522"/>
      <c r="AJ44" s="511"/>
      <c r="AK44" s="514">
        <f t="shared" si="7"/>
        <v>0</v>
      </c>
      <c r="AL44" s="523"/>
      <c r="AM44" s="525"/>
      <c r="AN44" s="329"/>
      <c r="AO44" s="691"/>
    </row>
    <row r="45" spans="1:41" s="524" customFormat="1" ht="15.75">
      <c r="A45" s="516">
        <f t="shared" si="5"/>
        <v>0</v>
      </c>
      <c r="B45" s="610" t="str">
        <f>IF(AND($B$7=AN45,$B$5=J45),MAX($B$8:B44)+1,"")</f>
        <v/>
      </c>
      <c r="C45" s="493" t="str">
        <f t="shared" si="8"/>
        <v/>
      </c>
      <c r="D45" s="494" t="str">
        <f t="shared" si="1"/>
        <v/>
      </c>
      <c r="E45" s="493" t="str">
        <f t="shared" si="2"/>
        <v/>
      </c>
      <c r="F45" s="495" t="str">
        <f t="shared" si="3"/>
        <v/>
      </c>
      <c r="G45" s="496" t="str">
        <f>IF($G$6=N45,MAX($G$8:G44)+1,"")</f>
        <v/>
      </c>
      <c r="H45" s="496" t="str">
        <f>IF($H$6=J45,MAX($H$8:H44)+1,"")</f>
        <v/>
      </c>
      <c r="I45" s="172" t="str">
        <f>IF(L45&lt;&gt;"",COUNTA($L$9:L45),"")</f>
        <v/>
      </c>
      <c r="J45" s="517"/>
      <c r="K45" s="172" t="str">
        <f t="shared" si="6"/>
        <v/>
      </c>
      <c r="L45" s="541"/>
      <c r="M45" s="136"/>
      <c r="N45" s="225"/>
      <c r="O45" s="328" t="str">
        <f t="shared" si="4"/>
        <v>-</v>
      </c>
      <c r="P45" s="528"/>
      <c r="Q45" s="539"/>
      <c r="R45" s="528"/>
      <c r="S45" s="499"/>
      <c r="T45" s="672"/>
      <c r="U45" s="499"/>
      <c r="V45" s="502"/>
      <c r="W45" s="519"/>
      <c r="X45" s="502"/>
      <c r="Y45" s="499"/>
      <c r="Z45" s="518"/>
      <c r="AA45" s="499"/>
      <c r="AB45" s="505"/>
      <c r="AC45" s="520"/>
      <c r="AD45" s="505"/>
      <c r="AE45" s="508"/>
      <c r="AF45" s="521"/>
      <c r="AG45" s="508"/>
      <c r="AH45" s="511"/>
      <c r="AI45" s="522"/>
      <c r="AJ45" s="511"/>
      <c r="AK45" s="514">
        <f t="shared" si="7"/>
        <v>0</v>
      </c>
      <c r="AL45" s="523"/>
      <c r="AM45" s="525"/>
      <c r="AN45" s="329"/>
      <c r="AO45" s="691"/>
    </row>
    <row r="46" spans="1:41" s="524" customFormat="1" ht="15.75">
      <c r="A46" s="516">
        <f t="shared" si="5"/>
        <v>0</v>
      </c>
      <c r="B46" s="610" t="str">
        <f>IF(AND($B$7=AN46,$B$5=J46),MAX($B$8:B45)+1,"")</f>
        <v/>
      </c>
      <c r="C46" s="493" t="str">
        <f t="shared" si="8"/>
        <v/>
      </c>
      <c r="D46" s="494" t="str">
        <f t="shared" si="1"/>
        <v/>
      </c>
      <c r="E46" s="493" t="str">
        <f t="shared" si="2"/>
        <v/>
      </c>
      <c r="F46" s="495" t="str">
        <f t="shared" si="3"/>
        <v/>
      </c>
      <c r="G46" s="496" t="str">
        <f>IF($G$6=N46,MAX($G$8:G45)+1,"")</f>
        <v/>
      </c>
      <c r="H46" s="496" t="str">
        <f>IF($H$6=J46,MAX($H$8:H45)+1,"")</f>
        <v/>
      </c>
      <c r="I46" s="172" t="str">
        <f>IF(L46&lt;&gt;"",COUNTA($L$9:L46),"")</f>
        <v/>
      </c>
      <c r="J46" s="517"/>
      <c r="K46" s="172" t="str">
        <f t="shared" si="6"/>
        <v/>
      </c>
      <c r="L46" s="136"/>
      <c r="M46" s="136"/>
      <c r="N46" s="225"/>
      <c r="O46" s="328" t="str">
        <f t="shared" si="4"/>
        <v>-</v>
      </c>
      <c r="P46" s="528"/>
      <c r="Q46" s="482"/>
      <c r="R46" s="528"/>
      <c r="S46" s="499"/>
      <c r="T46" s="518"/>
      <c r="U46" s="499"/>
      <c r="V46" s="502"/>
      <c r="W46" s="519"/>
      <c r="X46" s="502"/>
      <c r="Y46" s="499"/>
      <c r="Z46" s="518"/>
      <c r="AA46" s="499"/>
      <c r="AB46" s="505"/>
      <c r="AC46" s="520"/>
      <c r="AD46" s="505"/>
      <c r="AE46" s="508"/>
      <c r="AF46" s="521"/>
      <c r="AG46" s="508"/>
      <c r="AH46" s="511"/>
      <c r="AI46" s="522"/>
      <c r="AJ46" s="511"/>
      <c r="AK46" s="514">
        <f t="shared" si="7"/>
        <v>0</v>
      </c>
      <c r="AL46" s="523"/>
      <c r="AM46" s="525"/>
      <c r="AN46" s="329"/>
      <c r="AO46" s="691"/>
    </row>
    <row r="47" spans="1:41" s="516" customFormat="1" ht="15.75">
      <c r="A47" s="516">
        <f t="shared" si="5"/>
        <v>0</v>
      </c>
      <c r="B47" s="610" t="str">
        <f>IF(AND($B$7=AN47,$B$5=J47),MAX($B$8:B46)+1,"")</f>
        <v/>
      </c>
      <c r="C47" s="493" t="str">
        <f t="shared" si="8"/>
        <v/>
      </c>
      <c r="D47" s="494" t="str">
        <f t="shared" si="1"/>
        <v/>
      </c>
      <c r="E47" s="493" t="str">
        <f t="shared" si="2"/>
        <v/>
      </c>
      <c r="F47" s="495" t="str">
        <f t="shared" si="3"/>
        <v/>
      </c>
      <c r="G47" s="496" t="str">
        <f>IF($G$6=N47,MAX($G$8:G46)+1,"")</f>
        <v/>
      </c>
      <c r="H47" s="496" t="str">
        <f>IF($H$6=J47,MAX($H$8:H46)+1,"")</f>
        <v/>
      </c>
      <c r="I47" s="172" t="str">
        <f>IF(L47&lt;&gt;"",COUNTA($L$9:L47),"")</f>
        <v/>
      </c>
      <c r="J47" s="517"/>
      <c r="K47" s="172" t="str">
        <f t="shared" si="6"/>
        <v/>
      </c>
      <c r="L47" s="136"/>
      <c r="M47" s="713"/>
      <c r="N47" s="225"/>
      <c r="O47" s="328" t="str">
        <f t="shared" si="4"/>
        <v>-</v>
      </c>
      <c r="P47" s="528"/>
      <c r="Q47" s="482"/>
      <c r="R47" s="528"/>
      <c r="S47" s="499"/>
      <c r="T47" s="518"/>
      <c r="U47" s="499"/>
      <c r="V47" s="502"/>
      <c r="W47" s="519"/>
      <c r="X47" s="502"/>
      <c r="Y47" s="499"/>
      <c r="Z47" s="518"/>
      <c r="AA47" s="499"/>
      <c r="AB47" s="505"/>
      <c r="AC47" s="520"/>
      <c r="AD47" s="505"/>
      <c r="AE47" s="508"/>
      <c r="AF47" s="521"/>
      <c r="AG47" s="508"/>
      <c r="AH47" s="511"/>
      <c r="AI47" s="522"/>
      <c r="AJ47" s="511"/>
      <c r="AK47" s="514">
        <f t="shared" si="7"/>
        <v>0</v>
      </c>
      <c r="AL47" s="523"/>
      <c r="AM47" s="525"/>
      <c r="AN47" s="329"/>
      <c r="AO47" s="691"/>
    </row>
    <row r="48" spans="1:41" s="516" customFormat="1" ht="15.75">
      <c r="A48" s="516">
        <f t="shared" si="5"/>
        <v>0</v>
      </c>
      <c r="B48" s="610" t="str">
        <f>IF(AND($B$7=AN48,$B$5=J48),MAX($B$8:B47)+1,"")</f>
        <v/>
      </c>
      <c r="C48" s="493" t="str">
        <f t="shared" si="8"/>
        <v/>
      </c>
      <c r="D48" s="494" t="str">
        <f t="shared" si="1"/>
        <v/>
      </c>
      <c r="E48" s="493" t="str">
        <f t="shared" si="2"/>
        <v/>
      </c>
      <c r="F48" s="495" t="str">
        <f t="shared" si="3"/>
        <v/>
      </c>
      <c r="G48" s="496" t="str">
        <f>IF($G$6=N48,MAX($G$8:G47)+1,"")</f>
        <v/>
      </c>
      <c r="H48" s="496" t="str">
        <f>IF($H$6=J48,MAX($H$8:H47)+1,"")</f>
        <v/>
      </c>
      <c r="I48" s="172" t="str">
        <f>IF(L48&lt;&gt;"",COUNTA($L$9:L48),"")</f>
        <v/>
      </c>
      <c r="J48" s="517"/>
      <c r="K48" s="172" t="str">
        <f>IF(I48="","",$K$8&amp;IF(I48&lt;10,"0"&amp;I48,I48))</f>
        <v/>
      </c>
      <c r="L48" s="136"/>
      <c r="M48" s="136"/>
      <c r="N48" s="225"/>
      <c r="O48" s="328" t="str">
        <f t="shared" si="4"/>
        <v>-</v>
      </c>
      <c r="P48" s="528"/>
      <c r="Q48" s="482"/>
      <c r="R48" s="528"/>
      <c r="S48" s="499"/>
      <c r="T48" s="518"/>
      <c r="U48" s="499"/>
      <c r="V48" s="502"/>
      <c r="W48" s="519"/>
      <c r="X48" s="502"/>
      <c r="Y48" s="499"/>
      <c r="Z48" s="518"/>
      <c r="AA48" s="499"/>
      <c r="AB48" s="505"/>
      <c r="AC48" s="520"/>
      <c r="AD48" s="505"/>
      <c r="AE48" s="508"/>
      <c r="AF48" s="521"/>
      <c r="AG48" s="508"/>
      <c r="AH48" s="511"/>
      <c r="AI48" s="522"/>
      <c r="AJ48" s="511"/>
      <c r="AK48" s="824">
        <f t="shared" si="7"/>
        <v>0</v>
      </c>
      <c r="AL48" s="523"/>
      <c r="AM48" s="525"/>
      <c r="AN48" s="329"/>
      <c r="AO48" s="691"/>
    </row>
    <row r="49" spans="1:41" s="516" customFormat="1" ht="15.75">
      <c r="A49" s="516">
        <f t="shared" si="5"/>
        <v>0</v>
      </c>
      <c r="B49" s="610" t="str">
        <f>IF(AND($B$7=AN49,$B$5=J49),MAX($B$8:B48)+1,"")</f>
        <v/>
      </c>
      <c r="C49" s="493" t="str">
        <f t="shared" si="8"/>
        <v/>
      </c>
      <c r="D49" s="494" t="str">
        <f t="shared" si="1"/>
        <v/>
      </c>
      <c r="E49" s="493" t="str">
        <f t="shared" si="2"/>
        <v/>
      </c>
      <c r="F49" s="495" t="str">
        <f t="shared" si="3"/>
        <v/>
      </c>
      <c r="G49" s="496" t="str">
        <f>IF($G$6=N49,MAX($G$8:G48)+1,"")</f>
        <v/>
      </c>
      <c r="H49" s="496" t="str">
        <f>IF($H$6=J49,MAX($H$8:H48)+1,"")</f>
        <v/>
      </c>
      <c r="I49" s="172" t="str">
        <f>IF(L49&lt;&gt;"",COUNTA($L$9:L49),"")</f>
        <v/>
      </c>
      <c r="J49" s="517"/>
      <c r="K49" s="172" t="str">
        <f t="shared" si="6"/>
        <v/>
      </c>
      <c r="L49" s="136"/>
      <c r="M49" s="136"/>
      <c r="N49" s="225"/>
      <c r="O49" s="328" t="str">
        <f t="shared" si="4"/>
        <v>-</v>
      </c>
      <c r="P49" s="528"/>
      <c r="Q49" s="482"/>
      <c r="R49" s="528"/>
      <c r="S49" s="499"/>
      <c r="T49" s="518"/>
      <c r="U49" s="499"/>
      <c r="V49" s="502"/>
      <c r="W49" s="519"/>
      <c r="X49" s="502"/>
      <c r="Y49" s="499"/>
      <c r="Z49" s="518"/>
      <c r="AA49" s="499"/>
      <c r="AB49" s="505"/>
      <c r="AC49" s="520"/>
      <c r="AD49" s="505"/>
      <c r="AE49" s="508"/>
      <c r="AF49" s="521"/>
      <c r="AG49" s="508"/>
      <c r="AH49" s="511"/>
      <c r="AI49" s="522"/>
      <c r="AJ49" s="511"/>
      <c r="AK49" s="514">
        <f t="shared" si="7"/>
        <v>0</v>
      </c>
      <c r="AL49" s="523"/>
      <c r="AM49" s="525"/>
      <c r="AN49" s="329"/>
      <c r="AO49" s="691"/>
    </row>
    <row r="50" spans="1:41" s="524" customFormat="1" ht="15.75">
      <c r="A50" s="516">
        <f t="shared" si="5"/>
        <v>0</v>
      </c>
      <c r="B50" s="610" t="str">
        <f>IF(AND($B$7=AN50,$B$5=J50),MAX($B$8:B49)+1,"")</f>
        <v/>
      </c>
      <c r="C50" s="493" t="str">
        <f t="shared" si="8"/>
        <v/>
      </c>
      <c r="D50" s="494" t="str">
        <f t="shared" si="1"/>
        <v/>
      </c>
      <c r="E50" s="493" t="str">
        <f t="shared" si="2"/>
        <v/>
      </c>
      <c r="F50" s="495" t="str">
        <f t="shared" si="3"/>
        <v/>
      </c>
      <c r="G50" s="496" t="str">
        <f>IF($G$6=N50,MAX($G$8:G49)+1,"")</f>
        <v/>
      </c>
      <c r="H50" s="496" t="str">
        <f>IF($H$6=J50,MAX($H$8:H49)+1,"")</f>
        <v/>
      </c>
      <c r="I50" s="172" t="str">
        <f>IF(L50&lt;&gt;"",COUNTA($L$9:L50),"")</f>
        <v/>
      </c>
      <c r="J50" s="517"/>
      <c r="K50" s="172" t="str">
        <f t="shared" si="6"/>
        <v/>
      </c>
      <c r="L50" s="136"/>
      <c r="M50" s="136"/>
      <c r="N50" s="225"/>
      <c r="O50" s="328" t="str">
        <f t="shared" si="4"/>
        <v>-</v>
      </c>
      <c r="P50" s="528"/>
      <c r="Q50" s="482"/>
      <c r="R50" s="528"/>
      <c r="S50" s="499"/>
      <c r="T50" s="518"/>
      <c r="U50" s="499"/>
      <c r="V50" s="502"/>
      <c r="W50" s="519"/>
      <c r="X50" s="502"/>
      <c r="Y50" s="499"/>
      <c r="Z50" s="518"/>
      <c r="AA50" s="499"/>
      <c r="AB50" s="505"/>
      <c r="AC50" s="520"/>
      <c r="AD50" s="505"/>
      <c r="AE50" s="508"/>
      <c r="AF50" s="521"/>
      <c r="AG50" s="508"/>
      <c r="AH50" s="511"/>
      <c r="AI50" s="522"/>
      <c r="AJ50" s="511"/>
      <c r="AK50" s="514">
        <f t="shared" si="7"/>
        <v>0</v>
      </c>
      <c r="AL50" s="523"/>
      <c r="AM50" s="525"/>
      <c r="AN50" s="329"/>
      <c r="AO50" s="691"/>
    </row>
    <row r="51" spans="1:41" s="516" customFormat="1" ht="15.75">
      <c r="A51" s="516">
        <f t="shared" si="5"/>
        <v>0</v>
      </c>
      <c r="B51" s="610" t="str">
        <f>IF(AND($B$7=AN51,$B$5=J51),MAX($B$8:B50)+1,"")</f>
        <v/>
      </c>
      <c r="C51" s="493" t="str">
        <f t="shared" si="8"/>
        <v/>
      </c>
      <c r="D51" s="494" t="str">
        <f t="shared" si="1"/>
        <v/>
      </c>
      <c r="E51" s="493" t="str">
        <f t="shared" si="2"/>
        <v/>
      </c>
      <c r="F51" s="495" t="str">
        <f t="shared" si="3"/>
        <v/>
      </c>
      <c r="G51" s="496" t="str">
        <f>IF($G$6=N51,MAX($G$8:G50)+1,"")</f>
        <v/>
      </c>
      <c r="H51" s="496" t="str">
        <f>IF($H$6=J51,MAX($H$8:H50)+1,"")</f>
        <v/>
      </c>
      <c r="I51" s="172" t="str">
        <f>IF(L51&lt;&gt;"",COUNTA($L$9:L51),"")</f>
        <v/>
      </c>
      <c r="J51" s="517"/>
      <c r="K51" s="172" t="str">
        <f t="shared" si="6"/>
        <v/>
      </c>
      <c r="L51" s="136"/>
      <c r="M51" s="541"/>
      <c r="N51" s="225"/>
      <c r="O51" s="328" t="str">
        <f t="shared" si="4"/>
        <v>-</v>
      </c>
      <c r="P51" s="528"/>
      <c r="Q51" s="482"/>
      <c r="R51" s="528"/>
      <c r="S51" s="499"/>
      <c r="T51" s="518"/>
      <c r="U51" s="499"/>
      <c r="V51" s="502"/>
      <c r="W51" s="519"/>
      <c r="X51" s="502"/>
      <c r="Y51" s="499"/>
      <c r="Z51" s="518"/>
      <c r="AA51" s="499"/>
      <c r="AB51" s="505"/>
      <c r="AC51" s="520"/>
      <c r="AD51" s="505"/>
      <c r="AE51" s="508"/>
      <c r="AF51" s="521"/>
      <c r="AG51" s="508"/>
      <c r="AH51" s="511"/>
      <c r="AI51" s="522"/>
      <c r="AJ51" s="511"/>
      <c r="AK51" s="514">
        <f t="shared" si="7"/>
        <v>0</v>
      </c>
      <c r="AL51" s="523"/>
      <c r="AM51" s="525"/>
      <c r="AN51" s="329"/>
      <c r="AO51" s="691"/>
    </row>
    <row r="52" spans="1:41" s="516" customFormat="1" ht="15.75">
      <c r="A52" s="516">
        <f t="shared" si="5"/>
        <v>0</v>
      </c>
      <c r="B52" s="610" t="str">
        <f>IF(AND($B$7=AN52,$B$5=J52),MAX($B$8:B51)+1,"")</f>
        <v/>
      </c>
      <c r="C52" s="493" t="str">
        <f t="shared" si="8"/>
        <v/>
      </c>
      <c r="D52" s="494" t="str">
        <f t="shared" si="1"/>
        <v/>
      </c>
      <c r="E52" s="493" t="str">
        <f t="shared" si="2"/>
        <v/>
      </c>
      <c r="F52" s="495" t="str">
        <f t="shared" si="3"/>
        <v/>
      </c>
      <c r="G52" s="496" t="str">
        <f>IF($G$6=N52,MAX($G$8:G51)+1,"")</f>
        <v/>
      </c>
      <c r="H52" s="496" t="str">
        <f>IF($H$6=J52,MAX($H$8:H51)+1,"")</f>
        <v/>
      </c>
      <c r="I52" s="172" t="str">
        <f>IF(L52&lt;&gt;"",COUNTA($L$9:L52),"")</f>
        <v/>
      </c>
      <c r="J52" s="517"/>
      <c r="K52" s="172" t="str">
        <f t="shared" si="6"/>
        <v/>
      </c>
      <c r="L52" s="136"/>
      <c r="M52" s="136"/>
      <c r="N52" s="225"/>
      <c r="O52" s="328" t="str">
        <f t="shared" si="4"/>
        <v>-</v>
      </c>
      <c r="P52" s="528"/>
      <c r="Q52" s="482"/>
      <c r="R52" s="528"/>
      <c r="S52" s="499"/>
      <c r="T52" s="518"/>
      <c r="U52" s="499"/>
      <c r="V52" s="502"/>
      <c r="W52" s="519"/>
      <c r="X52" s="502"/>
      <c r="Y52" s="499"/>
      <c r="Z52" s="518"/>
      <c r="AA52" s="499"/>
      <c r="AB52" s="505"/>
      <c r="AC52" s="520"/>
      <c r="AD52" s="505"/>
      <c r="AE52" s="508"/>
      <c r="AF52" s="521"/>
      <c r="AG52" s="508"/>
      <c r="AH52" s="511"/>
      <c r="AI52" s="522"/>
      <c r="AJ52" s="511"/>
      <c r="AK52" s="514">
        <f t="shared" si="7"/>
        <v>0</v>
      </c>
      <c r="AL52" s="523"/>
      <c r="AM52" s="525"/>
      <c r="AN52" s="329"/>
      <c r="AO52" s="691"/>
    </row>
    <row r="53" spans="1:41" s="524" customFormat="1" ht="15.75">
      <c r="A53" s="516">
        <f t="shared" si="5"/>
        <v>0</v>
      </c>
      <c r="B53" s="610" t="str">
        <f>IF(AND($B$7=AN53,$B$5=J53),MAX($B$8:B52)+1,"")</f>
        <v/>
      </c>
      <c r="C53" s="493" t="str">
        <f t="shared" si="8"/>
        <v/>
      </c>
      <c r="D53" s="494" t="str">
        <f t="shared" si="1"/>
        <v/>
      </c>
      <c r="E53" s="493" t="str">
        <f t="shared" si="2"/>
        <v/>
      </c>
      <c r="F53" s="495" t="str">
        <f t="shared" si="3"/>
        <v/>
      </c>
      <c r="G53" s="496" t="str">
        <f>IF($G$6=N53,MAX($G$8:G52)+1,"")</f>
        <v/>
      </c>
      <c r="H53" s="496" t="str">
        <f>IF($H$6=J53,MAX($H$8:H52)+1,"")</f>
        <v/>
      </c>
      <c r="I53" s="172" t="str">
        <f>IF(L53&lt;&gt;"",COUNTA($L$9:L53),"")</f>
        <v/>
      </c>
      <c r="J53" s="517"/>
      <c r="K53" s="172" t="str">
        <f t="shared" si="6"/>
        <v/>
      </c>
      <c r="L53" s="136"/>
      <c r="M53" s="541"/>
      <c r="N53" s="225"/>
      <c r="O53" s="328" t="str">
        <f t="shared" si="4"/>
        <v>-</v>
      </c>
      <c r="P53" s="528"/>
      <c r="Q53" s="482"/>
      <c r="R53" s="528"/>
      <c r="S53" s="499"/>
      <c r="T53" s="518"/>
      <c r="U53" s="499"/>
      <c r="V53" s="502"/>
      <c r="W53" s="519"/>
      <c r="X53" s="502"/>
      <c r="Y53" s="499"/>
      <c r="Z53" s="518"/>
      <c r="AA53" s="499"/>
      <c r="AB53" s="505"/>
      <c r="AC53" s="520"/>
      <c r="AD53" s="505"/>
      <c r="AE53" s="508"/>
      <c r="AF53" s="521"/>
      <c r="AG53" s="508"/>
      <c r="AH53" s="511"/>
      <c r="AI53" s="522"/>
      <c r="AJ53" s="511"/>
      <c r="AK53" s="514">
        <f t="shared" si="7"/>
        <v>0</v>
      </c>
      <c r="AL53" s="523"/>
      <c r="AM53" s="525"/>
      <c r="AN53" s="329"/>
      <c r="AO53" s="691"/>
    </row>
    <row r="54" spans="1:41" s="516" customFormat="1" ht="15.75">
      <c r="A54" s="516">
        <f t="shared" si="5"/>
        <v>0</v>
      </c>
      <c r="B54" s="610" t="str">
        <f>IF(AND($B$7=AN54,$B$5=J54),MAX($B$8:B53)+1,"")</f>
        <v/>
      </c>
      <c r="C54" s="493" t="str">
        <f t="shared" si="8"/>
        <v/>
      </c>
      <c r="D54" s="494" t="str">
        <f t="shared" si="1"/>
        <v/>
      </c>
      <c r="E54" s="493" t="str">
        <f t="shared" si="2"/>
        <v/>
      </c>
      <c r="F54" s="495" t="str">
        <f t="shared" si="3"/>
        <v/>
      </c>
      <c r="G54" s="496" t="str">
        <f>IF($G$6=N54,MAX($G$8:G53)+1,"")</f>
        <v/>
      </c>
      <c r="H54" s="496" t="str">
        <f>IF($H$6=J54,MAX($H$8:H53)+1,"")</f>
        <v/>
      </c>
      <c r="I54" s="172" t="str">
        <f>IF(L54&lt;&gt;"",COUNTA($L$9:L54),"")</f>
        <v/>
      </c>
      <c r="J54" s="517"/>
      <c r="K54" s="172" t="str">
        <f t="shared" si="6"/>
        <v/>
      </c>
      <c r="L54" s="136"/>
      <c r="M54" s="136"/>
      <c r="N54" s="225"/>
      <c r="O54" s="328" t="str">
        <f t="shared" si="4"/>
        <v>-</v>
      </c>
      <c r="P54" s="528"/>
      <c r="Q54" s="482"/>
      <c r="R54" s="528"/>
      <c r="S54" s="499"/>
      <c r="T54" s="518"/>
      <c r="U54" s="499"/>
      <c r="V54" s="502"/>
      <c r="W54" s="519"/>
      <c r="X54" s="502"/>
      <c r="Y54" s="499"/>
      <c r="Z54" s="518"/>
      <c r="AA54" s="499"/>
      <c r="AB54" s="505"/>
      <c r="AC54" s="520"/>
      <c r="AD54" s="505"/>
      <c r="AE54" s="508"/>
      <c r="AF54" s="521"/>
      <c r="AG54" s="508"/>
      <c r="AH54" s="511"/>
      <c r="AI54" s="522"/>
      <c r="AJ54" s="511"/>
      <c r="AK54" s="514">
        <f t="shared" si="7"/>
        <v>0</v>
      </c>
      <c r="AL54" s="523"/>
      <c r="AM54" s="525"/>
      <c r="AN54" s="329"/>
      <c r="AO54" s="691"/>
    </row>
    <row r="55" spans="1:41" s="516" customFormat="1" ht="15.75">
      <c r="A55" s="516">
        <f t="shared" si="5"/>
        <v>0</v>
      </c>
      <c r="B55" s="610" t="str">
        <f>IF(AND($B$7=AN55,$B$5=J55),MAX($B$8:B54)+1,"")</f>
        <v/>
      </c>
      <c r="C55" s="493" t="str">
        <f t="shared" si="8"/>
        <v/>
      </c>
      <c r="D55" s="494" t="str">
        <f t="shared" si="1"/>
        <v/>
      </c>
      <c r="E55" s="493" t="str">
        <f t="shared" si="2"/>
        <v/>
      </c>
      <c r="F55" s="495" t="str">
        <f t="shared" si="3"/>
        <v/>
      </c>
      <c r="G55" s="496" t="str">
        <f>IF($G$6=N55,MAX($G$8:G54)+1,"")</f>
        <v/>
      </c>
      <c r="H55" s="496" t="str">
        <f>IF($H$6=J55,MAX($H$8:H54)+1,"")</f>
        <v/>
      </c>
      <c r="I55" s="172" t="str">
        <f>IF(L55&lt;&gt;"",COUNTA($L$9:L55),"")</f>
        <v/>
      </c>
      <c r="J55" s="517"/>
      <c r="K55" s="172" t="str">
        <f t="shared" si="6"/>
        <v/>
      </c>
      <c r="L55" s="136"/>
      <c r="M55" s="136"/>
      <c r="N55" s="225"/>
      <c r="O55" s="328" t="str">
        <f t="shared" si="4"/>
        <v>-</v>
      </c>
      <c r="P55" s="528"/>
      <c r="Q55" s="482"/>
      <c r="R55" s="528"/>
      <c r="S55" s="499"/>
      <c r="T55" s="518"/>
      <c r="U55" s="499"/>
      <c r="V55" s="502"/>
      <c r="W55" s="519"/>
      <c r="X55" s="502"/>
      <c r="Y55" s="499"/>
      <c r="Z55" s="518"/>
      <c r="AA55" s="499"/>
      <c r="AB55" s="505"/>
      <c r="AC55" s="520"/>
      <c r="AD55" s="505"/>
      <c r="AE55" s="508"/>
      <c r="AF55" s="521"/>
      <c r="AG55" s="508"/>
      <c r="AH55" s="511"/>
      <c r="AI55" s="522"/>
      <c r="AJ55" s="511"/>
      <c r="AK55" s="514">
        <f t="shared" si="7"/>
        <v>0</v>
      </c>
      <c r="AL55" s="523"/>
      <c r="AM55" s="525"/>
      <c r="AN55" s="329"/>
      <c r="AO55" s="691"/>
    </row>
    <row r="56" spans="1:41" s="524" customFormat="1" ht="15.75">
      <c r="A56" s="516">
        <f t="shared" si="5"/>
        <v>0</v>
      </c>
      <c r="B56" s="610" t="str">
        <f>IF(AND($B$7=AN56,$B$5=J56),MAX($B$8:B55)+1,"")</f>
        <v/>
      </c>
      <c r="C56" s="493" t="str">
        <f t="shared" si="8"/>
        <v/>
      </c>
      <c r="D56" s="494" t="str">
        <f t="shared" si="1"/>
        <v/>
      </c>
      <c r="E56" s="493" t="str">
        <f t="shared" si="2"/>
        <v/>
      </c>
      <c r="F56" s="495" t="str">
        <f t="shared" si="3"/>
        <v/>
      </c>
      <c r="G56" s="496" t="str">
        <f>IF($G$6=N56,MAX($G$8:G55)+1,"")</f>
        <v/>
      </c>
      <c r="H56" s="496" t="str">
        <f>IF($H$6=J56,MAX($H$8:H55)+1,"")</f>
        <v/>
      </c>
      <c r="I56" s="172" t="str">
        <f>IF(L56&lt;&gt;"",COUNTA($L$9:L56),"")</f>
        <v/>
      </c>
      <c r="J56" s="517"/>
      <c r="K56" s="172" t="str">
        <f t="shared" si="6"/>
        <v/>
      </c>
      <c r="L56" s="136"/>
      <c r="M56" s="136"/>
      <c r="N56" s="225"/>
      <c r="O56" s="328" t="str">
        <f t="shared" si="4"/>
        <v>-</v>
      </c>
      <c r="P56" s="528"/>
      <c r="Q56" s="482"/>
      <c r="R56" s="528"/>
      <c r="S56" s="499"/>
      <c r="T56" s="518"/>
      <c r="U56" s="499"/>
      <c r="V56" s="502"/>
      <c r="W56" s="519"/>
      <c r="X56" s="502"/>
      <c r="Y56" s="499"/>
      <c r="Z56" s="518"/>
      <c r="AA56" s="499"/>
      <c r="AB56" s="505"/>
      <c r="AC56" s="520"/>
      <c r="AD56" s="505"/>
      <c r="AE56" s="508"/>
      <c r="AF56" s="521"/>
      <c r="AG56" s="508"/>
      <c r="AH56" s="511"/>
      <c r="AI56" s="522"/>
      <c r="AJ56" s="511"/>
      <c r="AK56" s="514">
        <f t="shared" si="7"/>
        <v>0</v>
      </c>
      <c r="AL56" s="523"/>
      <c r="AM56" s="525"/>
      <c r="AN56" s="329"/>
      <c r="AO56" s="691"/>
    </row>
    <row r="57" spans="1:41" s="516" customFormat="1" ht="15.75">
      <c r="A57" s="516">
        <f t="shared" si="5"/>
        <v>0</v>
      </c>
      <c r="B57" s="610" t="str">
        <f>IF(AND($B$7=AN57,$B$5=J57),MAX($B$8:B56)+1,"")</f>
        <v/>
      </c>
      <c r="C57" s="493" t="str">
        <f t="shared" si="8"/>
        <v/>
      </c>
      <c r="D57" s="494" t="str">
        <f t="shared" si="1"/>
        <v/>
      </c>
      <c r="E57" s="493" t="str">
        <f t="shared" si="2"/>
        <v/>
      </c>
      <c r="F57" s="495" t="str">
        <f t="shared" si="3"/>
        <v/>
      </c>
      <c r="G57" s="496" t="str">
        <f>IF($G$6=N57,MAX($G$8:G56)+1,"")</f>
        <v/>
      </c>
      <c r="H57" s="496" t="str">
        <f>IF($H$6=J57,MAX($H$8:H56)+1,"")</f>
        <v/>
      </c>
      <c r="I57" s="172" t="str">
        <f>IF(L57&lt;&gt;"",COUNTA($L$9:L57),"")</f>
        <v/>
      </c>
      <c r="J57" s="517"/>
      <c r="K57" s="172" t="str">
        <f t="shared" si="6"/>
        <v/>
      </c>
      <c r="L57" s="136"/>
      <c r="M57" s="136"/>
      <c r="N57" s="225"/>
      <c r="O57" s="328" t="str">
        <f t="shared" si="4"/>
        <v>-</v>
      </c>
      <c r="P57" s="528"/>
      <c r="Q57" s="482"/>
      <c r="R57" s="528"/>
      <c r="S57" s="499"/>
      <c r="T57" s="518"/>
      <c r="U57" s="499"/>
      <c r="V57" s="502"/>
      <c r="W57" s="519"/>
      <c r="X57" s="502"/>
      <c r="Y57" s="499"/>
      <c r="Z57" s="518"/>
      <c r="AA57" s="499"/>
      <c r="AB57" s="505"/>
      <c r="AC57" s="520"/>
      <c r="AD57" s="505"/>
      <c r="AE57" s="508"/>
      <c r="AF57" s="521"/>
      <c r="AG57" s="508"/>
      <c r="AH57" s="511"/>
      <c r="AI57" s="522"/>
      <c r="AJ57" s="511"/>
      <c r="AK57" s="514">
        <f t="shared" si="7"/>
        <v>0</v>
      </c>
      <c r="AL57" s="523"/>
      <c r="AM57" s="525"/>
      <c r="AN57" s="329"/>
      <c r="AO57" s="691"/>
    </row>
    <row r="58" spans="1:41" s="516" customFormat="1" ht="15.75">
      <c r="A58" s="516">
        <f t="shared" si="5"/>
        <v>0</v>
      </c>
      <c r="B58" s="610" t="str">
        <f>IF(AND($B$7=AN58,$B$5=J58),MAX($B$8:B57)+1,"")</f>
        <v/>
      </c>
      <c r="C58" s="493" t="str">
        <f t="shared" si="8"/>
        <v/>
      </c>
      <c r="D58" s="494" t="str">
        <f t="shared" si="1"/>
        <v/>
      </c>
      <c r="E58" s="493" t="str">
        <f t="shared" si="2"/>
        <v/>
      </c>
      <c r="F58" s="495" t="str">
        <f t="shared" si="3"/>
        <v/>
      </c>
      <c r="G58" s="496" t="str">
        <f>IF($G$6=N58,MAX($G$8:G57)+1,"")</f>
        <v/>
      </c>
      <c r="H58" s="496" t="str">
        <f>IF($H$6=J58,MAX($H$8:H57)+1,"")</f>
        <v/>
      </c>
      <c r="I58" s="172" t="str">
        <f>IF(L58&lt;&gt;"",COUNTA($L$9:L58),"")</f>
        <v/>
      </c>
      <c r="J58" s="517"/>
      <c r="K58" s="172" t="str">
        <f t="shared" si="6"/>
        <v/>
      </c>
      <c r="L58" s="136"/>
      <c r="M58" s="136"/>
      <c r="N58" s="225"/>
      <c r="O58" s="328" t="str">
        <f t="shared" si="4"/>
        <v>-</v>
      </c>
      <c r="P58" s="528"/>
      <c r="Q58" s="482"/>
      <c r="R58" s="528"/>
      <c r="S58" s="499"/>
      <c r="T58" s="518"/>
      <c r="U58" s="499"/>
      <c r="V58" s="502"/>
      <c r="W58" s="519"/>
      <c r="X58" s="502"/>
      <c r="Y58" s="499"/>
      <c r="Z58" s="518"/>
      <c r="AA58" s="499"/>
      <c r="AB58" s="505"/>
      <c r="AC58" s="520"/>
      <c r="AD58" s="505"/>
      <c r="AE58" s="508"/>
      <c r="AF58" s="521"/>
      <c r="AG58" s="508"/>
      <c r="AH58" s="511"/>
      <c r="AI58" s="522"/>
      <c r="AJ58" s="511"/>
      <c r="AK58" s="514">
        <f t="shared" si="7"/>
        <v>0</v>
      </c>
      <c r="AL58" s="523"/>
      <c r="AM58" s="525"/>
      <c r="AN58" s="329"/>
      <c r="AO58" s="691"/>
    </row>
    <row r="59" spans="1:41" s="516" customFormat="1" ht="15.75">
      <c r="A59" s="516">
        <f t="shared" si="5"/>
        <v>0</v>
      </c>
      <c r="B59" s="610" t="str">
        <f>IF(AND($B$7=AN59,$B$5=J59),MAX($B$8:B58)+1,"")</f>
        <v/>
      </c>
      <c r="C59" s="493" t="str">
        <f t="shared" si="8"/>
        <v/>
      </c>
      <c r="D59" s="494" t="str">
        <f t="shared" si="1"/>
        <v/>
      </c>
      <c r="E59" s="493" t="str">
        <f t="shared" si="2"/>
        <v/>
      </c>
      <c r="F59" s="495" t="str">
        <f t="shared" si="3"/>
        <v/>
      </c>
      <c r="G59" s="496" t="str">
        <f>IF($G$6=N59,MAX($G$8:G58)+1,"")</f>
        <v/>
      </c>
      <c r="H59" s="496" t="str">
        <f>IF($H$6=J59,MAX($H$8:H58)+1,"")</f>
        <v/>
      </c>
      <c r="I59" s="172" t="str">
        <f>IF(L59&lt;&gt;"",COUNTA($L$9:L59),"")</f>
        <v/>
      </c>
      <c r="J59" s="517"/>
      <c r="K59" s="172" t="str">
        <f t="shared" si="6"/>
        <v/>
      </c>
      <c r="L59" s="136"/>
      <c r="M59" s="136"/>
      <c r="N59" s="225"/>
      <c r="O59" s="328" t="str">
        <f t="shared" si="4"/>
        <v>-</v>
      </c>
      <c r="P59" s="528"/>
      <c r="Q59" s="482"/>
      <c r="R59" s="528"/>
      <c r="S59" s="499"/>
      <c r="T59" s="518"/>
      <c r="U59" s="499"/>
      <c r="V59" s="502"/>
      <c r="W59" s="519"/>
      <c r="X59" s="502"/>
      <c r="Y59" s="499"/>
      <c r="Z59" s="518"/>
      <c r="AA59" s="499"/>
      <c r="AB59" s="505"/>
      <c r="AC59" s="520"/>
      <c r="AD59" s="505"/>
      <c r="AE59" s="508"/>
      <c r="AF59" s="521"/>
      <c r="AG59" s="508"/>
      <c r="AH59" s="511"/>
      <c r="AI59" s="522"/>
      <c r="AJ59" s="511"/>
      <c r="AK59" s="514">
        <f t="shared" si="7"/>
        <v>0</v>
      </c>
      <c r="AL59" s="523"/>
      <c r="AM59" s="525"/>
      <c r="AN59" s="329"/>
      <c r="AO59" s="691"/>
    </row>
    <row r="60" spans="1:41" s="524" customFormat="1" ht="15.75">
      <c r="A60" s="516">
        <f t="shared" si="5"/>
        <v>0</v>
      </c>
      <c r="B60" s="610" t="str">
        <f>IF(AND($B$7=AN60,$B$5=J60),MAX($B$8:B59)+1,"")</f>
        <v/>
      </c>
      <c r="C60" s="493" t="str">
        <f t="shared" si="8"/>
        <v/>
      </c>
      <c r="D60" s="494" t="str">
        <f t="shared" si="1"/>
        <v/>
      </c>
      <c r="E60" s="493" t="str">
        <f t="shared" si="2"/>
        <v/>
      </c>
      <c r="F60" s="495" t="str">
        <f t="shared" si="3"/>
        <v/>
      </c>
      <c r="G60" s="496" t="str">
        <f>IF($G$6=N60,MAX($G$8:G59)+1,"")</f>
        <v/>
      </c>
      <c r="H60" s="496" t="str">
        <f>IF($H$6=J60,MAX($H$8:H59)+1,"")</f>
        <v/>
      </c>
      <c r="I60" s="172" t="str">
        <f>IF(L60&lt;&gt;"",COUNTA($L$9:L60),"")</f>
        <v/>
      </c>
      <c r="J60" s="517"/>
      <c r="K60" s="172" t="str">
        <f t="shared" si="6"/>
        <v/>
      </c>
      <c r="L60" s="136"/>
      <c r="M60" s="541"/>
      <c r="N60" s="225"/>
      <c r="O60" s="328" t="str">
        <f t="shared" si="4"/>
        <v>-</v>
      </c>
      <c r="P60" s="528"/>
      <c r="Q60" s="482"/>
      <c r="R60" s="528"/>
      <c r="S60" s="499"/>
      <c r="T60" s="518"/>
      <c r="U60" s="499"/>
      <c r="V60" s="502"/>
      <c r="W60" s="519"/>
      <c r="X60" s="502"/>
      <c r="Y60" s="499"/>
      <c r="Z60" s="518"/>
      <c r="AA60" s="499"/>
      <c r="AB60" s="505"/>
      <c r="AC60" s="520"/>
      <c r="AD60" s="505"/>
      <c r="AE60" s="508"/>
      <c r="AF60" s="521"/>
      <c r="AG60" s="508"/>
      <c r="AH60" s="511"/>
      <c r="AI60" s="522"/>
      <c r="AJ60" s="511"/>
      <c r="AK60" s="514">
        <f t="shared" si="7"/>
        <v>0</v>
      </c>
      <c r="AL60" s="523"/>
      <c r="AM60" s="525"/>
      <c r="AN60" s="329"/>
      <c r="AO60" s="691"/>
    </row>
    <row r="61" spans="1:41" s="516" customFormat="1" ht="15.75">
      <c r="A61" s="516">
        <f t="shared" si="5"/>
        <v>0</v>
      </c>
      <c r="B61" s="610" t="str">
        <f>IF(AND($B$7=AN61,$B$5=J61),MAX($B$8:B60)+1,"")</f>
        <v/>
      </c>
      <c r="C61" s="493" t="str">
        <f t="shared" si="8"/>
        <v/>
      </c>
      <c r="D61" s="494" t="str">
        <f t="shared" si="1"/>
        <v/>
      </c>
      <c r="E61" s="493" t="str">
        <f t="shared" si="2"/>
        <v/>
      </c>
      <c r="F61" s="495" t="str">
        <f t="shared" si="3"/>
        <v/>
      </c>
      <c r="G61" s="496" t="str">
        <f>IF($G$6=N61,MAX($G$8:G60)+1,"")</f>
        <v/>
      </c>
      <c r="H61" s="496" t="str">
        <f>IF($H$6=J61,MAX($H$8:H60)+1,"")</f>
        <v/>
      </c>
      <c r="I61" s="172" t="str">
        <f>IF(L61&lt;&gt;"",COUNTA($L$9:L61),"")</f>
        <v/>
      </c>
      <c r="J61" s="517"/>
      <c r="K61" s="172" t="str">
        <f t="shared" si="6"/>
        <v/>
      </c>
      <c r="L61" s="136"/>
      <c r="M61" s="713"/>
      <c r="N61" s="225"/>
      <c r="O61" s="328" t="str">
        <f t="shared" si="4"/>
        <v>-</v>
      </c>
      <c r="P61" s="502"/>
      <c r="Q61" s="519"/>
      <c r="R61" s="502"/>
      <c r="S61" s="499"/>
      <c r="T61" s="518"/>
      <c r="U61" s="499"/>
      <c r="V61" s="502"/>
      <c r="W61" s="519"/>
      <c r="X61" s="502"/>
      <c r="Y61" s="499"/>
      <c r="Z61" s="518"/>
      <c r="AA61" s="499"/>
      <c r="AB61" s="505"/>
      <c r="AC61" s="520"/>
      <c r="AD61" s="505"/>
      <c r="AE61" s="508"/>
      <c r="AF61" s="521"/>
      <c r="AG61" s="508"/>
      <c r="AH61" s="511"/>
      <c r="AI61" s="522"/>
      <c r="AJ61" s="511"/>
      <c r="AK61" s="514">
        <f t="shared" si="7"/>
        <v>0</v>
      </c>
      <c r="AL61" s="523"/>
      <c r="AM61" s="525"/>
      <c r="AN61" s="329"/>
      <c r="AO61" s="691"/>
    </row>
    <row r="62" spans="1:41" s="516" customFormat="1" ht="15.75">
      <c r="A62" s="516">
        <f t="shared" si="5"/>
        <v>0</v>
      </c>
      <c r="B62" s="610" t="str">
        <f>IF(AND($B$7=AN62,$B$5=J62),MAX($B$8:B61)+1,"")</f>
        <v/>
      </c>
      <c r="C62" s="493" t="str">
        <f t="shared" si="8"/>
        <v/>
      </c>
      <c r="D62" s="494" t="str">
        <f t="shared" si="1"/>
        <v/>
      </c>
      <c r="E62" s="493" t="str">
        <f t="shared" si="2"/>
        <v/>
      </c>
      <c r="F62" s="495" t="str">
        <f t="shared" si="3"/>
        <v/>
      </c>
      <c r="G62" s="496" t="str">
        <f>IF($G$6=N62,MAX($G$8:G61)+1,"")</f>
        <v/>
      </c>
      <c r="H62" s="496" t="str">
        <f>IF($H$6=J62,MAX($H$8:H61)+1,"")</f>
        <v/>
      </c>
      <c r="I62" s="172" t="str">
        <f>IF(L62&lt;&gt;"",COUNTA($L$9:L62),"")</f>
        <v/>
      </c>
      <c r="J62" s="517"/>
      <c r="K62" s="172" t="str">
        <f t="shared" si="6"/>
        <v/>
      </c>
      <c r="L62" s="136"/>
      <c r="M62" s="713"/>
      <c r="N62" s="225"/>
      <c r="O62" s="328" t="str">
        <f t="shared" si="4"/>
        <v>-</v>
      </c>
      <c r="P62" s="528"/>
      <c r="Q62" s="482"/>
      <c r="R62" s="528"/>
      <c r="S62" s="499"/>
      <c r="T62" s="518"/>
      <c r="U62" s="499"/>
      <c r="V62" s="502"/>
      <c r="W62" s="519"/>
      <c r="X62" s="502"/>
      <c r="Y62" s="499"/>
      <c r="Z62" s="518"/>
      <c r="AA62" s="499"/>
      <c r="AB62" s="505"/>
      <c r="AC62" s="520"/>
      <c r="AD62" s="505"/>
      <c r="AE62" s="508"/>
      <c r="AF62" s="521"/>
      <c r="AG62" s="508"/>
      <c r="AH62" s="511"/>
      <c r="AI62" s="522"/>
      <c r="AJ62" s="511"/>
      <c r="AK62" s="514">
        <f t="shared" si="7"/>
        <v>0</v>
      </c>
      <c r="AL62" s="523"/>
      <c r="AM62" s="525"/>
      <c r="AN62" s="329"/>
      <c r="AO62" s="691"/>
    </row>
    <row r="63" spans="1:41" s="516" customFormat="1" ht="15.75">
      <c r="A63" s="516">
        <f t="shared" si="5"/>
        <v>0</v>
      </c>
      <c r="B63" s="610" t="str">
        <f>IF(AND($B$7=AN63,$B$5=J63),MAX($B$8:B62)+1,"")</f>
        <v/>
      </c>
      <c r="C63" s="493" t="str">
        <f t="shared" si="8"/>
        <v/>
      </c>
      <c r="D63" s="494" t="str">
        <f t="shared" si="1"/>
        <v/>
      </c>
      <c r="E63" s="493" t="str">
        <f t="shared" si="2"/>
        <v/>
      </c>
      <c r="F63" s="495" t="str">
        <f t="shared" si="3"/>
        <v/>
      </c>
      <c r="G63" s="496" t="str">
        <f>IF($G$6=N63,MAX($G$8:G62)+1,"")</f>
        <v/>
      </c>
      <c r="H63" s="496" t="str">
        <f>IF($H$6=J63,MAX($H$8:H62)+1,"")</f>
        <v/>
      </c>
      <c r="I63" s="172" t="str">
        <f>IF(L63&lt;&gt;"",COUNTA($L$9:L63),"")</f>
        <v/>
      </c>
      <c r="J63" s="517"/>
      <c r="K63" s="172" t="str">
        <f t="shared" si="6"/>
        <v/>
      </c>
      <c r="L63" s="136"/>
      <c r="M63" s="713"/>
      <c r="N63" s="225"/>
      <c r="O63" s="328" t="str">
        <f t="shared" si="4"/>
        <v>-</v>
      </c>
      <c r="P63" s="528"/>
      <c r="Q63" s="482"/>
      <c r="R63" s="528"/>
      <c r="S63" s="499"/>
      <c r="T63" s="518"/>
      <c r="U63" s="499"/>
      <c r="V63" s="502"/>
      <c r="W63" s="519"/>
      <c r="X63" s="502"/>
      <c r="Y63" s="499"/>
      <c r="Z63" s="518"/>
      <c r="AA63" s="499"/>
      <c r="AB63" s="505"/>
      <c r="AC63" s="520"/>
      <c r="AD63" s="505"/>
      <c r="AE63" s="508"/>
      <c r="AF63" s="521"/>
      <c r="AG63" s="508"/>
      <c r="AH63" s="511"/>
      <c r="AI63" s="522"/>
      <c r="AJ63" s="511"/>
      <c r="AK63" s="514">
        <f t="shared" si="7"/>
        <v>0</v>
      </c>
      <c r="AL63" s="523"/>
      <c r="AM63" s="525"/>
      <c r="AN63" s="329"/>
      <c r="AO63" s="691"/>
    </row>
    <row r="64" spans="1:41" s="516" customFormat="1" ht="15.75">
      <c r="A64" s="516">
        <f t="shared" si="5"/>
        <v>0</v>
      </c>
      <c r="B64" s="610" t="str">
        <f>IF(AND($B$7=AN64,$B$5=J64),MAX($B$8:B63)+1,"")</f>
        <v/>
      </c>
      <c r="C64" s="493" t="str">
        <f t="shared" si="8"/>
        <v/>
      </c>
      <c r="D64" s="494" t="str">
        <f t="shared" si="1"/>
        <v/>
      </c>
      <c r="E64" s="493" t="str">
        <f t="shared" si="2"/>
        <v/>
      </c>
      <c r="F64" s="495" t="str">
        <f t="shared" si="3"/>
        <v/>
      </c>
      <c r="G64" s="496" t="str">
        <f>IF($G$6=N64,MAX($G$8:G63)+1,"")</f>
        <v/>
      </c>
      <c r="H64" s="496" t="str">
        <f>IF($H$6=J64,MAX($H$8:H63)+1,"")</f>
        <v/>
      </c>
      <c r="I64" s="172" t="str">
        <f>IF(L64&lt;&gt;"",COUNTA($L$9:L64),"")</f>
        <v/>
      </c>
      <c r="J64" s="517"/>
      <c r="K64" s="172" t="str">
        <f t="shared" si="6"/>
        <v/>
      </c>
      <c r="L64" s="136"/>
      <c r="M64" s="713"/>
      <c r="N64" s="225"/>
      <c r="O64" s="328" t="str">
        <f t="shared" si="4"/>
        <v>-</v>
      </c>
      <c r="P64" s="528"/>
      <c r="Q64" s="482"/>
      <c r="R64" s="528"/>
      <c r="S64" s="499"/>
      <c r="T64" s="518"/>
      <c r="U64" s="499"/>
      <c r="V64" s="502"/>
      <c r="W64" s="519"/>
      <c r="X64" s="502"/>
      <c r="Y64" s="499"/>
      <c r="Z64" s="518"/>
      <c r="AA64" s="499"/>
      <c r="AB64" s="505"/>
      <c r="AC64" s="520"/>
      <c r="AD64" s="505"/>
      <c r="AE64" s="508"/>
      <c r="AF64" s="521"/>
      <c r="AG64" s="508"/>
      <c r="AH64" s="511"/>
      <c r="AI64" s="522"/>
      <c r="AJ64" s="511"/>
      <c r="AK64" s="514">
        <f t="shared" si="7"/>
        <v>0</v>
      </c>
      <c r="AL64" s="523"/>
      <c r="AM64" s="525"/>
      <c r="AN64" s="329"/>
      <c r="AO64" s="691"/>
    </row>
    <row r="65" spans="1:41" s="516" customFormat="1" ht="15.75">
      <c r="A65" s="516">
        <f t="shared" si="5"/>
        <v>0</v>
      </c>
      <c r="B65" s="610" t="str">
        <f>IF(AND($B$7=AN65,$B$5=J65),MAX($B$8:B64)+1,"")</f>
        <v/>
      </c>
      <c r="C65" s="493" t="str">
        <f t="shared" si="8"/>
        <v/>
      </c>
      <c r="D65" s="494" t="str">
        <f t="shared" si="1"/>
        <v/>
      </c>
      <c r="E65" s="493" t="str">
        <f t="shared" si="2"/>
        <v/>
      </c>
      <c r="F65" s="495" t="str">
        <f t="shared" si="3"/>
        <v/>
      </c>
      <c r="G65" s="496" t="str">
        <f>IF($G$6=N65,MAX($G$8:G64)+1,"")</f>
        <v/>
      </c>
      <c r="H65" s="496" t="str">
        <f>IF($H$6=J65,MAX($H$8:H64)+1,"")</f>
        <v/>
      </c>
      <c r="I65" s="172" t="str">
        <f>IF(L65&lt;&gt;"",COUNTA($L$9:L65),"")</f>
        <v/>
      </c>
      <c r="J65" s="517"/>
      <c r="K65" s="172" t="str">
        <f t="shared" si="6"/>
        <v/>
      </c>
      <c r="L65" s="136"/>
      <c r="M65" s="713"/>
      <c r="N65" s="225"/>
      <c r="O65" s="328" t="str">
        <f t="shared" si="4"/>
        <v>-</v>
      </c>
      <c r="P65" s="528"/>
      <c r="Q65" s="482"/>
      <c r="R65" s="528"/>
      <c r="S65" s="499"/>
      <c r="T65" s="518"/>
      <c r="U65" s="499"/>
      <c r="V65" s="502"/>
      <c r="W65" s="519"/>
      <c r="X65" s="502"/>
      <c r="Y65" s="499"/>
      <c r="Z65" s="518"/>
      <c r="AA65" s="499"/>
      <c r="AB65" s="505"/>
      <c r="AC65" s="520"/>
      <c r="AD65" s="505"/>
      <c r="AE65" s="508"/>
      <c r="AF65" s="521"/>
      <c r="AG65" s="508"/>
      <c r="AH65" s="511"/>
      <c r="AI65" s="522"/>
      <c r="AJ65" s="511"/>
      <c r="AK65" s="514">
        <f t="shared" si="7"/>
        <v>0</v>
      </c>
      <c r="AL65" s="523"/>
      <c r="AM65" s="525"/>
      <c r="AN65" s="329"/>
      <c r="AO65" s="691"/>
    </row>
    <row r="66" spans="1:41" s="516" customFormat="1" ht="15.75">
      <c r="A66" s="516">
        <f t="shared" si="5"/>
        <v>0</v>
      </c>
      <c r="B66" s="610" t="str">
        <f>IF(AND($B$7=AN66,$B$5=J66),MAX($B$8:B65)+1,"")</f>
        <v/>
      </c>
      <c r="C66" s="493" t="str">
        <f t="shared" si="8"/>
        <v/>
      </c>
      <c r="D66" s="494" t="str">
        <f t="shared" si="1"/>
        <v/>
      </c>
      <c r="E66" s="493" t="str">
        <f t="shared" si="2"/>
        <v/>
      </c>
      <c r="F66" s="495" t="str">
        <f t="shared" si="3"/>
        <v/>
      </c>
      <c r="G66" s="496" t="str">
        <f>IF($G$6=N66,MAX($G$8:G65)+1,"")</f>
        <v/>
      </c>
      <c r="H66" s="496" t="str">
        <f>IF($H$6=J66,MAX($H$8:H65)+1,"")</f>
        <v/>
      </c>
      <c r="I66" s="172" t="str">
        <f>IF(L66&lt;&gt;"",COUNTA($L$9:L66),"")</f>
        <v/>
      </c>
      <c r="J66" s="517"/>
      <c r="K66" s="172" t="str">
        <f t="shared" si="6"/>
        <v/>
      </c>
      <c r="L66" s="136"/>
      <c r="M66" s="713"/>
      <c r="N66" s="225"/>
      <c r="O66" s="328" t="str">
        <f t="shared" si="4"/>
        <v>-</v>
      </c>
      <c r="P66" s="528"/>
      <c r="Q66" s="482"/>
      <c r="R66" s="528"/>
      <c r="S66" s="499"/>
      <c r="V66" s="502"/>
      <c r="W66" s="519"/>
      <c r="X66" s="502"/>
      <c r="Y66" s="499"/>
      <c r="Z66" s="518"/>
      <c r="AA66" s="499"/>
      <c r="AB66" s="505"/>
      <c r="AC66" s="520"/>
      <c r="AD66" s="505"/>
      <c r="AE66" s="508"/>
      <c r="AF66" s="521"/>
      <c r="AG66" s="508"/>
      <c r="AH66" s="511"/>
      <c r="AI66" s="522"/>
      <c r="AJ66" s="511"/>
      <c r="AK66" s="514">
        <f t="shared" si="7"/>
        <v>0</v>
      </c>
      <c r="AL66" s="523"/>
      <c r="AM66" s="525"/>
      <c r="AN66" s="329"/>
      <c r="AO66" s="691"/>
    </row>
    <row r="67" spans="1:41" s="516" customFormat="1" ht="15.75">
      <c r="A67" s="516">
        <f t="shared" si="5"/>
        <v>0</v>
      </c>
      <c r="B67" s="610" t="str">
        <f>IF(AND($B$7=AN67,$B$5=J67),MAX($B$8:B66)+1,"")</f>
        <v/>
      </c>
      <c r="C67" s="493" t="str">
        <f t="shared" si="8"/>
        <v/>
      </c>
      <c r="D67" s="494" t="str">
        <f t="shared" si="1"/>
        <v/>
      </c>
      <c r="E67" s="493" t="str">
        <f t="shared" si="2"/>
        <v/>
      </c>
      <c r="F67" s="495" t="str">
        <f t="shared" si="3"/>
        <v/>
      </c>
      <c r="G67" s="496" t="str">
        <f>IF($G$6=N67,MAX($G$8:G66)+1,"")</f>
        <v/>
      </c>
      <c r="H67" s="496" t="str">
        <f>IF($H$6=J67,MAX($H$8:H66)+1,"")</f>
        <v/>
      </c>
      <c r="I67" s="172" t="str">
        <f>IF(L67&lt;&gt;"",COUNTA($L$9:L67),"")</f>
        <v/>
      </c>
      <c r="J67" s="517"/>
      <c r="K67" s="172" t="str">
        <f t="shared" si="6"/>
        <v/>
      </c>
      <c r="L67" s="136"/>
      <c r="M67" s="713"/>
      <c r="N67" s="225"/>
      <c r="O67" s="328" t="str">
        <f t="shared" si="4"/>
        <v>-</v>
      </c>
      <c r="P67" s="528"/>
      <c r="Q67" s="482"/>
      <c r="R67" s="528"/>
      <c r="S67" s="499"/>
      <c r="T67" s="518"/>
      <c r="U67" s="499"/>
      <c r="V67" s="502"/>
      <c r="W67" s="519"/>
      <c r="X67" s="502"/>
      <c r="Y67" s="499"/>
      <c r="Z67" s="518"/>
      <c r="AA67" s="499"/>
      <c r="AB67" s="505"/>
      <c r="AC67" s="520"/>
      <c r="AD67" s="505"/>
      <c r="AE67" s="508"/>
      <c r="AF67" s="521"/>
      <c r="AG67" s="508"/>
      <c r="AH67" s="511"/>
      <c r="AI67" s="522"/>
      <c r="AJ67" s="511"/>
      <c r="AK67" s="514">
        <f t="shared" si="7"/>
        <v>0</v>
      </c>
      <c r="AL67" s="523"/>
      <c r="AM67" s="525"/>
      <c r="AN67" s="329"/>
      <c r="AO67" s="691"/>
    </row>
    <row r="68" spans="1:41" s="516" customFormat="1" ht="15.75">
      <c r="A68" s="516">
        <f t="shared" si="5"/>
        <v>0</v>
      </c>
      <c r="B68" s="610" t="str">
        <f>IF(AND($B$7=AN68,$B$5=J68),MAX($B$8:B67)+1,"")</f>
        <v/>
      </c>
      <c r="C68" s="493" t="str">
        <f t="shared" si="8"/>
        <v/>
      </c>
      <c r="D68" s="494" t="str">
        <f t="shared" si="1"/>
        <v/>
      </c>
      <c r="E68" s="493" t="str">
        <f t="shared" si="2"/>
        <v/>
      </c>
      <c r="F68" s="495" t="str">
        <f t="shared" si="3"/>
        <v/>
      </c>
      <c r="G68" s="496" t="str">
        <f>IF($G$6=N68,MAX($G$8:G67)+1,"")</f>
        <v/>
      </c>
      <c r="H68" s="496" t="str">
        <f>IF($H$6=J68,MAX($H$8:H67)+1,"")</f>
        <v/>
      </c>
      <c r="I68" s="172" t="str">
        <f>IF(L68&lt;&gt;"",COUNTA($L$9:L68),"")</f>
        <v/>
      </c>
      <c r="J68" s="517"/>
      <c r="K68" s="172" t="str">
        <f t="shared" si="6"/>
        <v/>
      </c>
      <c r="L68" s="136"/>
      <c r="M68" s="713"/>
      <c r="N68" s="225"/>
      <c r="O68" s="328" t="str">
        <f t="shared" si="4"/>
        <v>-</v>
      </c>
      <c r="P68" s="528"/>
      <c r="Q68" s="518"/>
      <c r="R68" s="499"/>
      <c r="S68" s="499"/>
      <c r="T68" s="518"/>
      <c r="U68" s="499"/>
      <c r="V68" s="502"/>
      <c r="W68" s="519"/>
      <c r="X68" s="502"/>
      <c r="Y68" s="499"/>
      <c r="Z68" s="518"/>
      <c r="AA68" s="499"/>
      <c r="AB68" s="505"/>
      <c r="AC68" s="520"/>
      <c r="AD68" s="505"/>
      <c r="AE68" s="508"/>
      <c r="AF68" s="521"/>
      <c r="AG68" s="508"/>
      <c r="AH68" s="511"/>
      <c r="AI68" s="522"/>
      <c r="AJ68" s="511"/>
      <c r="AK68" s="514">
        <f t="shared" si="7"/>
        <v>0</v>
      </c>
      <c r="AL68" s="523"/>
      <c r="AM68" s="525"/>
      <c r="AN68" s="329"/>
      <c r="AO68" s="691"/>
    </row>
    <row r="69" spans="1:41" s="516" customFormat="1" ht="15.75">
      <c r="A69" s="516">
        <f t="shared" si="5"/>
        <v>0</v>
      </c>
      <c r="B69" s="610" t="str">
        <f>IF(AND($B$7=AN69,$B$5=J69),MAX($B$8:B68)+1,"")</f>
        <v/>
      </c>
      <c r="C69" s="493" t="str">
        <f t="shared" si="8"/>
        <v/>
      </c>
      <c r="D69" s="494" t="str">
        <f t="shared" si="1"/>
        <v/>
      </c>
      <c r="E69" s="493" t="str">
        <f t="shared" si="2"/>
        <v/>
      </c>
      <c r="F69" s="495" t="str">
        <f t="shared" si="3"/>
        <v/>
      </c>
      <c r="G69" s="496" t="str">
        <f>IF($G$6=N69,MAX($G$8:G68)+1,"")</f>
        <v/>
      </c>
      <c r="H69" s="496" t="str">
        <f>IF($H$6=J69,MAX($H$8:H68)+1,"")</f>
        <v/>
      </c>
      <c r="I69" s="172" t="str">
        <f>IF(L69&lt;&gt;"",COUNTA($L$9:L69),"")</f>
        <v/>
      </c>
      <c r="J69" s="517"/>
      <c r="K69" s="172" t="str">
        <f t="shared" si="6"/>
        <v/>
      </c>
      <c r="L69" s="136"/>
      <c r="M69" s="713"/>
      <c r="N69" s="225"/>
      <c r="O69" s="328" t="str">
        <f t="shared" si="4"/>
        <v>-</v>
      </c>
      <c r="P69" s="528"/>
      <c r="Q69" s="482"/>
      <c r="R69" s="528"/>
      <c r="S69" s="499"/>
      <c r="T69" s="518"/>
      <c r="U69" s="499"/>
      <c r="V69" s="502"/>
      <c r="W69" s="519"/>
      <c r="X69" s="502"/>
      <c r="Y69" s="499"/>
      <c r="Z69" s="518"/>
      <c r="AA69" s="499"/>
      <c r="AB69" s="505"/>
      <c r="AC69" s="520"/>
      <c r="AD69" s="505"/>
      <c r="AE69" s="508"/>
      <c r="AF69" s="521"/>
      <c r="AG69" s="508"/>
      <c r="AH69" s="511"/>
      <c r="AI69" s="522"/>
      <c r="AJ69" s="511"/>
      <c r="AK69" s="514">
        <f t="shared" si="7"/>
        <v>0</v>
      </c>
      <c r="AL69" s="523"/>
      <c r="AM69" s="525"/>
      <c r="AN69" s="329"/>
      <c r="AO69" s="691"/>
    </row>
    <row r="70" spans="1:41" s="516" customFormat="1" ht="15.75">
      <c r="A70" s="516">
        <f t="shared" si="5"/>
        <v>0</v>
      </c>
      <c r="B70" s="610" t="str">
        <f>IF(AND($B$7=AN70,$B$5=J70),MAX($B$8:B69)+1,"")</f>
        <v/>
      </c>
      <c r="C70" s="493" t="str">
        <f t="shared" si="8"/>
        <v/>
      </c>
      <c r="D70" s="494" t="str">
        <f t="shared" si="1"/>
        <v/>
      </c>
      <c r="E70" s="493" t="str">
        <f t="shared" si="2"/>
        <v/>
      </c>
      <c r="F70" s="495" t="str">
        <f t="shared" si="3"/>
        <v/>
      </c>
      <c r="G70" s="496" t="str">
        <f>IF($G$6=N70,MAX($G$8:G69)+1,"")</f>
        <v/>
      </c>
      <c r="H70" s="496" t="str">
        <f>IF($H$6=J70,MAX($H$8:H69)+1,"")</f>
        <v/>
      </c>
      <c r="I70" s="172" t="str">
        <f>IF(L70&lt;&gt;"",COUNTA($L$9:L70),"")</f>
        <v/>
      </c>
      <c r="J70" s="517"/>
      <c r="K70" s="172" t="str">
        <f t="shared" si="6"/>
        <v/>
      </c>
      <c r="L70" s="136"/>
      <c r="M70" s="713"/>
      <c r="N70" s="225"/>
      <c r="O70" s="328" t="str">
        <f t="shared" si="4"/>
        <v>-</v>
      </c>
      <c r="P70" s="528"/>
      <c r="Q70" s="482"/>
      <c r="R70" s="528"/>
      <c r="S70" s="499"/>
      <c r="T70" s="518"/>
      <c r="U70" s="499"/>
      <c r="V70" s="502"/>
      <c r="W70" s="519"/>
      <c r="X70" s="502"/>
      <c r="Y70" s="499"/>
      <c r="Z70" s="518"/>
      <c r="AA70" s="499"/>
      <c r="AB70" s="505"/>
      <c r="AC70" s="520"/>
      <c r="AD70" s="505"/>
      <c r="AE70" s="508"/>
      <c r="AF70" s="521"/>
      <c r="AG70" s="508"/>
      <c r="AH70" s="511"/>
      <c r="AI70" s="522"/>
      <c r="AJ70" s="511"/>
      <c r="AK70" s="514">
        <f t="shared" si="7"/>
        <v>0</v>
      </c>
      <c r="AL70" s="523"/>
      <c r="AM70" s="525"/>
      <c r="AN70" s="329"/>
      <c r="AO70" s="691"/>
    </row>
    <row r="71" spans="1:41" s="516" customFormat="1" ht="15.75">
      <c r="A71" s="516">
        <f t="shared" si="5"/>
        <v>0</v>
      </c>
      <c r="B71" s="610" t="str">
        <f>IF(AND($B$7=AN71,$B$5=J71),MAX($B$8:B70)+1,"")</f>
        <v/>
      </c>
      <c r="C71" s="493" t="str">
        <f t="shared" si="8"/>
        <v/>
      </c>
      <c r="D71" s="494" t="str">
        <f t="shared" si="1"/>
        <v/>
      </c>
      <c r="E71" s="493" t="str">
        <f t="shared" si="2"/>
        <v/>
      </c>
      <c r="F71" s="495" t="str">
        <f t="shared" si="3"/>
        <v/>
      </c>
      <c r="G71" s="496" t="str">
        <f>IF($G$6=N71,MAX($G$8:G70)+1,"")</f>
        <v/>
      </c>
      <c r="H71" s="496" t="str">
        <f>IF($H$6=J71,MAX($H$8:H70)+1,"")</f>
        <v/>
      </c>
      <c r="I71" s="172" t="str">
        <f>IF(L71&lt;&gt;"",COUNTA($L$9:L71),"")</f>
        <v/>
      </c>
      <c r="J71" s="517"/>
      <c r="K71" s="172" t="str">
        <f t="shared" si="6"/>
        <v/>
      </c>
      <c r="L71" s="136"/>
      <c r="M71" s="713"/>
      <c r="N71" s="225"/>
      <c r="O71" s="328" t="str">
        <f t="shared" si="4"/>
        <v>-</v>
      </c>
      <c r="P71" s="528"/>
      <c r="Q71" s="482"/>
      <c r="R71" s="528"/>
      <c r="S71" s="499"/>
      <c r="T71" s="518"/>
      <c r="U71" s="499"/>
      <c r="V71" s="502"/>
      <c r="W71" s="519"/>
      <c r="X71" s="502"/>
      <c r="Y71" s="499"/>
      <c r="Z71" s="518"/>
      <c r="AA71" s="499"/>
      <c r="AB71" s="505"/>
      <c r="AC71" s="520"/>
      <c r="AD71" s="505"/>
      <c r="AE71" s="508"/>
      <c r="AF71" s="521"/>
      <c r="AG71" s="508"/>
      <c r="AH71" s="511"/>
      <c r="AI71" s="522"/>
      <c r="AJ71" s="511"/>
      <c r="AK71" s="514">
        <f t="shared" si="7"/>
        <v>0</v>
      </c>
      <c r="AL71" s="523"/>
      <c r="AM71" s="525"/>
      <c r="AN71" s="329"/>
      <c r="AO71" s="691"/>
    </row>
    <row r="72" spans="1:41" s="516" customFormat="1" ht="15.75">
      <c r="A72" s="516">
        <f t="shared" si="5"/>
        <v>0</v>
      </c>
      <c r="B72" s="610" t="str">
        <f>IF(AND($B$7=AN72,$B$5=J72),MAX($B$8:B71)+1,"")</f>
        <v/>
      </c>
      <c r="C72" s="493" t="str">
        <f t="shared" si="8"/>
        <v/>
      </c>
      <c r="D72" s="494" t="str">
        <f t="shared" si="1"/>
        <v/>
      </c>
      <c r="E72" s="493" t="str">
        <f t="shared" si="2"/>
        <v/>
      </c>
      <c r="F72" s="495" t="str">
        <f t="shared" si="3"/>
        <v/>
      </c>
      <c r="G72" s="496" t="str">
        <f>IF($G$6=N72,MAX($G$8:G71)+1,"")</f>
        <v/>
      </c>
      <c r="H72" s="496" t="str">
        <f>IF($H$6=J72,MAX($H$8:H71)+1,"")</f>
        <v/>
      </c>
      <c r="I72" s="172" t="str">
        <f>IF(L72&lt;&gt;"",COUNTA($L$9:L72),"")</f>
        <v/>
      </c>
      <c r="J72" s="517"/>
      <c r="K72" s="172" t="str">
        <f t="shared" si="6"/>
        <v/>
      </c>
      <c r="L72" s="136"/>
      <c r="M72" s="136"/>
      <c r="N72" s="225"/>
      <c r="O72" s="328" t="str">
        <f t="shared" si="4"/>
        <v>-</v>
      </c>
      <c r="P72" s="528"/>
      <c r="Q72" s="482"/>
      <c r="R72" s="528"/>
      <c r="S72" s="499"/>
      <c r="T72" s="518"/>
      <c r="U72" s="499"/>
      <c r="V72" s="502"/>
      <c r="W72" s="519"/>
      <c r="X72" s="502"/>
      <c r="Y72" s="499"/>
      <c r="Z72" s="518"/>
      <c r="AA72" s="499"/>
      <c r="AB72" s="505"/>
      <c r="AC72" s="520"/>
      <c r="AD72" s="505"/>
      <c r="AE72" s="508"/>
      <c r="AF72" s="521"/>
      <c r="AG72" s="508"/>
      <c r="AH72" s="511"/>
      <c r="AI72" s="522"/>
      <c r="AJ72" s="511"/>
      <c r="AK72" s="514">
        <f t="shared" si="7"/>
        <v>0</v>
      </c>
      <c r="AL72" s="523"/>
      <c r="AM72" s="525"/>
      <c r="AN72" s="329"/>
      <c r="AO72" s="691"/>
    </row>
    <row r="73" spans="1:41" s="516" customFormat="1" ht="15.75">
      <c r="A73" s="516">
        <f t="shared" si="5"/>
        <v>0</v>
      </c>
      <c r="B73" s="610" t="str">
        <f>IF(AND($B$7=AN73,$B$5=J73),MAX($B$8:B72)+1,"")</f>
        <v/>
      </c>
      <c r="C73" s="493" t="str">
        <f t="shared" ref="C73:C104" si="9">IF($M73="","",IF(OR($M73&lt;=C$2,$M73&gt;=C$5),"",M1K))</f>
        <v/>
      </c>
      <c r="D73" s="494" t="str">
        <f t="shared" ref="D73:D136" si="10">IF($M73="","",IF(OR($M73&lt;=D$2,$M73&gt;=D$5),"",M1L))</f>
        <v/>
      </c>
      <c r="E73" s="493" t="str">
        <f t="shared" ref="E73:E136" si="11">IF($M73="","",IF(OR($M73&lt;=E$2,$M73&gt;=E$5),"",M2K))</f>
        <v/>
      </c>
      <c r="F73" s="495" t="str">
        <f t="shared" ref="F73:F136" si="12">IF($M73="","",IF(OR($M73&lt;=F$2,$M73&gt;=F$5),"",M2L))</f>
        <v/>
      </c>
      <c r="G73" s="496" t="str">
        <f>IF($G$6=N73,MAX($G$8:G72)+1,"")</f>
        <v/>
      </c>
      <c r="H73" s="496" t="str">
        <f>IF($H$6=J73,MAX($H$8:H72)+1,"")</f>
        <v/>
      </c>
      <c r="I73" s="172" t="str">
        <f>IF(L73&lt;&gt;"",COUNTA($L$9:L73),"")</f>
        <v/>
      </c>
      <c r="J73" s="517"/>
      <c r="K73" s="172" t="str">
        <f t="shared" si="6"/>
        <v/>
      </c>
      <c r="L73" s="136"/>
      <c r="M73" s="136"/>
      <c r="N73" s="225"/>
      <c r="O73" s="328" t="str">
        <f t="shared" ref="O73:O136" si="13">TRIM(Q73&amp;IF(T73="","","; "&amp;T73)&amp;IF(W73="","","; "&amp;W73)&amp;IF(Z73="","","; "&amp;Z73)&amp;IF(AC73="","","; "&amp;AC73)&amp;IF(AF73="","","; "&amp;AF73)&amp;IF(AI73="","","; "&amp;AI73)&amp;" - "&amp;N73)</f>
        <v>-</v>
      </c>
      <c r="P73" s="528"/>
      <c r="Q73" s="482"/>
      <c r="R73" s="528"/>
      <c r="S73" s="499"/>
      <c r="T73" s="518"/>
      <c r="U73" s="499"/>
      <c r="V73" s="502"/>
      <c r="W73" s="519"/>
      <c r="X73" s="502"/>
      <c r="Y73" s="499"/>
      <c r="Z73" s="518"/>
      <c r="AA73" s="499"/>
      <c r="AB73" s="505"/>
      <c r="AC73" s="520"/>
      <c r="AD73" s="505"/>
      <c r="AE73" s="508"/>
      <c r="AF73" s="521"/>
      <c r="AG73" s="508"/>
      <c r="AH73" s="511"/>
      <c r="AI73" s="522"/>
      <c r="AJ73" s="511"/>
      <c r="AK73" s="514">
        <f t="shared" si="7"/>
        <v>0</v>
      </c>
      <c r="AL73" s="523"/>
      <c r="AM73" s="525"/>
      <c r="AN73" s="329"/>
      <c r="AO73" s="691"/>
    </row>
    <row r="74" spans="1:41" s="516" customFormat="1" ht="15.75">
      <c r="A74" s="516">
        <f t="shared" ref="A74:A137" si="14">IF(J74="223'",223,IF(J74="373'",373,J74))</f>
        <v>0</v>
      </c>
      <c r="B74" s="610" t="str">
        <f>IF(AND($B$7=AN74,$B$5=J74),MAX($B$8:B73)+1,"")</f>
        <v/>
      </c>
      <c r="C74" s="493" t="str">
        <f t="shared" si="9"/>
        <v/>
      </c>
      <c r="D74" s="494" t="str">
        <f t="shared" si="10"/>
        <v/>
      </c>
      <c r="E74" s="493" t="str">
        <f t="shared" si="11"/>
        <v/>
      </c>
      <c r="F74" s="495" t="str">
        <f t="shared" si="12"/>
        <v/>
      </c>
      <c r="G74" s="496" t="str">
        <f>IF($G$6=N74,MAX($G$8:G73)+1,"")</f>
        <v/>
      </c>
      <c r="H74" s="496" t="str">
        <f>IF($H$6=J74,MAX($H$8:H73)+1,"")</f>
        <v/>
      </c>
      <c r="I74" s="172" t="str">
        <f>IF(L74&lt;&gt;"",COUNTA($L$9:L74),"")</f>
        <v/>
      </c>
      <c r="J74" s="517"/>
      <c r="K74" s="172" t="str">
        <f t="shared" ref="K74:K137" si="15">IF(I74="","",$K$8&amp;IF(I74&lt;10,"0"&amp;I74,I74))</f>
        <v/>
      </c>
      <c r="L74" s="136"/>
      <c r="M74" s="136"/>
      <c r="N74" s="225"/>
      <c r="O74" s="328" t="str">
        <f t="shared" si="13"/>
        <v>-</v>
      </c>
      <c r="P74" s="528"/>
      <c r="Q74" s="482"/>
      <c r="R74" s="528"/>
      <c r="S74" s="499"/>
      <c r="T74" s="518"/>
      <c r="U74" s="499"/>
      <c r="V74" s="502"/>
      <c r="W74" s="519"/>
      <c r="X74" s="502"/>
      <c r="Y74" s="499"/>
      <c r="Z74" s="518"/>
      <c r="AA74" s="499"/>
      <c r="AB74" s="505"/>
      <c r="AC74" s="520"/>
      <c r="AD74" s="505"/>
      <c r="AE74" s="508"/>
      <c r="AF74" s="521"/>
      <c r="AG74" s="508"/>
      <c r="AH74" s="511"/>
      <c r="AI74" s="522"/>
      <c r="AJ74" s="511"/>
      <c r="AK74" s="514">
        <f t="shared" si="7"/>
        <v>0</v>
      </c>
      <c r="AL74" s="523"/>
      <c r="AM74" s="525"/>
      <c r="AN74" s="329"/>
      <c r="AO74" s="691"/>
    </row>
    <row r="75" spans="1:41" s="516" customFormat="1" ht="15.75">
      <c r="A75" s="516">
        <f t="shared" si="14"/>
        <v>0</v>
      </c>
      <c r="B75" s="610" t="str">
        <f>IF(AND($B$7=AN75,$B$5=J75),MAX($B$8:B74)+1,"")</f>
        <v/>
      </c>
      <c r="C75" s="493" t="str">
        <f t="shared" si="9"/>
        <v/>
      </c>
      <c r="D75" s="494" t="str">
        <f t="shared" si="10"/>
        <v/>
      </c>
      <c r="E75" s="493" t="str">
        <f t="shared" si="11"/>
        <v/>
      </c>
      <c r="F75" s="495" t="str">
        <f t="shared" si="12"/>
        <v/>
      </c>
      <c r="G75" s="496" t="str">
        <f>IF($G$6=N75,MAX($G$8:G74)+1,"")</f>
        <v/>
      </c>
      <c r="H75" s="496" t="str">
        <f>IF($H$6=J75,MAX($H$8:H74)+1,"")</f>
        <v/>
      </c>
      <c r="I75" s="172" t="str">
        <f>IF(L75&lt;&gt;"",COUNTA($L$9:L75),"")</f>
        <v/>
      </c>
      <c r="J75" s="517"/>
      <c r="K75" s="172" t="str">
        <f t="shared" si="15"/>
        <v/>
      </c>
      <c r="L75" s="136"/>
      <c r="M75" s="136"/>
      <c r="N75" s="225"/>
      <c r="O75" s="328" t="str">
        <f t="shared" si="13"/>
        <v>-</v>
      </c>
      <c r="P75" s="528"/>
      <c r="Q75" s="482"/>
      <c r="R75" s="528"/>
      <c r="S75" s="499"/>
      <c r="T75" s="518"/>
      <c r="U75" s="499"/>
      <c r="V75" s="502"/>
      <c r="W75" s="519"/>
      <c r="X75" s="502"/>
      <c r="Y75" s="499"/>
      <c r="Z75" s="518"/>
      <c r="AA75" s="499"/>
      <c r="AB75" s="505"/>
      <c r="AC75" s="520"/>
      <c r="AD75" s="505"/>
      <c r="AE75" s="508"/>
      <c r="AF75" s="521"/>
      <c r="AG75" s="508"/>
      <c r="AH75" s="511"/>
      <c r="AI75" s="522"/>
      <c r="AJ75" s="511"/>
      <c r="AK75" s="514">
        <f t="shared" ref="AK75:AK138" si="16">R75+U75+X75+AA75+AD75+AG75+AJ75</f>
        <v>0</v>
      </c>
      <c r="AL75" s="523"/>
      <c r="AM75" s="525"/>
      <c r="AN75" s="329"/>
      <c r="AO75" s="691"/>
    </row>
    <row r="76" spans="1:41" s="516" customFormat="1" ht="15.75">
      <c r="A76" s="516">
        <f t="shared" si="14"/>
        <v>0</v>
      </c>
      <c r="B76" s="610" t="str">
        <f>IF(AND($B$7=AN76,$B$5=J76),MAX($B$8:B75)+1,"")</f>
        <v/>
      </c>
      <c r="C76" s="493" t="str">
        <f t="shared" si="9"/>
        <v/>
      </c>
      <c r="D76" s="494" t="str">
        <f t="shared" si="10"/>
        <v/>
      </c>
      <c r="E76" s="493" t="str">
        <f t="shared" si="11"/>
        <v/>
      </c>
      <c r="F76" s="495" t="str">
        <f t="shared" si="12"/>
        <v/>
      </c>
      <c r="G76" s="496" t="str">
        <f>IF($G$6=N76,MAX($G$8:G75)+1,"")</f>
        <v/>
      </c>
      <c r="H76" s="496" t="str">
        <f>IF($H$6=J76,MAX($H$8:H75)+1,"")</f>
        <v/>
      </c>
      <c r="I76" s="172" t="str">
        <f>IF(L76&lt;&gt;"",COUNTA($L$9:L76),"")</f>
        <v/>
      </c>
      <c r="J76" s="517"/>
      <c r="K76" s="172" t="str">
        <f t="shared" si="15"/>
        <v/>
      </c>
      <c r="L76" s="136"/>
      <c r="M76" s="136"/>
      <c r="N76" s="225"/>
      <c r="O76" s="328" t="str">
        <f t="shared" si="13"/>
        <v>-</v>
      </c>
      <c r="P76" s="528"/>
      <c r="Q76" s="482"/>
      <c r="R76" s="528"/>
      <c r="S76" s="499"/>
      <c r="T76" s="518"/>
      <c r="U76" s="499"/>
      <c r="V76" s="502"/>
      <c r="W76" s="519"/>
      <c r="X76" s="502"/>
      <c r="Y76" s="499"/>
      <c r="Z76" s="518"/>
      <c r="AA76" s="499"/>
      <c r="AB76" s="505"/>
      <c r="AC76" s="520"/>
      <c r="AD76" s="505"/>
      <c r="AE76" s="508"/>
      <c r="AF76" s="521"/>
      <c r="AG76" s="508"/>
      <c r="AH76" s="511"/>
      <c r="AI76" s="522"/>
      <c r="AJ76" s="511"/>
      <c r="AK76" s="514">
        <f t="shared" si="16"/>
        <v>0</v>
      </c>
      <c r="AL76" s="523"/>
      <c r="AM76" s="525"/>
      <c r="AN76" s="329"/>
      <c r="AO76" s="691"/>
    </row>
    <row r="77" spans="1:41" s="516" customFormat="1" ht="15.75">
      <c r="A77" s="516">
        <f t="shared" si="14"/>
        <v>0</v>
      </c>
      <c r="B77" s="610" t="str">
        <f>IF(AND($B$7=AN77,$B$5=J77),MAX($B$8:B76)+1,"")</f>
        <v/>
      </c>
      <c r="C77" s="493" t="str">
        <f t="shared" si="9"/>
        <v/>
      </c>
      <c r="D77" s="494" t="str">
        <f t="shared" si="10"/>
        <v/>
      </c>
      <c r="E77" s="493" t="str">
        <f t="shared" si="11"/>
        <v/>
      </c>
      <c r="F77" s="495" t="str">
        <f t="shared" si="12"/>
        <v/>
      </c>
      <c r="G77" s="496" t="str">
        <f>IF($G$6=N77,MAX($G$8:G76)+1,"")</f>
        <v/>
      </c>
      <c r="H77" s="496" t="str">
        <f>IF($H$6=J77,MAX($H$8:H76)+1,"")</f>
        <v/>
      </c>
      <c r="I77" s="172" t="str">
        <f>IF(L77&lt;&gt;"",COUNTA($L$9:L77),"")</f>
        <v/>
      </c>
      <c r="J77" s="517"/>
      <c r="K77" s="172" t="str">
        <f t="shared" si="15"/>
        <v/>
      </c>
      <c r="L77" s="136"/>
      <c r="M77" s="136"/>
      <c r="N77" s="225"/>
      <c r="O77" s="328" t="str">
        <f t="shared" si="13"/>
        <v>-</v>
      </c>
      <c r="P77" s="528"/>
      <c r="Q77" s="482"/>
      <c r="R77" s="528"/>
      <c r="S77" s="499"/>
      <c r="T77" s="518"/>
      <c r="U77" s="499"/>
      <c r="V77" s="502"/>
      <c r="W77" s="519"/>
      <c r="X77" s="502"/>
      <c r="Y77" s="499"/>
      <c r="Z77" s="518"/>
      <c r="AA77" s="499"/>
      <c r="AB77" s="505"/>
      <c r="AC77" s="520"/>
      <c r="AD77" s="505"/>
      <c r="AE77" s="508"/>
      <c r="AF77" s="521"/>
      <c r="AG77" s="508"/>
      <c r="AH77" s="511"/>
      <c r="AI77" s="522"/>
      <c r="AJ77" s="511"/>
      <c r="AK77" s="514">
        <f t="shared" si="16"/>
        <v>0</v>
      </c>
      <c r="AL77" s="523"/>
      <c r="AM77" s="525"/>
      <c r="AN77" s="329"/>
      <c r="AO77" s="691"/>
    </row>
    <row r="78" spans="1:41" s="516" customFormat="1" ht="15.75">
      <c r="A78" s="516">
        <f t="shared" si="14"/>
        <v>0</v>
      </c>
      <c r="B78" s="610" t="str">
        <f>IF(AND($B$7=AN78,$B$5=J78),MAX($B$8:B77)+1,"")</f>
        <v/>
      </c>
      <c r="C78" s="493" t="str">
        <f t="shared" si="9"/>
        <v/>
      </c>
      <c r="D78" s="494" t="str">
        <f t="shared" si="10"/>
        <v/>
      </c>
      <c r="E78" s="493" t="str">
        <f t="shared" si="11"/>
        <v/>
      </c>
      <c r="F78" s="495" t="str">
        <f t="shared" si="12"/>
        <v/>
      </c>
      <c r="G78" s="496" t="str">
        <f>IF($G$6=N78,MAX($G$8:G77)+1,"")</f>
        <v/>
      </c>
      <c r="H78" s="496" t="str">
        <f>IF($H$6=J78,MAX($H$8:H77)+1,"")</f>
        <v/>
      </c>
      <c r="I78" s="172" t="str">
        <f>IF(L78&lt;&gt;"",COUNTA($L$9:L78),"")</f>
        <v/>
      </c>
      <c r="J78" s="517"/>
      <c r="K78" s="172" t="str">
        <f t="shared" si="15"/>
        <v/>
      </c>
      <c r="L78" s="136"/>
      <c r="M78" s="136"/>
      <c r="N78" s="225"/>
      <c r="O78" s="328" t="str">
        <f t="shared" si="13"/>
        <v>-</v>
      </c>
      <c r="P78" s="528"/>
      <c r="Q78" s="482"/>
      <c r="R78" s="528"/>
      <c r="S78" s="499"/>
      <c r="T78" s="518"/>
      <c r="U78" s="499"/>
      <c r="V78" s="502"/>
      <c r="W78" s="519"/>
      <c r="X78" s="502"/>
      <c r="Y78" s="499"/>
      <c r="Z78" s="518"/>
      <c r="AA78" s="499"/>
      <c r="AB78" s="505"/>
      <c r="AC78" s="520"/>
      <c r="AD78" s="505"/>
      <c r="AE78" s="508"/>
      <c r="AF78" s="521"/>
      <c r="AG78" s="508"/>
      <c r="AH78" s="511"/>
      <c r="AI78" s="522"/>
      <c r="AJ78" s="511"/>
      <c r="AK78" s="514">
        <f t="shared" si="16"/>
        <v>0</v>
      </c>
      <c r="AL78" s="523"/>
      <c r="AM78" s="525"/>
      <c r="AN78" s="329"/>
      <c r="AO78" s="691"/>
    </row>
    <row r="79" spans="1:41" s="516" customFormat="1" ht="15.75">
      <c r="A79" s="516">
        <f t="shared" si="14"/>
        <v>0</v>
      </c>
      <c r="B79" s="610" t="str">
        <f>IF(AND($B$7=AN79,$B$5=J79),MAX($B$8:B78)+1,"")</f>
        <v/>
      </c>
      <c r="C79" s="493" t="str">
        <f t="shared" si="9"/>
        <v/>
      </c>
      <c r="D79" s="494" t="str">
        <f t="shared" si="10"/>
        <v/>
      </c>
      <c r="E79" s="493" t="str">
        <f t="shared" si="11"/>
        <v/>
      </c>
      <c r="F79" s="495" t="str">
        <f t="shared" si="12"/>
        <v/>
      </c>
      <c r="G79" s="496" t="str">
        <f>IF($G$6=N79,MAX($G$8:G78)+1,"")</f>
        <v/>
      </c>
      <c r="H79" s="496" t="str">
        <f>IF($H$6=J79,MAX($H$8:H78)+1,"")</f>
        <v/>
      </c>
      <c r="I79" s="172" t="str">
        <f>IF(L79&lt;&gt;"",COUNTA($L$9:L79),"")</f>
        <v/>
      </c>
      <c r="J79" s="517"/>
      <c r="K79" s="172" t="str">
        <f t="shared" si="15"/>
        <v/>
      </c>
      <c r="L79" s="136"/>
      <c r="M79" s="136"/>
      <c r="N79" s="225"/>
      <c r="O79" s="328" t="str">
        <f t="shared" si="13"/>
        <v>-</v>
      </c>
      <c r="P79" s="528"/>
      <c r="Q79" s="482"/>
      <c r="R79" s="528"/>
      <c r="S79" s="499"/>
      <c r="T79" s="518"/>
      <c r="U79" s="499"/>
      <c r="V79" s="502"/>
      <c r="W79" s="519"/>
      <c r="X79" s="502"/>
      <c r="Y79" s="499"/>
      <c r="Z79" s="518"/>
      <c r="AA79" s="499"/>
      <c r="AB79" s="505"/>
      <c r="AC79" s="520"/>
      <c r="AD79" s="505"/>
      <c r="AE79" s="508"/>
      <c r="AF79" s="521"/>
      <c r="AG79" s="508"/>
      <c r="AH79" s="511"/>
      <c r="AI79" s="522"/>
      <c r="AJ79" s="511"/>
      <c r="AK79" s="514">
        <f t="shared" si="16"/>
        <v>0</v>
      </c>
      <c r="AL79" s="523"/>
      <c r="AM79" s="525"/>
      <c r="AN79" s="329"/>
      <c r="AO79" s="691"/>
    </row>
    <row r="80" spans="1:41" s="516" customFormat="1" ht="15.75">
      <c r="A80" s="516">
        <f t="shared" si="14"/>
        <v>0</v>
      </c>
      <c r="B80" s="610" t="str">
        <f>IF(AND($B$7=AN80,$B$5=J80),MAX($B$8:B79)+1,"")</f>
        <v/>
      </c>
      <c r="C80" s="493" t="str">
        <f t="shared" si="9"/>
        <v/>
      </c>
      <c r="D80" s="494" t="str">
        <f t="shared" si="10"/>
        <v/>
      </c>
      <c r="E80" s="493" t="str">
        <f t="shared" si="11"/>
        <v/>
      </c>
      <c r="F80" s="495" t="str">
        <f t="shared" si="12"/>
        <v/>
      </c>
      <c r="G80" s="496" t="str">
        <f>IF($G$6=N80,MAX($G$8:G79)+1,"")</f>
        <v/>
      </c>
      <c r="H80" s="496" t="str">
        <f>IF($H$6=J80,MAX($H$8:H79)+1,"")</f>
        <v/>
      </c>
      <c r="I80" s="172" t="str">
        <f>IF(L80&lt;&gt;"",COUNTA($L$9:L80),"")</f>
        <v/>
      </c>
      <c r="J80" s="517"/>
      <c r="K80" s="172" t="str">
        <f t="shared" si="15"/>
        <v/>
      </c>
      <c r="L80" s="136"/>
      <c r="M80" s="136"/>
      <c r="N80" s="225"/>
      <c r="O80" s="328" t="str">
        <f t="shared" si="13"/>
        <v>-</v>
      </c>
      <c r="P80" s="528"/>
      <c r="Q80" s="482"/>
      <c r="R80" s="528"/>
      <c r="S80" s="499"/>
      <c r="T80" s="518"/>
      <c r="U80" s="499"/>
      <c r="V80" s="502"/>
      <c r="W80" s="519"/>
      <c r="X80" s="502"/>
      <c r="Y80" s="499"/>
      <c r="Z80" s="518"/>
      <c r="AA80" s="499"/>
      <c r="AB80" s="505"/>
      <c r="AC80" s="520"/>
      <c r="AD80" s="505"/>
      <c r="AE80" s="508"/>
      <c r="AF80" s="521"/>
      <c r="AG80" s="508"/>
      <c r="AH80" s="511"/>
      <c r="AI80" s="522"/>
      <c r="AJ80" s="511"/>
      <c r="AK80" s="514">
        <f t="shared" si="16"/>
        <v>0</v>
      </c>
      <c r="AL80" s="523"/>
      <c r="AM80" s="525"/>
      <c r="AN80" s="329"/>
      <c r="AO80" s="691"/>
    </row>
    <row r="81" spans="1:41" s="516" customFormat="1" ht="47.25" customHeight="1">
      <c r="A81" s="516">
        <f t="shared" si="14"/>
        <v>0</v>
      </c>
      <c r="B81" s="610" t="str">
        <f>IF(AND($B$7=AN81,$B$5=J81),MAX($B$8:B80)+1,"")</f>
        <v/>
      </c>
      <c r="C81" s="493" t="str">
        <f t="shared" si="9"/>
        <v/>
      </c>
      <c r="D81" s="494" t="str">
        <f t="shared" si="10"/>
        <v/>
      </c>
      <c r="E81" s="493" t="str">
        <f t="shared" si="11"/>
        <v/>
      </c>
      <c r="F81" s="495" t="str">
        <f t="shared" si="12"/>
        <v/>
      </c>
      <c r="G81" s="496" t="str">
        <f>IF($G$6=N81,MAX($G$8:G80)+1,"")</f>
        <v/>
      </c>
      <c r="H81" s="496" t="str">
        <f>IF($H$6=J81,MAX($H$8:H80)+1,"")</f>
        <v/>
      </c>
      <c r="I81" s="172" t="str">
        <f>IF(L81&lt;&gt;"",COUNTA($L$9:L81),"")</f>
        <v/>
      </c>
      <c r="J81" s="517"/>
      <c r="K81" s="172" t="str">
        <f t="shared" si="15"/>
        <v/>
      </c>
      <c r="L81" s="136"/>
      <c r="M81" s="136"/>
      <c r="N81" s="225"/>
      <c r="O81" s="328" t="str">
        <f t="shared" si="13"/>
        <v>-</v>
      </c>
      <c r="P81" s="528"/>
      <c r="Q81" s="482"/>
      <c r="R81" s="528"/>
      <c r="S81" s="499"/>
      <c r="T81" s="518"/>
      <c r="U81" s="499"/>
      <c r="V81" s="502"/>
      <c r="W81" s="519"/>
      <c r="X81" s="502"/>
      <c r="Y81" s="499"/>
      <c r="Z81" s="518"/>
      <c r="AA81" s="499"/>
      <c r="AB81" s="505"/>
      <c r="AC81" s="520"/>
      <c r="AD81" s="505"/>
      <c r="AE81" s="508"/>
      <c r="AF81" s="521"/>
      <c r="AG81" s="508"/>
      <c r="AH81" s="511"/>
      <c r="AI81" s="522"/>
      <c r="AJ81" s="511"/>
      <c r="AK81" s="514">
        <f t="shared" si="16"/>
        <v>0</v>
      </c>
      <c r="AL81" s="523"/>
      <c r="AM81" s="525"/>
      <c r="AN81" s="329"/>
      <c r="AO81" s="691"/>
    </row>
    <row r="82" spans="1:41" s="516" customFormat="1" ht="15.75">
      <c r="A82" s="516">
        <f t="shared" si="14"/>
        <v>0</v>
      </c>
      <c r="B82" s="610" t="str">
        <f>IF(AND($B$7=AN82,$B$5=J82),MAX($B$8:B81)+1,"")</f>
        <v/>
      </c>
      <c r="C82" s="493" t="str">
        <f t="shared" si="9"/>
        <v/>
      </c>
      <c r="D82" s="494" t="str">
        <f t="shared" si="10"/>
        <v/>
      </c>
      <c r="E82" s="493" t="str">
        <f t="shared" si="11"/>
        <v/>
      </c>
      <c r="F82" s="495" t="str">
        <f t="shared" si="12"/>
        <v/>
      </c>
      <c r="G82" s="496" t="str">
        <f>IF($G$6=N82,MAX($G$8:G81)+1,"")</f>
        <v/>
      </c>
      <c r="H82" s="496" t="str">
        <f>IF($H$6=J82,MAX($H$8:H81)+1,"")</f>
        <v/>
      </c>
      <c r="I82" s="172" t="str">
        <f>IF(L82&lt;&gt;"",COUNTA($L$9:L82),"")</f>
        <v/>
      </c>
      <c r="J82" s="517"/>
      <c r="K82" s="172" t="str">
        <f t="shared" si="15"/>
        <v/>
      </c>
      <c r="L82" s="136"/>
      <c r="M82" s="136"/>
      <c r="N82" s="225"/>
      <c r="O82" s="328" t="str">
        <f t="shared" si="13"/>
        <v>-</v>
      </c>
      <c r="P82" s="528"/>
      <c r="Q82" s="482"/>
      <c r="R82" s="528"/>
      <c r="S82" s="499"/>
      <c r="T82" s="518"/>
      <c r="U82" s="499"/>
      <c r="V82" s="502"/>
      <c r="W82" s="519"/>
      <c r="X82" s="502"/>
      <c r="Y82" s="499"/>
      <c r="Z82" s="518"/>
      <c r="AA82" s="499"/>
      <c r="AB82" s="505"/>
      <c r="AC82" s="520"/>
      <c r="AD82" s="505"/>
      <c r="AE82" s="508"/>
      <c r="AF82" s="521"/>
      <c r="AG82" s="508"/>
      <c r="AH82" s="511"/>
      <c r="AI82" s="522"/>
      <c r="AJ82" s="511"/>
      <c r="AK82" s="514">
        <f t="shared" si="16"/>
        <v>0</v>
      </c>
      <c r="AL82" s="523"/>
      <c r="AM82" s="525"/>
      <c r="AN82" s="329"/>
      <c r="AO82" s="691"/>
    </row>
    <row r="83" spans="1:41" s="516" customFormat="1" ht="15.75">
      <c r="A83" s="516">
        <f t="shared" si="14"/>
        <v>0</v>
      </c>
      <c r="B83" s="610" t="str">
        <f>IF(AND($B$7=AN83,$B$5=J83),MAX($B$8:B82)+1,"")</f>
        <v/>
      </c>
      <c r="C83" s="493" t="str">
        <f t="shared" si="9"/>
        <v/>
      </c>
      <c r="D83" s="494" t="str">
        <f t="shared" si="10"/>
        <v/>
      </c>
      <c r="E83" s="493" t="str">
        <f t="shared" si="11"/>
        <v/>
      </c>
      <c r="F83" s="495" t="str">
        <f t="shared" si="12"/>
        <v/>
      </c>
      <c r="G83" s="496" t="str">
        <f>IF($G$6=N83,MAX($G$8:G82)+1,"")</f>
        <v/>
      </c>
      <c r="H83" s="496" t="str">
        <f>IF($H$6=J83,MAX($H$8:H82)+1,"")</f>
        <v/>
      </c>
      <c r="I83" s="172" t="str">
        <f>IF(L83&lt;&gt;"",COUNTA($L$9:L83),"")</f>
        <v/>
      </c>
      <c r="J83" s="517"/>
      <c r="K83" s="172" t="str">
        <f t="shared" si="15"/>
        <v/>
      </c>
      <c r="L83" s="136"/>
      <c r="M83" s="136"/>
      <c r="N83" s="225"/>
      <c r="O83" s="328" t="str">
        <f t="shared" si="13"/>
        <v>-</v>
      </c>
      <c r="P83" s="528"/>
      <c r="Q83" s="482"/>
      <c r="R83" s="528"/>
      <c r="S83" s="499"/>
      <c r="T83" s="518"/>
      <c r="U83" s="499"/>
      <c r="V83" s="502"/>
      <c r="W83" s="519"/>
      <c r="X83" s="502"/>
      <c r="Y83" s="499"/>
      <c r="Z83" s="518"/>
      <c r="AA83" s="499"/>
      <c r="AB83" s="505"/>
      <c r="AC83" s="520"/>
      <c r="AD83" s="505"/>
      <c r="AE83" s="508"/>
      <c r="AF83" s="521"/>
      <c r="AG83" s="508"/>
      <c r="AH83" s="511"/>
      <c r="AI83" s="522"/>
      <c r="AJ83" s="511"/>
      <c r="AK83" s="514">
        <f t="shared" si="16"/>
        <v>0</v>
      </c>
      <c r="AL83" s="523"/>
      <c r="AM83" s="525"/>
      <c r="AN83" s="329"/>
      <c r="AO83" s="691"/>
    </row>
    <row r="84" spans="1:41" s="516" customFormat="1" ht="15.75">
      <c r="A84" s="516">
        <f t="shared" si="14"/>
        <v>0</v>
      </c>
      <c r="B84" s="610" t="str">
        <f>IF(AND($B$7=AN84,$B$5=J84),MAX($B$8:B83)+1,"")</f>
        <v/>
      </c>
      <c r="C84" s="493" t="str">
        <f t="shared" si="9"/>
        <v/>
      </c>
      <c r="D84" s="494" t="str">
        <f t="shared" si="10"/>
        <v/>
      </c>
      <c r="E84" s="493" t="str">
        <f t="shared" si="11"/>
        <v/>
      </c>
      <c r="F84" s="495" t="str">
        <f t="shared" si="12"/>
        <v/>
      </c>
      <c r="G84" s="496" t="str">
        <f>IF($G$6=N84,MAX($G$8:G83)+1,"")</f>
        <v/>
      </c>
      <c r="H84" s="496" t="str">
        <f>IF($H$6=J84,MAX($H$8:H83)+1,"")</f>
        <v/>
      </c>
      <c r="I84" s="172" t="str">
        <f>IF(L84&lt;&gt;"",COUNTA($L$9:L84),"")</f>
        <v/>
      </c>
      <c r="J84" s="517"/>
      <c r="K84" s="172" t="str">
        <f t="shared" si="15"/>
        <v/>
      </c>
      <c r="L84" s="136"/>
      <c r="M84" s="136"/>
      <c r="N84" s="225"/>
      <c r="O84" s="328" t="str">
        <f t="shared" si="13"/>
        <v>-</v>
      </c>
      <c r="P84" s="528"/>
      <c r="Q84" s="482"/>
      <c r="R84" s="528"/>
      <c r="S84" s="499"/>
      <c r="T84" s="518"/>
      <c r="U84" s="499"/>
      <c r="V84" s="502"/>
      <c r="W84" s="519"/>
      <c r="X84" s="502"/>
      <c r="Y84" s="499"/>
      <c r="Z84" s="518"/>
      <c r="AA84" s="499"/>
      <c r="AB84" s="505"/>
      <c r="AC84" s="520"/>
      <c r="AD84" s="505"/>
      <c r="AE84" s="508"/>
      <c r="AF84" s="521"/>
      <c r="AG84" s="508"/>
      <c r="AH84" s="511"/>
      <c r="AI84" s="522"/>
      <c r="AJ84" s="511"/>
      <c r="AK84" s="514">
        <f t="shared" si="16"/>
        <v>0</v>
      </c>
      <c r="AL84" s="523"/>
      <c r="AM84" s="525"/>
      <c r="AN84" s="329"/>
      <c r="AO84" s="691"/>
    </row>
    <row r="85" spans="1:41" s="516" customFormat="1" ht="15.75">
      <c r="A85" s="516">
        <f t="shared" si="14"/>
        <v>0</v>
      </c>
      <c r="B85" s="610" t="str">
        <f>IF(AND($B$7=AN85,$B$5=J85),MAX($B$8:B84)+1,"")</f>
        <v/>
      </c>
      <c r="C85" s="493" t="str">
        <f t="shared" si="9"/>
        <v/>
      </c>
      <c r="D85" s="494" t="str">
        <f t="shared" si="10"/>
        <v/>
      </c>
      <c r="E85" s="493" t="str">
        <f t="shared" si="11"/>
        <v/>
      </c>
      <c r="F85" s="495" t="str">
        <f t="shared" si="12"/>
        <v/>
      </c>
      <c r="G85" s="496" t="str">
        <f>IF($G$6=N85,MAX($G$8:G84)+1,"")</f>
        <v/>
      </c>
      <c r="H85" s="496" t="str">
        <f>IF($H$6=J85,MAX($H$8:H84)+1,"")</f>
        <v/>
      </c>
      <c r="I85" s="172" t="str">
        <f>IF(L85&lt;&gt;"",COUNTA($L$9:L85),"")</f>
        <v/>
      </c>
      <c r="J85" s="517"/>
      <c r="K85" s="172" t="str">
        <f t="shared" si="15"/>
        <v/>
      </c>
      <c r="L85" s="136"/>
      <c r="M85" s="136"/>
      <c r="N85" s="225"/>
      <c r="O85" s="328" t="str">
        <f t="shared" si="13"/>
        <v>-</v>
      </c>
      <c r="P85" s="528"/>
      <c r="Q85" s="482"/>
      <c r="R85" s="528"/>
      <c r="S85" s="499"/>
      <c r="T85" s="518"/>
      <c r="U85" s="499"/>
      <c r="V85" s="502"/>
      <c r="W85" s="519"/>
      <c r="X85" s="502"/>
      <c r="Y85" s="499"/>
      <c r="Z85" s="518"/>
      <c r="AA85" s="499"/>
      <c r="AB85" s="505"/>
      <c r="AC85" s="520"/>
      <c r="AD85" s="505"/>
      <c r="AE85" s="508"/>
      <c r="AF85" s="521"/>
      <c r="AG85" s="508"/>
      <c r="AH85" s="511"/>
      <c r="AI85" s="522"/>
      <c r="AJ85" s="511"/>
      <c r="AK85" s="514">
        <f t="shared" si="16"/>
        <v>0</v>
      </c>
      <c r="AL85" s="523"/>
      <c r="AM85" s="525"/>
      <c r="AN85" s="329"/>
      <c r="AO85" s="691"/>
    </row>
    <row r="86" spans="1:41" s="516" customFormat="1" ht="15.75">
      <c r="A86" s="516">
        <f t="shared" si="14"/>
        <v>0</v>
      </c>
      <c r="B86" s="610" t="str">
        <f>IF(AND($B$7=AN86,$B$5=J86),MAX($B$8:B85)+1,"")</f>
        <v/>
      </c>
      <c r="C86" s="493" t="str">
        <f t="shared" si="9"/>
        <v/>
      </c>
      <c r="D86" s="494" t="str">
        <f t="shared" si="10"/>
        <v/>
      </c>
      <c r="E86" s="493" t="str">
        <f t="shared" si="11"/>
        <v/>
      </c>
      <c r="F86" s="495" t="str">
        <f t="shared" si="12"/>
        <v/>
      </c>
      <c r="G86" s="496" t="str">
        <f>IF($G$6=N86,MAX($G$8:G85)+1,"")</f>
        <v/>
      </c>
      <c r="H86" s="496" t="str">
        <f>IF($H$6=J86,MAX($H$8:H85)+1,"")</f>
        <v/>
      </c>
      <c r="I86" s="172" t="str">
        <f>IF(L86&lt;&gt;"",COUNTA($L$9:L86),"")</f>
        <v/>
      </c>
      <c r="J86" s="517"/>
      <c r="K86" s="172" t="str">
        <f t="shared" si="15"/>
        <v/>
      </c>
      <c r="L86" s="136"/>
      <c r="M86" s="136"/>
      <c r="N86" s="225"/>
      <c r="O86" s="328" t="str">
        <f t="shared" si="13"/>
        <v>-</v>
      </c>
      <c r="P86" s="528"/>
      <c r="Q86" s="482"/>
      <c r="R86" s="528"/>
      <c r="S86" s="499"/>
      <c r="T86" s="518"/>
      <c r="U86" s="499"/>
      <c r="V86" s="502"/>
      <c r="W86" s="519"/>
      <c r="X86" s="502"/>
      <c r="Y86" s="499"/>
      <c r="Z86" s="518"/>
      <c r="AA86" s="499"/>
      <c r="AB86" s="505"/>
      <c r="AC86" s="520"/>
      <c r="AD86" s="505"/>
      <c r="AE86" s="508"/>
      <c r="AF86" s="521"/>
      <c r="AG86" s="508"/>
      <c r="AH86" s="511"/>
      <c r="AI86" s="522"/>
      <c r="AJ86" s="511"/>
      <c r="AK86" s="514">
        <f t="shared" si="16"/>
        <v>0</v>
      </c>
      <c r="AL86" s="523"/>
      <c r="AM86" s="525"/>
      <c r="AN86" s="329"/>
      <c r="AO86" s="691"/>
    </row>
    <row r="87" spans="1:41" s="516" customFormat="1" ht="15.75">
      <c r="A87" s="516">
        <f t="shared" si="14"/>
        <v>0</v>
      </c>
      <c r="B87" s="610" t="str">
        <f>IF(AND($B$7=AN87,$B$5=J87),MAX($B$8:B86)+1,"")</f>
        <v/>
      </c>
      <c r="C87" s="493" t="str">
        <f t="shared" si="9"/>
        <v/>
      </c>
      <c r="D87" s="494" t="str">
        <f t="shared" si="10"/>
        <v/>
      </c>
      <c r="E87" s="493" t="str">
        <f t="shared" si="11"/>
        <v/>
      </c>
      <c r="F87" s="495" t="str">
        <f t="shared" si="12"/>
        <v/>
      </c>
      <c r="G87" s="496" t="str">
        <f>IF($G$6=N87,MAX($G$8:G86)+1,"")</f>
        <v/>
      </c>
      <c r="H87" s="496" t="str">
        <f>IF($H$6=J87,MAX($H$8:H86)+1,"")</f>
        <v/>
      </c>
      <c r="I87" s="172" t="str">
        <f>IF(L87&lt;&gt;"",COUNTA($L$9:L87),"")</f>
        <v/>
      </c>
      <c r="J87" s="517"/>
      <c r="K87" s="172" t="str">
        <f t="shared" si="15"/>
        <v/>
      </c>
      <c r="L87" s="136"/>
      <c r="M87" s="136"/>
      <c r="N87" s="225"/>
      <c r="O87" s="328" t="str">
        <f t="shared" si="13"/>
        <v>-</v>
      </c>
      <c r="P87" s="528"/>
      <c r="Q87" s="482"/>
      <c r="R87" s="528"/>
      <c r="S87" s="499"/>
      <c r="T87" s="518"/>
      <c r="U87" s="499"/>
      <c r="V87" s="502"/>
      <c r="W87" s="519"/>
      <c r="X87" s="502"/>
      <c r="Y87" s="499"/>
      <c r="Z87" s="518"/>
      <c r="AA87" s="499"/>
      <c r="AB87" s="505"/>
      <c r="AC87" s="520"/>
      <c r="AD87" s="505"/>
      <c r="AE87" s="508"/>
      <c r="AF87" s="521"/>
      <c r="AG87" s="508"/>
      <c r="AH87" s="511"/>
      <c r="AI87" s="522"/>
      <c r="AJ87" s="511"/>
      <c r="AK87" s="514">
        <f t="shared" si="16"/>
        <v>0</v>
      </c>
      <c r="AL87" s="523"/>
      <c r="AM87" s="525"/>
      <c r="AN87" s="329"/>
      <c r="AO87" s="691"/>
    </row>
    <row r="88" spans="1:41" s="812" customFormat="1" ht="15.75">
      <c r="A88" s="516">
        <f t="shared" si="14"/>
        <v>0</v>
      </c>
      <c r="B88" s="610" t="str">
        <f>IF(AND($B$7=AN88,$B$5=J88),MAX($B$8:B87)+1,"")</f>
        <v/>
      </c>
      <c r="C88" s="493" t="str">
        <f t="shared" si="9"/>
        <v/>
      </c>
      <c r="D88" s="494" t="str">
        <f t="shared" si="10"/>
        <v/>
      </c>
      <c r="E88" s="493" t="str">
        <f t="shared" si="11"/>
        <v/>
      </c>
      <c r="F88" s="495" t="str">
        <f t="shared" si="12"/>
        <v/>
      </c>
      <c r="G88" s="496" t="str">
        <f>IF($G$6=N88,MAX($G$8:G87)+1,"")</f>
        <v/>
      </c>
      <c r="H88" s="496" t="str">
        <f>IF($H$6=J88,MAX($H$8:H87)+1,"")</f>
        <v/>
      </c>
      <c r="I88" s="813" t="str">
        <f>IF(L88&lt;&gt;"",COUNTA($L$9:L88),"")</f>
        <v/>
      </c>
      <c r="J88" s="814"/>
      <c r="K88" s="813" t="str">
        <f t="shared" si="15"/>
        <v/>
      </c>
      <c r="L88" s="815"/>
      <c r="M88" s="815"/>
      <c r="N88" s="816"/>
      <c r="O88" s="817" t="str">
        <f t="shared" si="13"/>
        <v>-</v>
      </c>
      <c r="P88" s="818"/>
      <c r="Q88" s="819"/>
      <c r="R88" s="818"/>
      <c r="S88" s="818"/>
      <c r="T88" s="819"/>
      <c r="U88" s="818"/>
      <c r="V88" s="818"/>
      <c r="W88" s="819"/>
      <c r="X88" s="818"/>
      <c r="Y88" s="818"/>
      <c r="Z88" s="819"/>
      <c r="AA88" s="818"/>
      <c r="AB88" s="818"/>
      <c r="AC88" s="819"/>
      <c r="AD88" s="818"/>
      <c r="AE88" s="818"/>
      <c r="AF88" s="819"/>
      <c r="AG88" s="818"/>
      <c r="AH88" s="818"/>
      <c r="AI88" s="819"/>
      <c r="AJ88" s="818"/>
      <c r="AK88" s="514">
        <f t="shared" si="16"/>
        <v>0</v>
      </c>
      <c r="AL88" s="820"/>
      <c r="AM88" s="821"/>
      <c r="AN88" s="822"/>
      <c r="AO88" s="822"/>
    </row>
    <row r="89" spans="1:41" s="516" customFormat="1" ht="15.75">
      <c r="A89" s="516">
        <f t="shared" si="14"/>
        <v>0</v>
      </c>
      <c r="B89" s="610" t="str">
        <f>IF(AND($B$7=AN89,$B$5=J89),MAX($B$8:B88)+1,"")</f>
        <v/>
      </c>
      <c r="C89" s="493" t="str">
        <f t="shared" si="9"/>
        <v/>
      </c>
      <c r="D89" s="494" t="str">
        <f t="shared" si="10"/>
        <v/>
      </c>
      <c r="E89" s="493" t="str">
        <f t="shared" si="11"/>
        <v/>
      </c>
      <c r="F89" s="495" t="str">
        <f t="shared" si="12"/>
        <v/>
      </c>
      <c r="G89" s="496" t="str">
        <f>IF($G$6=N89,MAX($G$8:G88)+1,"")</f>
        <v/>
      </c>
      <c r="H89" s="496" t="str">
        <f>IF($H$6=J89,MAX($H$8:H88)+1,"")</f>
        <v/>
      </c>
      <c r="I89" s="172" t="str">
        <f>IF(L89&lt;&gt;"",COUNTA($L$9:L89),"")</f>
        <v/>
      </c>
      <c r="J89" s="517"/>
      <c r="K89" s="172" t="str">
        <f t="shared" si="15"/>
        <v/>
      </c>
      <c r="L89" s="136"/>
      <c r="M89" s="136"/>
      <c r="N89" s="225"/>
      <c r="O89" s="328" t="str">
        <f t="shared" si="13"/>
        <v>-</v>
      </c>
      <c r="P89" s="528"/>
      <c r="Q89" s="482"/>
      <c r="R89" s="528"/>
      <c r="S89" s="499"/>
      <c r="T89" s="518"/>
      <c r="U89" s="499"/>
      <c r="V89" s="502"/>
      <c r="W89" s="519"/>
      <c r="X89" s="502"/>
      <c r="Y89" s="499"/>
      <c r="Z89" s="518"/>
      <c r="AA89" s="499"/>
      <c r="AB89" s="505"/>
      <c r="AC89" s="520"/>
      <c r="AD89" s="505"/>
      <c r="AE89" s="508"/>
      <c r="AF89" s="521"/>
      <c r="AG89" s="508"/>
      <c r="AH89" s="511"/>
      <c r="AI89" s="522"/>
      <c r="AJ89" s="511"/>
      <c r="AK89" s="514">
        <f t="shared" si="16"/>
        <v>0</v>
      </c>
      <c r="AL89" s="523"/>
      <c r="AM89" s="525"/>
      <c r="AN89" s="329"/>
      <c r="AO89" s="691"/>
    </row>
    <row r="90" spans="1:41" s="516" customFormat="1" ht="15.75">
      <c r="A90" s="516">
        <f t="shared" si="14"/>
        <v>0</v>
      </c>
      <c r="B90" s="610" t="str">
        <f>IF(AND($B$7=AN90,$B$5=J90),MAX($B$8:B89)+1,"")</f>
        <v/>
      </c>
      <c r="C90" s="493" t="str">
        <f t="shared" si="9"/>
        <v/>
      </c>
      <c r="D90" s="494" t="str">
        <f t="shared" si="10"/>
        <v/>
      </c>
      <c r="E90" s="493" t="str">
        <f t="shared" si="11"/>
        <v/>
      </c>
      <c r="F90" s="495" t="str">
        <f t="shared" si="12"/>
        <v/>
      </c>
      <c r="G90" s="496" t="str">
        <f>IF($G$6=N90,MAX($G$8:G89)+1,"")</f>
        <v/>
      </c>
      <c r="H90" s="496" t="str">
        <f>IF($H$6=J90,MAX($H$8:H89)+1,"")</f>
        <v/>
      </c>
      <c r="I90" s="172" t="str">
        <f>IF(L90&lt;&gt;"",COUNTA($L$9:L90),"")</f>
        <v/>
      </c>
      <c r="J90" s="517"/>
      <c r="K90" s="172" t="str">
        <f t="shared" si="15"/>
        <v/>
      </c>
      <c r="L90" s="136"/>
      <c r="M90" s="136"/>
      <c r="N90" s="225"/>
      <c r="O90" s="328" t="str">
        <f t="shared" si="13"/>
        <v>-</v>
      </c>
      <c r="P90" s="528"/>
      <c r="Q90" s="482"/>
      <c r="R90" s="528"/>
      <c r="S90" s="499"/>
      <c r="T90" s="518"/>
      <c r="U90" s="499"/>
      <c r="V90" s="502"/>
      <c r="W90" s="519"/>
      <c r="X90" s="502"/>
      <c r="Y90" s="499"/>
      <c r="Z90" s="518"/>
      <c r="AA90" s="499"/>
      <c r="AB90" s="505"/>
      <c r="AC90" s="520"/>
      <c r="AD90" s="505"/>
      <c r="AE90" s="508"/>
      <c r="AF90" s="521"/>
      <c r="AG90" s="508"/>
      <c r="AH90" s="511"/>
      <c r="AI90" s="522"/>
      <c r="AJ90" s="511"/>
      <c r="AK90" s="514">
        <f t="shared" si="16"/>
        <v>0</v>
      </c>
      <c r="AL90" s="523"/>
      <c r="AM90" s="525"/>
      <c r="AN90" s="329"/>
      <c r="AO90" s="691"/>
    </row>
    <row r="91" spans="1:41" s="516" customFormat="1" ht="15.75">
      <c r="A91" s="516">
        <f t="shared" si="14"/>
        <v>0</v>
      </c>
      <c r="B91" s="610" t="str">
        <f>IF(AND($B$7=AN91,$B$5=J91),MAX($B$8:B90)+1,"")</f>
        <v/>
      </c>
      <c r="C91" s="493" t="str">
        <f t="shared" si="9"/>
        <v/>
      </c>
      <c r="D91" s="494" t="str">
        <f t="shared" si="10"/>
        <v/>
      </c>
      <c r="E91" s="493" t="str">
        <f t="shared" si="11"/>
        <v/>
      </c>
      <c r="F91" s="495" t="str">
        <f t="shared" si="12"/>
        <v/>
      </c>
      <c r="G91" s="496" t="str">
        <f>IF($G$6=N91,MAX($G$8:G90)+1,"")</f>
        <v/>
      </c>
      <c r="H91" s="496" t="str">
        <f>IF($H$6=J91,MAX($H$8:H90)+1,"")</f>
        <v/>
      </c>
      <c r="I91" s="172" t="str">
        <f>IF(L91&lt;&gt;"",COUNTA($L$9:L91),"")</f>
        <v/>
      </c>
      <c r="J91" s="517"/>
      <c r="K91" s="172" t="str">
        <f t="shared" si="15"/>
        <v/>
      </c>
      <c r="L91" s="136"/>
      <c r="M91" s="136"/>
      <c r="N91" s="225"/>
      <c r="O91" s="328" t="str">
        <f t="shared" si="13"/>
        <v>-</v>
      </c>
      <c r="P91" s="528"/>
      <c r="Q91" s="482"/>
      <c r="R91" s="528"/>
      <c r="S91" s="499"/>
      <c r="T91" s="518"/>
      <c r="U91" s="499"/>
      <c r="V91" s="502"/>
      <c r="W91" s="519"/>
      <c r="X91" s="502"/>
      <c r="Y91" s="499"/>
      <c r="Z91" s="518"/>
      <c r="AA91" s="499"/>
      <c r="AB91" s="505"/>
      <c r="AC91" s="520"/>
      <c r="AD91" s="505"/>
      <c r="AE91" s="508"/>
      <c r="AF91" s="521"/>
      <c r="AG91" s="508"/>
      <c r="AH91" s="511"/>
      <c r="AI91" s="522"/>
      <c r="AJ91" s="511"/>
      <c r="AK91" s="514">
        <f t="shared" si="16"/>
        <v>0</v>
      </c>
      <c r="AL91" s="523"/>
      <c r="AM91" s="525"/>
      <c r="AN91" s="329"/>
      <c r="AO91" s="691"/>
    </row>
    <row r="92" spans="1:41" s="516" customFormat="1" ht="15.75">
      <c r="A92" s="516">
        <f t="shared" si="14"/>
        <v>0</v>
      </c>
      <c r="B92" s="610" t="str">
        <f>IF(AND($B$7=AN92,$B$5=J92),MAX($B$8:B91)+1,"")</f>
        <v/>
      </c>
      <c r="C92" s="493" t="str">
        <f t="shared" si="9"/>
        <v/>
      </c>
      <c r="D92" s="494" t="str">
        <f t="shared" si="10"/>
        <v/>
      </c>
      <c r="E92" s="493" t="str">
        <f t="shared" si="11"/>
        <v/>
      </c>
      <c r="F92" s="495" t="str">
        <f t="shared" si="12"/>
        <v/>
      </c>
      <c r="G92" s="496" t="str">
        <f>IF($G$6=N92,MAX($G$8:G91)+1,"")</f>
        <v/>
      </c>
      <c r="H92" s="496" t="str">
        <f>IF($H$6=J92,MAX($H$8:H91)+1,"")</f>
        <v/>
      </c>
      <c r="I92" s="172" t="str">
        <f>IF(L92&lt;&gt;"",COUNTA($L$9:L92),"")</f>
        <v/>
      </c>
      <c r="J92" s="517"/>
      <c r="K92" s="172" t="str">
        <f t="shared" si="15"/>
        <v/>
      </c>
      <c r="L92" s="136"/>
      <c r="M92" s="136"/>
      <c r="N92" s="225"/>
      <c r="O92" s="328" t="str">
        <f t="shared" si="13"/>
        <v>-</v>
      </c>
      <c r="P92" s="528"/>
      <c r="Q92" s="482"/>
      <c r="R92" s="528"/>
      <c r="S92" s="499"/>
      <c r="T92" s="518"/>
      <c r="U92" s="499"/>
      <c r="V92" s="502"/>
      <c r="W92" s="519"/>
      <c r="X92" s="502"/>
      <c r="Y92" s="499"/>
      <c r="Z92" s="518"/>
      <c r="AA92" s="499"/>
      <c r="AB92" s="505"/>
      <c r="AC92" s="520"/>
      <c r="AD92" s="505"/>
      <c r="AE92" s="508"/>
      <c r="AF92" s="521"/>
      <c r="AG92" s="508"/>
      <c r="AH92" s="511"/>
      <c r="AI92" s="522"/>
      <c r="AJ92" s="511"/>
      <c r="AK92" s="514">
        <f t="shared" si="16"/>
        <v>0</v>
      </c>
      <c r="AL92" s="523"/>
      <c r="AM92" s="525"/>
      <c r="AN92" s="329"/>
      <c r="AO92" s="691"/>
    </row>
    <row r="93" spans="1:41" s="516" customFormat="1" ht="15.75">
      <c r="A93" s="516">
        <f t="shared" si="14"/>
        <v>0</v>
      </c>
      <c r="B93" s="610" t="str">
        <f>IF(AND($B$7=AN93,$B$5=J93),MAX($B$8:B92)+1,"")</f>
        <v/>
      </c>
      <c r="C93" s="493" t="str">
        <f t="shared" si="9"/>
        <v/>
      </c>
      <c r="D93" s="494" t="str">
        <f t="shared" si="10"/>
        <v/>
      </c>
      <c r="E93" s="493" t="str">
        <f t="shared" si="11"/>
        <v/>
      </c>
      <c r="F93" s="495" t="str">
        <f t="shared" si="12"/>
        <v/>
      </c>
      <c r="G93" s="496" t="str">
        <f>IF($G$6=N93,MAX($G$8:G92)+1,"")</f>
        <v/>
      </c>
      <c r="H93" s="496" t="str">
        <f>IF($H$6=J93,MAX($H$8:H92)+1,"")</f>
        <v/>
      </c>
      <c r="I93" s="172" t="str">
        <f>IF(L93&lt;&gt;"",COUNTA($L$9:L93),"")</f>
        <v/>
      </c>
      <c r="J93" s="517"/>
      <c r="K93" s="172" t="str">
        <f t="shared" si="15"/>
        <v/>
      </c>
      <c r="L93" s="136"/>
      <c r="M93" s="136"/>
      <c r="N93" s="225"/>
      <c r="O93" s="328" t="str">
        <f t="shared" si="13"/>
        <v>-</v>
      </c>
      <c r="P93" s="528"/>
      <c r="Q93" s="482"/>
      <c r="R93" s="528"/>
      <c r="S93" s="499"/>
      <c r="T93" s="518"/>
      <c r="U93" s="499"/>
      <c r="V93" s="502"/>
      <c r="W93" s="519"/>
      <c r="X93" s="502"/>
      <c r="Y93" s="499"/>
      <c r="Z93" s="518"/>
      <c r="AA93" s="499"/>
      <c r="AB93" s="505"/>
      <c r="AC93" s="520"/>
      <c r="AD93" s="505"/>
      <c r="AE93" s="508"/>
      <c r="AF93" s="521"/>
      <c r="AG93" s="508"/>
      <c r="AH93" s="511"/>
      <c r="AI93" s="522"/>
      <c r="AJ93" s="511"/>
      <c r="AK93" s="514">
        <f t="shared" si="16"/>
        <v>0</v>
      </c>
      <c r="AL93" s="523"/>
      <c r="AM93" s="525"/>
      <c r="AN93" s="329"/>
      <c r="AO93" s="691"/>
    </row>
    <row r="94" spans="1:41" s="516" customFormat="1" ht="15.75">
      <c r="A94" s="516">
        <f t="shared" si="14"/>
        <v>0</v>
      </c>
      <c r="B94" s="610" t="str">
        <f>IF(AND($B$7=AN94,$B$5=J94),MAX($B$8:B93)+1,"")</f>
        <v/>
      </c>
      <c r="C94" s="493" t="str">
        <f t="shared" si="9"/>
        <v/>
      </c>
      <c r="D94" s="494" t="str">
        <f t="shared" si="10"/>
        <v/>
      </c>
      <c r="E94" s="493" t="str">
        <f t="shared" si="11"/>
        <v/>
      </c>
      <c r="F94" s="495" t="str">
        <f t="shared" si="12"/>
        <v/>
      </c>
      <c r="G94" s="496" t="str">
        <f>IF($G$6=N94,MAX($G$8:G93)+1,"")</f>
        <v/>
      </c>
      <c r="H94" s="496" t="str">
        <f>IF($H$6=J94,MAX($H$8:H93)+1,"")</f>
        <v/>
      </c>
      <c r="I94" s="172" t="str">
        <f>IF(L94&lt;&gt;"",COUNTA($L$9:L94),"")</f>
        <v/>
      </c>
      <c r="J94" s="517"/>
      <c r="K94" s="172" t="str">
        <f t="shared" si="15"/>
        <v/>
      </c>
      <c r="L94" s="136"/>
      <c r="M94" s="136"/>
      <c r="N94" s="225"/>
      <c r="O94" s="328" t="str">
        <f t="shared" si="13"/>
        <v>-</v>
      </c>
      <c r="P94" s="528"/>
      <c r="Q94" s="482"/>
      <c r="R94" s="528"/>
      <c r="S94" s="499"/>
      <c r="T94" s="518"/>
      <c r="U94" s="499"/>
      <c r="V94" s="502"/>
      <c r="W94" s="519"/>
      <c r="X94" s="502"/>
      <c r="Y94" s="499"/>
      <c r="Z94" s="518"/>
      <c r="AA94" s="499"/>
      <c r="AB94" s="505"/>
      <c r="AC94" s="520"/>
      <c r="AD94" s="505"/>
      <c r="AE94" s="508"/>
      <c r="AF94" s="521"/>
      <c r="AG94" s="508"/>
      <c r="AH94" s="511"/>
      <c r="AI94" s="522"/>
      <c r="AJ94" s="511"/>
      <c r="AK94" s="514">
        <f t="shared" si="16"/>
        <v>0</v>
      </c>
      <c r="AL94" s="523"/>
      <c r="AM94" s="525"/>
      <c r="AN94" s="329"/>
      <c r="AO94" s="691"/>
    </row>
    <row r="95" spans="1:41" s="516" customFormat="1" ht="15.75">
      <c r="A95" s="516">
        <f t="shared" si="14"/>
        <v>0</v>
      </c>
      <c r="B95" s="610" t="str">
        <f>IF(AND($B$7=AN95,$B$5=J95),MAX($B$8:B94)+1,"")</f>
        <v/>
      </c>
      <c r="C95" s="493" t="str">
        <f t="shared" si="9"/>
        <v/>
      </c>
      <c r="D95" s="494" t="str">
        <f t="shared" si="10"/>
        <v/>
      </c>
      <c r="E95" s="493" t="str">
        <f t="shared" si="11"/>
        <v/>
      </c>
      <c r="F95" s="495" t="str">
        <f t="shared" si="12"/>
        <v/>
      </c>
      <c r="G95" s="496" t="str">
        <f>IF($G$6=N95,MAX($G$8:G94)+1,"")</f>
        <v/>
      </c>
      <c r="H95" s="496" t="str">
        <f>IF($H$6=J95,MAX($H$8:H94)+1,"")</f>
        <v/>
      </c>
      <c r="I95" s="172" t="str">
        <f>IF(L95&lt;&gt;"",COUNTA($L$9:L95),"")</f>
        <v/>
      </c>
      <c r="J95" s="517"/>
      <c r="K95" s="172" t="str">
        <f t="shared" si="15"/>
        <v/>
      </c>
      <c r="L95" s="136"/>
      <c r="N95" s="225"/>
      <c r="O95" s="328" t="str">
        <f t="shared" si="13"/>
        <v>-</v>
      </c>
      <c r="P95" s="528"/>
      <c r="Q95" s="482"/>
      <c r="R95" s="528"/>
      <c r="S95" s="499"/>
      <c r="T95" s="518"/>
      <c r="U95" s="499"/>
      <c r="V95" s="502"/>
      <c r="W95" s="519"/>
      <c r="X95" s="502"/>
      <c r="Y95" s="499"/>
      <c r="Z95" s="518"/>
      <c r="AA95" s="499"/>
      <c r="AB95" s="505"/>
      <c r="AC95" s="520"/>
      <c r="AD95" s="505"/>
      <c r="AE95" s="508"/>
      <c r="AF95" s="521"/>
      <c r="AG95" s="508"/>
      <c r="AH95" s="511"/>
      <c r="AI95" s="522"/>
      <c r="AJ95" s="511"/>
      <c r="AK95" s="514">
        <f t="shared" si="16"/>
        <v>0</v>
      </c>
      <c r="AL95" s="523"/>
      <c r="AM95" s="525"/>
      <c r="AN95" s="329"/>
      <c r="AO95" s="691"/>
    </row>
    <row r="96" spans="1:41" s="516" customFormat="1" ht="15.75">
      <c r="A96" s="516">
        <f t="shared" si="14"/>
        <v>0</v>
      </c>
      <c r="B96" s="610" t="str">
        <f>IF(AND($B$7=AN96,$B$5=J96),MAX($B$8:B95)+1,"")</f>
        <v/>
      </c>
      <c r="C96" s="493" t="str">
        <f t="shared" si="9"/>
        <v/>
      </c>
      <c r="D96" s="494" t="str">
        <f t="shared" si="10"/>
        <v/>
      </c>
      <c r="E96" s="493" t="str">
        <f t="shared" si="11"/>
        <v/>
      </c>
      <c r="F96" s="495" t="str">
        <f t="shared" si="12"/>
        <v/>
      </c>
      <c r="G96" s="496" t="str">
        <f>IF($G$6=N96,MAX($G$8:G95)+1,"")</f>
        <v/>
      </c>
      <c r="H96" s="496" t="str">
        <f>IF($H$6=J96,MAX($H$8:H95)+1,"")</f>
        <v/>
      </c>
      <c r="I96" s="172" t="str">
        <f>IF(L96&lt;&gt;"",COUNTA($L$9:L96),"")</f>
        <v/>
      </c>
      <c r="J96" s="517"/>
      <c r="K96" s="172" t="str">
        <f t="shared" si="15"/>
        <v/>
      </c>
      <c r="L96" s="136"/>
      <c r="M96" s="136"/>
      <c r="N96" s="225"/>
      <c r="O96" s="328" t="str">
        <f t="shared" si="13"/>
        <v>-</v>
      </c>
      <c r="P96" s="528"/>
      <c r="Q96" s="482"/>
      <c r="R96" s="528"/>
      <c r="S96" s="499"/>
      <c r="T96" s="518"/>
      <c r="U96" s="499"/>
      <c r="V96" s="502"/>
      <c r="W96" s="519"/>
      <c r="X96" s="502"/>
      <c r="Y96" s="499"/>
      <c r="Z96" s="518"/>
      <c r="AA96" s="499"/>
      <c r="AB96" s="505"/>
      <c r="AC96" s="520"/>
      <c r="AD96" s="505"/>
      <c r="AE96" s="508"/>
      <c r="AF96" s="521"/>
      <c r="AG96" s="508"/>
      <c r="AH96" s="511"/>
      <c r="AI96" s="522"/>
      <c r="AJ96" s="511"/>
      <c r="AK96" s="514">
        <f t="shared" si="16"/>
        <v>0</v>
      </c>
      <c r="AL96" s="523"/>
      <c r="AM96" s="525"/>
      <c r="AN96" s="329"/>
      <c r="AO96" s="691"/>
    </row>
    <row r="97" spans="1:41" s="516" customFormat="1" ht="15.75">
      <c r="A97" s="516">
        <f t="shared" si="14"/>
        <v>0</v>
      </c>
      <c r="B97" s="610" t="str">
        <f>IF(AND($B$7=AN97,$B$5=J97),MAX($B$8:B96)+1,"")</f>
        <v/>
      </c>
      <c r="C97" s="493" t="str">
        <f t="shared" si="9"/>
        <v/>
      </c>
      <c r="D97" s="494" t="str">
        <f t="shared" si="10"/>
        <v/>
      </c>
      <c r="E97" s="493" t="str">
        <f t="shared" si="11"/>
        <v/>
      </c>
      <c r="F97" s="495" t="str">
        <f t="shared" si="12"/>
        <v/>
      </c>
      <c r="G97" s="496" t="str">
        <f>IF($G$6=N97,MAX($G$8:G96)+1,"")</f>
        <v/>
      </c>
      <c r="H97" s="496" t="str">
        <f>IF($H$6=J97,MAX($H$8:H96)+1,"")</f>
        <v/>
      </c>
      <c r="I97" s="172" t="str">
        <f>IF(L97&lt;&gt;"",COUNTA($L$9:L97),"")</f>
        <v/>
      </c>
      <c r="J97" s="517"/>
      <c r="K97" s="172" t="str">
        <f t="shared" si="15"/>
        <v/>
      </c>
      <c r="L97" s="136"/>
      <c r="M97" s="136"/>
      <c r="N97" s="225"/>
      <c r="O97" s="328" t="str">
        <f t="shared" si="13"/>
        <v>-</v>
      </c>
      <c r="P97" s="528"/>
      <c r="Q97" s="482"/>
      <c r="R97" s="528"/>
      <c r="S97" s="499"/>
      <c r="T97" s="518"/>
      <c r="U97" s="499"/>
      <c r="V97" s="502"/>
      <c r="W97" s="519"/>
      <c r="X97" s="502"/>
      <c r="Y97" s="499"/>
      <c r="Z97" s="518"/>
      <c r="AA97" s="499"/>
      <c r="AB97" s="505"/>
      <c r="AC97" s="520"/>
      <c r="AD97" s="505"/>
      <c r="AE97" s="508"/>
      <c r="AF97" s="521"/>
      <c r="AG97" s="508"/>
      <c r="AH97" s="511"/>
      <c r="AI97" s="522"/>
      <c r="AJ97" s="511"/>
      <c r="AK97" s="514">
        <f t="shared" si="16"/>
        <v>0</v>
      </c>
      <c r="AL97" s="523"/>
      <c r="AM97" s="525"/>
      <c r="AN97" s="329"/>
      <c r="AO97" s="691"/>
    </row>
    <row r="98" spans="1:41" s="516" customFormat="1" ht="15.75">
      <c r="A98" s="516">
        <f t="shared" si="14"/>
        <v>0</v>
      </c>
      <c r="B98" s="610" t="str">
        <f>IF(AND($B$7=AN98,$B$5=J98),MAX($B$8:B97)+1,"")</f>
        <v/>
      </c>
      <c r="C98" s="493" t="str">
        <f t="shared" si="9"/>
        <v/>
      </c>
      <c r="D98" s="494" t="str">
        <f t="shared" si="10"/>
        <v/>
      </c>
      <c r="E98" s="493" t="str">
        <f t="shared" si="11"/>
        <v/>
      </c>
      <c r="F98" s="495" t="str">
        <f t="shared" si="12"/>
        <v/>
      </c>
      <c r="G98" s="496" t="str">
        <f>IF($G$6=N98,MAX($G$8:G97)+1,"")</f>
        <v/>
      </c>
      <c r="H98" s="496" t="str">
        <f>IF($H$6=J98,MAX($H$8:H97)+1,"")</f>
        <v/>
      </c>
      <c r="I98" s="172" t="str">
        <f>IF(L98&lt;&gt;"",COUNTA($L$9:L98),"")</f>
        <v/>
      </c>
      <c r="J98" s="517"/>
      <c r="K98" s="172" t="str">
        <f t="shared" si="15"/>
        <v/>
      </c>
      <c r="L98" s="136"/>
      <c r="M98" s="136"/>
      <c r="N98" s="225"/>
      <c r="O98" s="328" t="str">
        <f t="shared" si="13"/>
        <v>-</v>
      </c>
      <c r="P98" s="528"/>
      <c r="Q98" s="482"/>
      <c r="R98" s="528"/>
      <c r="S98" s="499"/>
      <c r="T98" s="518"/>
      <c r="U98" s="499"/>
      <c r="V98" s="502"/>
      <c r="W98" s="519"/>
      <c r="X98" s="502"/>
      <c r="Y98" s="499"/>
      <c r="Z98" s="518"/>
      <c r="AA98" s="499"/>
      <c r="AB98" s="505"/>
      <c r="AC98" s="520"/>
      <c r="AD98" s="505"/>
      <c r="AE98" s="508"/>
      <c r="AF98" s="521"/>
      <c r="AG98" s="508"/>
      <c r="AH98" s="511"/>
      <c r="AI98" s="522"/>
      <c r="AJ98" s="511"/>
      <c r="AK98" s="514">
        <f t="shared" si="16"/>
        <v>0</v>
      </c>
      <c r="AL98" s="523"/>
      <c r="AM98" s="525"/>
      <c r="AN98" s="329"/>
      <c r="AO98" s="691"/>
    </row>
    <row r="99" spans="1:41" s="516" customFormat="1" ht="15.75">
      <c r="A99" s="516">
        <f t="shared" si="14"/>
        <v>0</v>
      </c>
      <c r="B99" s="610" t="str">
        <f>IF(AND($B$7=AN99,$B$5=J99),MAX($B$8:B98)+1,"")</f>
        <v/>
      </c>
      <c r="C99" s="493" t="str">
        <f t="shared" si="9"/>
        <v/>
      </c>
      <c r="D99" s="494" t="str">
        <f t="shared" si="10"/>
        <v/>
      </c>
      <c r="E99" s="493" t="str">
        <f t="shared" si="11"/>
        <v/>
      </c>
      <c r="F99" s="495" t="str">
        <f t="shared" si="12"/>
        <v/>
      </c>
      <c r="G99" s="496" t="str">
        <f>IF($G$6=N99,MAX($G$8:G98)+1,"")</f>
        <v/>
      </c>
      <c r="H99" s="496" t="str">
        <f>IF($H$6=J99,MAX($H$8:H98)+1,"")</f>
        <v/>
      </c>
      <c r="I99" s="172" t="str">
        <f>IF(L99&lt;&gt;"",COUNTA($L$9:L99),"")</f>
        <v/>
      </c>
      <c r="J99" s="517"/>
      <c r="K99" s="172" t="str">
        <f t="shared" si="15"/>
        <v/>
      </c>
      <c r="L99" s="136"/>
      <c r="M99" s="136"/>
      <c r="N99" s="225"/>
      <c r="O99" s="328" t="str">
        <f t="shared" si="13"/>
        <v>-</v>
      </c>
      <c r="P99" s="528"/>
      <c r="Q99" s="482"/>
      <c r="R99" s="528"/>
      <c r="S99" s="499"/>
      <c r="T99" s="518"/>
      <c r="U99" s="499"/>
      <c r="V99" s="502"/>
      <c r="W99" s="519"/>
      <c r="X99" s="502"/>
      <c r="Y99" s="499"/>
      <c r="Z99" s="518"/>
      <c r="AA99" s="499"/>
      <c r="AB99" s="505"/>
      <c r="AC99" s="520"/>
      <c r="AD99" s="505"/>
      <c r="AE99" s="508"/>
      <c r="AF99" s="521"/>
      <c r="AG99" s="508"/>
      <c r="AH99" s="511"/>
      <c r="AI99" s="522"/>
      <c r="AJ99" s="511"/>
      <c r="AK99" s="514">
        <f t="shared" si="16"/>
        <v>0</v>
      </c>
      <c r="AL99" s="523"/>
      <c r="AM99" s="525"/>
      <c r="AN99" s="329"/>
      <c r="AO99" s="691"/>
    </row>
    <row r="100" spans="1:41" s="516" customFormat="1" ht="15.75">
      <c r="A100" s="516">
        <f t="shared" si="14"/>
        <v>0</v>
      </c>
      <c r="B100" s="610" t="str">
        <f>IF(AND($B$7=AN100,$B$5=J100),MAX($B$8:B99)+1,"")</f>
        <v/>
      </c>
      <c r="C100" s="493" t="str">
        <f t="shared" si="9"/>
        <v/>
      </c>
      <c r="D100" s="494" t="str">
        <f t="shared" si="10"/>
        <v/>
      </c>
      <c r="E100" s="493" t="str">
        <f t="shared" si="11"/>
        <v/>
      </c>
      <c r="F100" s="495" t="str">
        <f t="shared" si="12"/>
        <v/>
      </c>
      <c r="G100" s="496" t="str">
        <f>IF($G$6=N100,MAX($G$8:G99)+1,"")</f>
        <v/>
      </c>
      <c r="H100" s="496" t="str">
        <f>IF($H$6=J100,MAX($H$8:H99)+1,"")</f>
        <v/>
      </c>
      <c r="I100" s="172" t="str">
        <f>IF(L100&lt;&gt;"",COUNTA($L$9:L100),"")</f>
        <v/>
      </c>
      <c r="J100" s="517"/>
      <c r="K100" s="172" t="str">
        <f t="shared" si="15"/>
        <v/>
      </c>
      <c r="L100" s="136"/>
      <c r="M100" s="136"/>
      <c r="N100" s="225"/>
      <c r="O100" s="328" t="str">
        <f t="shared" si="13"/>
        <v>-</v>
      </c>
      <c r="P100" s="528"/>
      <c r="Q100" s="482"/>
      <c r="R100" s="528"/>
      <c r="S100" s="499"/>
      <c r="T100" s="518"/>
      <c r="U100" s="499"/>
      <c r="V100" s="502"/>
      <c r="W100" s="519"/>
      <c r="X100" s="502"/>
      <c r="Y100" s="499"/>
      <c r="Z100" s="518"/>
      <c r="AA100" s="499"/>
      <c r="AB100" s="505"/>
      <c r="AC100" s="520"/>
      <c r="AD100" s="505"/>
      <c r="AE100" s="508"/>
      <c r="AF100" s="521"/>
      <c r="AG100" s="508"/>
      <c r="AH100" s="511"/>
      <c r="AI100" s="522"/>
      <c r="AJ100" s="511"/>
      <c r="AK100" s="514">
        <f t="shared" si="16"/>
        <v>0</v>
      </c>
      <c r="AL100" s="523"/>
      <c r="AM100" s="525"/>
      <c r="AN100" s="329"/>
      <c r="AO100" s="691"/>
    </row>
    <row r="101" spans="1:41" s="516" customFormat="1" ht="15.75">
      <c r="A101" s="516">
        <f t="shared" si="14"/>
        <v>0</v>
      </c>
      <c r="B101" s="610" t="str">
        <f>IF(AND($B$7=AN101,$B$5=J101),MAX($B$8:B100)+1,"")</f>
        <v/>
      </c>
      <c r="C101" s="493" t="str">
        <f t="shared" si="9"/>
        <v/>
      </c>
      <c r="D101" s="494" t="str">
        <f t="shared" si="10"/>
        <v/>
      </c>
      <c r="E101" s="493" t="str">
        <f t="shared" si="11"/>
        <v/>
      </c>
      <c r="F101" s="495" t="str">
        <f t="shared" si="12"/>
        <v/>
      </c>
      <c r="G101" s="496" t="str">
        <f>IF($G$6=N101,MAX($G$8:G100)+1,"")</f>
        <v/>
      </c>
      <c r="H101" s="496" t="str">
        <f>IF($H$6=J101,MAX($H$8:H100)+1,"")</f>
        <v/>
      </c>
      <c r="I101" s="172" t="str">
        <f>IF(L101&lt;&gt;"",COUNTA($L$9:L101),"")</f>
        <v/>
      </c>
      <c r="J101" s="517"/>
      <c r="K101" s="172" t="str">
        <f t="shared" si="15"/>
        <v/>
      </c>
      <c r="L101" s="136"/>
      <c r="M101" s="136"/>
      <c r="N101" s="225"/>
      <c r="O101" s="328" t="str">
        <f t="shared" si="13"/>
        <v>-</v>
      </c>
      <c r="P101" s="528"/>
      <c r="Q101" s="482"/>
      <c r="R101" s="528"/>
      <c r="S101" s="499"/>
      <c r="T101" s="518"/>
      <c r="U101" s="499"/>
      <c r="V101" s="502"/>
      <c r="W101" s="519"/>
      <c r="X101" s="502"/>
      <c r="Y101" s="499"/>
      <c r="Z101" s="518"/>
      <c r="AA101" s="499"/>
      <c r="AB101" s="505"/>
      <c r="AC101" s="520"/>
      <c r="AD101" s="505"/>
      <c r="AE101" s="508"/>
      <c r="AF101" s="521"/>
      <c r="AG101" s="508"/>
      <c r="AH101" s="511"/>
      <c r="AI101" s="522"/>
      <c r="AJ101" s="511"/>
      <c r="AK101" s="514">
        <f t="shared" si="16"/>
        <v>0</v>
      </c>
      <c r="AL101" s="523"/>
      <c r="AM101" s="525"/>
      <c r="AN101" s="329"/>
      <c r="AO101" s="691"/>
    </row>
    <row r="102" spans="1:41" s="516" customFormat="1" ht="15.75">
      <c r="A102" s="516">
        <f t="shared" si="14"/>
        <v>0</v>
      </c>
      <c r="B102" s="610" t="str">
        <f>IF(AND($B$7=AN102,$B$5=J102),MAX($B$8:B101)+1,"")</f>
        <v/>
      </c>
      <c r="C102" s="493" t="str">
        <f t="shared" si="9"/>
        <v/>
      </c>
      <c r="D102" s="494" t="str">
        <f t="shared" si="10"/>
        <v/>
      </c>
      <c r="E102" s="493" t="str">
        <f t="shared" si="11"/>
        <v/>
      </c>
      <c r="F102" s="495" t="str">
        <f t="shared" si="12"/>
        <v/>
      </c>
      <c r="G102" s="496" t="str">
        <f>IF($G$6=N102,MAX($G$8:G101)+1,"")</f>
        <v/>
      </c>
      <c r="H102" s="496" t="str">
        <f>IF($H$6=J102,MAX($H$8:H101)+1,"")</f>
        <v/>
      </c>
      <c r="I102" s="172" t="str">
        <f>IF(L102&lt;&gt;"",COUNTA($L$9:L102),"")</f>
        <v/>
      </c>
      <c r="J102" s="517"/>
      <c r="K102" s="172" t="str">
        <f t="shared" si="15"/>
        <v/>
      </c>
      <c r="L102" s="136"/>
      <c r="M102" s="136"/>
      <c r="N102" s="225"/>
      <c r="O102" s="328" t="str">
        <f t="shared" si="13"/>
        <v>-</v>
      </c>
      <c r="P102" s="528"/>
      <c r="Q102" s="482"/>
      <c r="R102" s="528"/>
      <c r="S102" s="499"/>
      <c r="T102" s="518"/>
      <c r="U102" s="499"/>
      <c r="V102" s="502"/>
      <c r="W102" s="519"/>
      <c r="X102" s="502"/>
      <c r="Y102" s="499"/>
      <c r="Z102" s="518"/>
      <c r="AA102" s="499"/>
      <c r="AB102" s="505"/>
      <c r="AC102" s="520"/>
      <c r="AD102" s="505"/>
      <c r="AE102" s="508"/>
      <c r="AF102" s="521"/>
      <c r="AG102" s="508"/>
      <c r="AH102" s="511"/>
      <c r="AI102" s="522"/>
      <c r="AJ102" s="511"/>
      <c r="AK102" s="514">
        <f t="shared" si="16"/>
        <v>0</v>
      </c>
      <c r="AL102" s="523"/>
      <c r="AM102" s="525"/>
      <c r="AN102" s="329"/>
      <c r="AO102" s="691"/>
    </row>
    <row r="103" spans="1:41" s="516" customFormat="1" ht="15.75">
      <c r="A103" s="516">
        <f t="shared" si="14"/>
        <v>0</v>
      </c>
      <c r="B103" s="610" t="str">
        <f>IF(AND($B$7=AN103,$B$5=J103),MAX($B$8:B102)+1,"")</f>
        <v/>
      </c>
      <c r="C103" s="493" t="str">
        <f t="shared" si="9"/>
        <v/>
      </c>
      <c r="D103" s="494" t="str">
        <f t="shared" si="10"/>
        <v/>
      </c>
      <c r="E103" s="493" t="str">
        <f t="shared" si="11"/>
        <v/>
      </c>
      <c r="F103" s="495" t="str">
        <f t="shared" si="12"/>
        <v/>
      </c>
      <c r="G103" s="496" t="str">
        <f>IF($G$6=N103,MAX($G$8:G102)+1,"")</f>
        <v/>
      </c>
      <c r="H103" s="496" t="str">
        <f>IF($H$6=J103,MAX($H$8:H102)+1,"")</f>
        <v/>
      </c>
      <c r="I103" s="172" t="str">
        <f>IF(L103&lt;&gt;"",COUNTA($L$9:L103),"")</f>
        <v/>
      </c>
      <c r="J103" s="517"/>
      <c r="K103" s="172" t="str">
        <f t="shared" si="15"/>
        <v/>
      </c>
      <c r="L103" s="136"/>
      <c r="M103" s="136"/>
      <c r="N103" s="225"/>
      <c r="O103" s="328" t="str">
        <f t="shared" si="13"/>
        <v>-</v>
      </c>
      <c r="P103" s="528"/>
      <c r="Q103" s="482"/>
      <c r="R103" s="528"/>
      <c r="S103" s="499"/>
      <c r="T103" s="518"/>
      <c r="U103" s="499"/>
      <c r="V103" s="502"/>
      <c r="W103" s="519"/>
      <c r="X103" s="502"/>
      <c r="Y103" s="499"/>
      <c r="Z103" s="518"/>
      <c r="AA103" s="499"/>
      <c r="AB103" s="505"/>
      <c r="AC103" s="520"/>
      <c r="AD103" s="505"/>
      <c r="AE103" s="508"/>
      <c r="AF103" s="521"/>
      <c r="AG103" s="508"/>
      <c r="AH103" s="511"/>
      <c r="AI103" s="522"/>
      <c r="AJ103" s="511"/>
      <c r="AK103" s="514">
        <f t="shared" si="16"/>
        <v>0</v>
      </c>
      <c r="AL103" s="523"/>
      <c r="AM103" s="525"/>
      <c r="AN103" s="329"/>
      <c r="AO103" s="691"/>
    </row>
    <row r="104" spans="1:41" s="516" customFormat="1" ht="15.75">
      <c r="A104" s="516">
        <f t="shared" si="14"/>
        <v>0</v>
      </c>
      <c r="B104" s="610" t="str">
        <f>IF(AND($B$7=AN104,$B$5=J104),MAX($B$8:B103)+1,"")</f>
        <v/>
      </c>
      <c r="C104" s="493" t="str">
        <f t="shared" si="9"/>
        <v/>
      </c>
      <c r="D104" s="494" t="str">
        <f t="shared" si="10"/>
        <v/>
      </c>
      <c r="E104" s="493" t="str">
        <f t="shared" si="11"/>
        <v/>
      </c>
      <c r="F104" s="495" t="str">
        <f t="shared" si="12"/>
        <v/>
      </c>
      <c r="G104" s="496" t="str">
        <f>IF($G$6=N104,MAX($G$8:G103)+1,"")</f>
        <v/>
      </c>
      <c r="H104" s="496" t="str">
        <f>IF($H$6=J104,MAX($H$8:H103)+1,"")</f>
        <v/>
      </c>
      <c r="I104" s="172" t="str">
        <f>IF(L104&lt;&gt;"",COUNTA($L$9:L104),"")</f>
        <v/>
      </c>
      <c r="J104" s="517"/>
      <c r="K104" s="172" t="str">
        <f t="shared" si="15"/>
        <v/>
      </c>
      <c r="L104" s="136"/>
      <c r="M104" s="136"/>
      <c r="N104" s="225"/>
      <c r="O104" s="328" t="str">
        <f t="shared" si="13"/>
        <v>-</v>
      </c>
      <c r="P104" s="528"/>
      <c r="Q104" s="482"/>
      <c r="R104" s="528"/>
      <c r="S104" s="499"/>
      <c r="T104" s="518"/>
      <c r="U104" s="499"/>
      <c r="V104" s="502"/>
      <c r="W104" s="519"/>
      <c r="X104" s="502"/>
      <c r="Y104" s="499"/>
      <c r="Z104" s="518"/>
      <c r="AA104" s="499"/>
      <c r="AB104" s="505"/>
      <c r="AC104" s="520"/>
      <c r="AD104" s="505"/>
      <c r="AE104" s="508"/>
      <c r="AF104" s="521"/>
      <c r="AG104" s="508"/>
      <c r="AH104" s="511"/>
      <c r="AI104" s="522"/>
      <c r="AJ104" s="511"/>
      <c r="AK104" s="514">
        <f t="shared" si="16"/>
        <v>0</v>
      </c>
      <c r="AL104" s="523"/>
      <c r="AM104" s="525"/>
      <c r="AN104" s="329"/>
      <c r="AO104" s="691"/>
    </row>
    <row r="105" spans="1:41" s="516" customFormat="1" ht="15.75">
      <c r="A105" s="516">
        <f t="shared" si="14"/>
        <v>0</v>
      </c>
      <c r="B105" s="610" t="str">
        <f>IF(AND($B$7=AN105,$B$5=J105),MAX($B$8:B104)+1,"")</f>
        <v/>
      </c>
      <c r="C105" s="493" t="str">
        <f t="shared" ref="C105:C136" si="17">IF($M105="","",IF(OR($M105&lt;=C$2,$M105&gt;=C$5),"",M1K))</f>
        <v/>
      </c>
      <c r="D105" s="494" t="str">
        <f t="shared" si="10"/>
        <v/>
      </c>
      <c r="E105" s="493" t="str">
        <f t="shared" si="11"/>
        <v/>
      </c>
      <c r="F105" s="495" t="str">
        <f t="shared" si="12"/>
        <v/>
      </c>
      <c r="G105" s="496" t="str">
        <f>IF($G$6=N105,MAX($G$8:G104)+1,"")</f>
        <v/>
      </c>
      <c r="H105" s="496" t="str">
        <f>IF($H$6=J105,MAX($H$8:H104)+1,"")</f>
        <v/>
      </c>
      <c r="I105" s="172" t="str">
        <f>IF(L105&lt;&gt;"",COUNTA($L$9:L105),"")</f>
        <v/>
      </c>
      <c r="J105" s="517"/>
      <c r="K105" s="172" t="str">
        <f t="shared" si="15"/>
        <v/>
      </c>
      <c r="L105" s="136"/>
      <c r="M105" s="136"/>
      <c r="N105" s="225"/>
      <c r="O105" s="328" t="str">
        <f t="shared" si="13"/>
        <v>-</v>
      </c>
      <c r="P105" s="528"/>
      <c r="Q105" s="482"/>
      <c r="R105" s="528"/>
      <c r="S105" s="499"/>
      <c r="T105" s="518"/>
      <c r="U105" s="499"/>
      <c r="V105" s="502"/>
      <c r="W105" s="519"/>
      <c r="X105" s="502"/>
      <c r="Y105" s="499"/>
      <c r="Z105" s="518"/>
      <c r="AA105" s="499"/>
      <c r="AB105" s="505"/>
      <c r="AC105" s="520"/>
      <c r="AD105" s="505"/>
      <c r="AE105" s="508"/>
      <c r="AF105" s="521"/>
      <c r="AG105" s="508"/>
      <c r="AH105" s="511"/>
      <c r="AI105" s="522"/>
      <c r="AJ105" s="511"/>
      <c r="AK105" s="514">
        <f t="shared" si="16"/>
        <v>0</v>
      </c>
      <c r="AL105" s="523"/>
      <c r="AM105" s="525"/>
      <c r="AN105" s="329"/>
      <c r="AO105" s="691"/>
    </row>
    <row r="106" spans="1:41" s="516" customFormat="1" ht="19.5" customHeight="1">
      <c r="A106" s="516">
        <f t="shared" si="14"/>
        <v>0</v>
      </c>
      <c r="B106" s="610" t="str">
        <f>IF(AND($B$7=AN106,$B$5=J106),MAX($B$8:B105)+1,"")</f>
        <v/>
      </c>
      <c r="C106" s="493" t="str">
        <f t="shared" si="17"/>
        <v/>
      </c>
      <c r="D106" s="494" t="str">
        <f t="shared" si="10"/>
        <v/>
      </c>
      <c r="E106" s="493" t="str">
        <f t="shared" si="11"/>
        <v/>
      </c>
      <c r="F106" s="495" t="str">
        <f t="shared" si="12"/>
        <v/>
      </c>
      <c r="G106" s="496" t="str">
        <f>IF($G$6=N106,MAX($G$8:G105)+1,"")</f>
        <v/>
      </c>
      <c r="H106" s="496" t="str">
        <f>IF($H$6=J106,MAX($H$8:H105)+1,"")</f>
        <v/>
      </c>
      <c r="I106" s="172" t="str">
        <f>IF(L106&lt;&gt;"",COUNTA($L$9:L106),"")</f>
        <v/>
      </c>
      <c r="J106" s="517"/>
      <c r="K106" s="172" t="str">
        <f t="shared" si="15"/>
        <v/>
      </c>
      <c r="L106" s="136"/>
      <c r="M106" s="136"/>
      <c r="N106" s="225"/>
      <c r="O106" s="328" t="str">
        <f t="shared" si="13"/>
        <v>-</v>
      </c>
      <c r="P106" s="528"/>
      <c r="Q106" s="482"/>
      <c r="R106" s="528"/>
      <c r="S106" s="499"/>
      <c r="T106" s="518"/>
      <c r="U106" s="499"/>
      <c r="V106" s="502"/>
      <c r="W106" s="519"/>
      <c r="X106" s="502"/>
      <c r="Y106" s="499"/>
      <c r="Z106" s="518"/>
      <c r="AA106" s="499"/>
      <c r="AB106" s="505"/>
      <c r="AC106" s="520"/>
      <c r="AD106" s="505"/>
      <c r="AE106" s="508"/>
      <c r="AF106" s="521"/>
      <c r="AG106" s="508"/>
      <c r="AH106" s="511"/>
      <c r="AI106" s="522"/>
      <c r="AJ106" s="511"/>
      <c r="AK106" s="514">
        <f t="shared" si="16"/>
        <v>0</v>
      </c>
      <c r="AL106" s="523"/>
      <c r="AM106" s="525"/>
      <c r="AN106" s="329"/>
      <c r="AO106" s="691"/>
    </row>
    <row r="107" spans="1:41" s="524" customFormat="1" ht="15.75">
      <c r="A107" s="516">
        <f t="shared" si="14"/>
        <v>0</v>
      </c>
      <c r="B107" s="610" t="str">
        <f>IF(AND($B$7=AN107,$B$5=J107),MAX($B$8:B106)+1,"")</f>
        <v/>
      </c>
      <c r="C107" s="493" t="str">
        <f t="shared" si="17"/>
        <v/>
      </c>
      <c r="D107" s="494" t="str">
        <f t="shared" si="10"/>
        <v/>
      </c>
      <c r="E107" s="493" t="str">
        <f t="shared" si="11"/>
        <v/>
      </c>
      <c r="F107" s="495" t="str">
        <f t="shared" si="12"/>
        <v/>
      </c>
      <c r="G107" s="496" t="str">
        <f>IF($G$6=N107,MAX($G$8:G106)+1,"")</f>
        <v/>
      </c>
      <c r="H107" s="496" t="str">
        <f>IF($H$6=J107,MAX($H$8:H106)+1,"")</f>
        <v/>
      </c>
      <c r="I107" s="172" t="str">
        <f>IF(L107&lt;&gt;"",COUNTA($L$9:L107),"")</f>
        <v/>
      </c>
      <c r="J107" s="517"/>
      <c r="K107" s="172" t="str">
        <f t="shared" si="15"/>
        <v/>
      </c>
      <c r="L107" s="136"/>
      <c r="M107" s="136"/>
      <c r="N107" s="225"/>
      <c r="O107" s="328" t="str">
        <f t="shared" si="13"/>
        <v>-</v>
      </c>
      <c r="P107" s="528"/>
      <c r="Q107" s="482"/>
      <c r="R107" s="528"/>
      <c r="S107" s="499"/>
      <c r="T107" s="518"/>
      <c r="U107" s="499"/>
      <c r="V107" s="502"/>
      <c r="W107" s="519"/>
      <c r="X107" s="502"/>
      <c r="Y107" s="499"/>
      <c r="Z107" s="518"/>
      <c r="AA107" s="499"/>
      <c r="AB107" s="505"/>
      <c r="AC107" s="520"/>
      <c r="AD107" s="505"/>
      <c r="AE107" s="508"/>
      <c r="AF107" s="521"/>
      <c r="AG107" s="508"/>
      <c r="AH107" s="511"/>
      <c r="AI107" s="522"/>
      <c r="AJ107" s="511"/>
      <c r="AK107" s="514">
        <f t="shared" si="16"/>
        <v>0</v>
      </c>
      <c r="AL107" s="523"/>
      <c r="AM107" s="525"/>
      <c r="AN107" s="329"/>
      <c r="AO107" s="691"/>
    </row>
    <row r="108" spans="1:41" s="516" customFormat="1" ht="15.75">
      <c r="A108" s="516">
        <f t="shared" si="14"/>
        <v>0</v>
      </c>
      <c r="B108" s="610" t="str">
        <f>IF(AND($B$7=AN108,$B$5=J108),MAX($B$8:B107)+1,"")</f>
        <v/>
      </c>
      <c r="C108" s="493" t="str">
        <f t="shared" si="17"/>
        <v/>
      </c>
      <c r="D108" s="494" t="str">
        <f t="shared" si="10"/>
        <v/>
      </c>
      <c r="E108" s="493" t="str">
        <f t="shared" si="11"/>
        <v/>
      </c>
      <c r="F108" s="495" t="str">
        <f t="shared" si="12"/>
        <v/>
      </c>
      <c r="G108" s="496" t="str">
        <f>IF($G$6=N108,MAX($G$8:G107)+1,"")</f>
        <v/>
      </c>
      <c r="H108" s="496" t="str">
        <f>IF($H$6=J108,MAX($H$8:H107)+1,"")</f>
        <v/>
      </c>
      <c r="I108" s="172" t="str">
        <f>IF(L108&lt;&gt;"",COUNTA($L$9:L108),"")</f>
        <v/>
      </c>
      <c r="J108" s="517"/>
      <c r="K108" s="172" t="str">
        <f t="shared" si="15"/>
        <v/>
      </c>
      <c r="L108" s="136"/>
      <c r="M108" s="136"/>
      <c r="N108" s="225"/>
      <c r="O108" s="328" t="str">
        <f t="shared" si="13"/>
        <v>-</v>
      </c>
      <c r="P108" s="528"/>
      <c r="Q108" s="482"/>
      <c r="R108" s="528"/>
      <c r="S108" s="499"/>
      <c r="T108" s="518"/>
      <c r="U108" s="499"/>
      <c r="V108" s="502"/>
      <c r="W108" s="519"/>
      <c r="X108" s="502"/>
      <c r="Y108" s="499"/>
      <c r="Z108" s="518"/>
      <c r="AA108" s="499"/>
      <c r="AB108" s="505"/>
      <c r="AC108" s="520"/>
      <c r="AD108" s="505"/>
      <c r="AE108" s="508"/>
      <c r="AF108" s="521"/>
      <c r="AG108" s="508"/>
      <c r="AH108" s="511"/>
      <c r="AI108" s="522"/>
      <c r="AJ108" s="511"/>
      <c r="AK108" s="514">
        <f t="shared" si="16"/>
        <v>0</v>
      </c>
      <c r="AL108" s="523"/>
      <c r="AM108" s="525"/>
      <c r="AN108" s="329"/>
      <c r="AO108" s="691"/>
    </row>
    <row r="109" spans="1:41" s="516" customFormat="1" ht="15.75">
      <c r="A109" s="516">
        <f t="shared" si="14"/>
        <v>0</v>
      </c>
      <c r="B109" s="610" t="str">
        <f>IF(AND($B$7=AN109,$B$5=J109),MAX($B$8:B108)+1,"")</f>
        <v/>
      </c>
      <c r="C109" s="493" t="str">
        <f t="shared" si="17"/>
        <v/>
      </c>
      <c r="D109" s="494" t="str">
        <f t="shared" si="10"/>
        <v/>
      </c>
      <c r="E109" s="493" t="str">
        <f t="shared" si="11"/>
        <v/>
      </c>
      <c r="F109" s="495" t="str">
        <f t="shared" si="12"/>
        <v/>
      </c>
      <c r="G109" s="496" t="str">
        <f>IF($G$6=N109,MAX($G$8:G108)+1,"")</f>
        <v/>
      </c>
      <c r="H109" s="496" t="str">
        <f>IF($H$6=J109,MAX($H$8:H108)+1,"")</f>
        <v/>
      </c>
      <c r="I109" s="172" t="str">
        <f>IF(L109&lt;&gt;"",COUNTA($L$9:L109),"")</f>
        <v/>
      </c>
      <c r="J109" s="517"/>
      <c r="K109" s="172" t="str">
        <f t="shared" si="15"/>
        <v/>
      </c>
      <c r="L109" s="136"/>
      <c r="M109" s="136"/>
      <c r="N109" s="225"/>
      <c r="O109" s="328" t="str">
        <f t="shared" si="13"/>
        <v>-</v>
      </c>
      <c r="P109" s="528"/>
      <c r="Q109" s="482"/>
      <c r="R109" s="528"/>
      <c r="S109" s="499"/>
      <c r="T109" s="518"/>
      <c r="U109" s="499"/>
      <c r="V109" s="502"/>
      <c r="W109" s="519"/>
      <c r="X109" s="502"/>
      <c r="Y109" s="499"/>
      <c r="Z109" s="518"/>
      <c r="AA109" s="499"/>
      <c r="AB109" s="505"/>
      <c r="AC109" s="520"/>
      <c r="AD109" s="505"/>
      <c r="AE109" s="508"/>
      <c r="AF109" s="521"/>
      <c r="AG109" s="508"/>
      <c r="AH109" s="511"/>
      <c r="AI109" s="522"/>
      <c r="AJ109" s="511"/>
      <c r="AK109" s="514">
        <f t="shared" si="16"/>
        <v>0</v>
      </c>
      <c r="AL109" s="523"/>
      <c r="AM109" s="525"/>
      <c r="AN109" s="329"/>
      <c r="AO109" s="691"/>
    </row>
    <row r="110" spans="1:41" s="516" customFormat="1" ht="15.75">
      <c r="A110" s="516">
        <f t="shared" si="14"/>
        <v>0</v>
      </c>
      <c r="B110" s="610" t="str">
        <f>IF(AND($B$7=AN110,$B$5=J110),MAX($B$8:B109)+1,"")</f>
        <v/>
      </c>
      <c r="C110" s="493" t="str">
        <f t="shared" si="17"/>
        <v/>
      </c>
      <c r="D110" s="494" t="str">
        <f t="shared" si="10"/>
        <v/>
      </c>
      <c r="E110" s="493" t="str">
        <f t="shared" si="11"/>
        <v/>
      </c>
      <c r="F110" s="495" t="str">
        <f t="shared" si="12"/>
        <v/>
      </c>
      <c r="G110" s="496" t="str">
        <f>IF($G$6=N110,MAX($G$8:G109)+1,"")</f>
        <v/>
      </c>
      <c r="H110" s="496" t="str">
        <f>IF($H$6=J110,MAX($H$8:H109)+1,"")</f>
        <v/>
      </c>
      <c r="I110" s="172" t="str">
        <f>IF(L110&lt;&gt;"",COUNTA($L$9:L110),"")</f>
        <v/>
      </c>
      <c r="J110" s="517"/>
      <c r="K110" s="172" t="str">
        <f t="shared" si="15"/>
        <v/>
      </c>
      <c r="L110" s="136"/>
      <c r="M110" s="136"/>
      <c r="N110" s="225"/>
      <c r="O110" s="328" t="str">
        <f t="shared" si="13"/>
        <v>-</v>
      </c>
      <c r="P110" s="528"/>
      <c r="Q110" s="482"/>
      <c r="R110" s="528"/>
      <c r="S110" s="499"/>
      <c r="T110" s="518"/>
      <c r="U110" s="499"/>
      <c r="V110" s="502"/>
      <c r="W110" s="519"/>
      <c r="X110" s="502"/>
      <c r="Y110" s="499"/>
      <c r="Z110" s="518"/>
      <c r="AA110" s="499"/>
      <c r="AB110" s="505"/>
      <c r="AC110" s="520"/>
      <c r="AD110" s="505"/>
      <c r="AE110" s="508"/>
      <c r="AF110" s="521"/>
      <c r="AG110" s="508"/>
      <c r="AH110" s="511"/>
      <c r="AI110" s="522"/>
      <c r="AJ110" s="511"/>
      <c r="AK110" s="514">
        <f t="shared" si="16"/>
        <v>0</v>
      </c>
      <c r="AL110" s="523"/>
      <c r="AM110" s="525"/>
      <c r="AN110" s="329"/>
      <c r="AO110" s="691"/>
    </row>
    <row r="111" spans="1:41" s="516" customFormat="1" ht="15.75">
      <c r="A111" s="516">
        <f t="shared" si="14"/>
        <v>0</v>
      </c>
      <c r="B111" s="610" t="str">
        <f>IF(AND($B$7=AN111,$B$5=J111),MAX($B$8:B110)+1,"")</f>
        <v/>
      </c>
      <c r="C111" s="493" t="str">
        <f t="shared" si="17"/>
        <v/>
      </c>
      <c r="D111" s="494" t="str">
        <f t="shared" si="10"/>
        <v/>
      </c>
      <c r="E111" s="493" t="str">
        <f t="shared" si="11"/>
        <v/>
      </c>
      <c r="F111" s="495" t="str">
        <f t="shared" si="12"/>
        <v/>
      </c>
      <c r="G111" s="496" t="str">
        <f>IF($G$6=N111,MAX($G$8:G110)+1,"")</f>
        <v/>
      </c>
      <c r="H111" s="496" t="str">
        <f>IF($H$6=J111,MAX($H$8:H110)+1,"")</f>
        <v/>
      </c>
      <c r="I111" s="172" t="str">
        <f>IF(L111&lt;&gt;"",COUNTA($L$9:L111),"")</f>
        <v/>
      </c>
      <c r="J111" s="517"/>
      <c r="K111" s="172" t="str">
        <f t="shared" si="15"/>
        <v/>
      </c>
      <c r="L111" s="136"/>
      <c r="M111" s="136"/>
      <c r="N111" s="225"/>
      <c r="O111" s="328" t="str">
        <f t="shared" si="13"/>
        <v>-</v>
      </c>
      <c r="P111" s="528"/>
      <c r="Q111" s="482"/>
      <c r="R111" s="528"/>
      <c r="S111" s="499"/>
      <c r="T111" s="518"/>
      <c r="U111" s="499"/>
      <c r="V111" s="502"/>
      <c r="W111" s="519"/>
      <c r="X111" s="502"/>
      <c r="Y111" s="499"/>
      <c r="Z111" s="518"/>
      <c r="AA111" s="499"/>
      <c r="AB111" s="505"/>
      <c r="AC111" s="520"/>
      <c r="AD111" s="505"/>
      <c r="AE111" s="508"/>
      <c r="AF111" s="521"/>
      <c r="AG111" s="508"/>
      <c r="AH111" s="511"/>
      <c r="AI111" s="522"/>
      <c r="AJ111" s="511"/>
      <c r="AK111" s="514">
        <f t="shared" si="16"/>
        <v>0</v>
      </c>
      <c r="AL111" s="523"/>
      <c r="AM111" s="525"/>
      <c r="AN111" s="329"/>
      <c r="AO111" s="691"/>
    </row>
    <row r="112" spans="1:41" s="516" customFormat="1" ht="15.75">
      <c r="A112" s="516">
        <f t="shared" si="14"/>
        <v>0</v>
      </c>
      <c r="B112" s="610" t="str">
        <f>IF(AND($B$7=AN112,$B$5=J112),MAX($B$8:B111)+1,"")</f>
        <v/>
      </c>
      <c r="C112" s="493" t="str">
        <f t="shared" si="17"/>
        <v/>
      </c>
      <c r="D112" s="494" t="str">
        <f t="shared" si="10"/>
        <v/>
      </c>
      <c r="E112" s="493" t="str">
        <f t="shared" si="11"/>
        <v/>
      </c>
      <c r="F112" s="495" t="str">
        <f t="shared" si="12"/>
        <v/>
      </c>
      <c r="G112" s="496" t="str">
        <f>IF($G$6=N112,MAX($G$8:G111)+1,"")</f>
        <v/>
      </c>
      <c r="H112" s="496" t="str">
        <f>IF($H$6=J112,MAX($H$8:H111)+1,"")</f>
        <v/>
      </c>
      <c r="I112" s="172" t="str">
        <f>IF(L112&lt;&gt;"",COUNTA($L$9:L112),"")</f>
        <v/>
      </c>
      <c r="J112" s="517"/>
      <c r="K112" s="172" t="str">
        <f t="shared" si="15"/>
        <v/>
      </c>
      <c r="L112" s="136"/>
      <c r="M112" s="136"/>
      <c r="N112" s="225"/>
      <c r="O112" s="328" t="str">
        <f t="shared" si="13"/>
        <v>-</v>
      </c>
      <c r="P112" s="528"/>
      <c r="Q112" s="482"/>
      <c r="R112" s="528"/>
      <c r="S112" s="499"/>
      <c r="T112" s="518"/>
      <c r="U112" s="499"/>
      <c r="V112" s="502"/>
      <c r="W112" s="519"/>
      <c r="X112" s="502"/>
      <c r="Y112" s="499"/>
      <c r="Z112" s="518"/>
      <c r="AA112" s="499"/>
      <c r="AB112" s="505"/>
      <c r="AC112" s="520"/>
      <c r="AD112" s="505"/>
      <c r="AE112" s="508"/>
      <c r="AF112" s="521"/>
      <c r="AG112" s="508"/>
      <c r="AH112" s="511"/>
      <c r="AI112" s="522"/>
      <c r="AJ112" s="511"/>
      <c r="AK112" s="514">
        <f t="shared" si="16"/>
        <v>0</v>
      </c>
      <c r="AL112" s="523"/>
      <c r="AM112" s="525"/>
      <c r="AN112" s="329"/>
      <c r="AO112" s="691"/>
    </row>
    <row r="113" spans="1:41" s="516" customFormat="1" ht="15.75">
      <c r="A113" s="516">
        <f t="shared" si="14"/>
        <v>0</v>
      </c>
      <c r="B113" s="610" t="str">
        <f>IF(AND($B$7=AN113,$B$5=J113),MAX($B$8:B112)+1,"")</f>
        <v/>
      </c>
      <c r="C113" s="493" t="str">
        <f t="shared" si="17"/>
        <v/>
      </c>
      <c r="D113" s="494" t="str">
        <f t="shared" si="10"/>
        <v/>
      </c>
      <c r="E113" s="493" t="str">
        <f t="shared" si="11"/>
        <v/>
      </c>
      <c r="F113" s="495" t="str">
        <f t="shared" si="12"/>
        <v/>
      </c>
      <c r="G113" s="496" t="str">
        <f>IF($G$6=N113,MAX($G$8:G112)+1,"")</f>
        <v/>
      </c>
      <c r="H113" s="496" t="str">
        <f>IF($H$6=J113,MAX($H$8:H112)+1,"")</f>
        <v/>
      </c>
      <c r="I113" s="172" t="str">
        <f>IF(L113&lt;&gt;"",COUNTA($L$9:L113),"")</f>
        <v/>
      </c>
      <c r="J113" s="517"/>
      <c r="K113" s="172" t="str">
        <f t="shared" si="15"/>
        <v/>
      </c>
      <c r="L113" s="136"/>
      <c r="M113" s="136"/>
      <c r="N113" s="225"/>
      <c r="O113" s="328" t="str">
        <f t="shared" si="13"/>
        <v>-</v>
      </c>
      <c r="P113" s="528"/>
      <c r="Q113" s="482"/>
      <c r="R113" s="528"/>
      <c r="S113" s="499"/>
      <c r="T113" s="518"/>
      <c r="U113" s="499"/>
      <c r="V113" s="502"/>
      <c r="W113" s="519"/>
      <c r="X113" s="502"/>
      <c r="Y113" s="499"/>
      <c r="Z113" s="518"/>
      <c r="AA113" s="499"/>
      <c r="AB113" s="505"/>
      <c r="AC113" s="520"/>
      <c r="AD113" s="505"/>
      <c r="AE113" s="508"/>
      <c r="AF113" s="521"/>
      <c r="AG113" s="508"/>
      <c r="AH113" s="511"/>
      <c r="AI113" s="522"/>
      <c r="AJ113" s="511"/>
      <c r="AK113" s="514">
        <f t="shared" si="16"/>
        <v>0</v>
      </c>
      <c r="AL113" s="523"/>
      <c r="AM113" s="525"/>
      <c r="AN113" s="329"/>
      <c r="AO113" s="691"/>
    </row>
    <row r="114" spans="1:41" s="516" customFormat="1" ht="15.75">
      <c r="A114" s="516">
        <f t="shared" si="14"/>
        <v>0</v>
      </c>
      <c r="B114" s="610" t="str">
        <f>IF(AND($B$7=AN114,$B$5=J114),MAX($B$8:B113)+1,"")</f>
        <v/>
      </c>
      <c r="C114" s="493" t="str">
        <f t="shared" si="17"/>
        <v/>
      </c>
      <c r="D114" s="494" t="str">
        <f t="shared" si="10"/>
        <v/>
      </c>
      <c r="E114" s="493" t="str">
        <f t="shared" si="11"/>
        <v/>
      </c>
      <c r="F114" s="495" t="str">
        <f t="shared" si="12"/>
        <v/>
      </c>
      <c r="G114" s="496" t="str">
        <f>IF($G$6=N114,MAX($G$8:G113)+1,"")</f>
        <v/>
      </c>
      <c r="H114" s="496" t="str">
        <f>IF($H$6=J114,MAX($H$8:H113)+1,"")</f>
        <v/>
      </c>
      <c r="I114" s="172" t="str">
        <f>IF(L114&lt;&gt;"",COUNTA($L$9:L114),"")</f>
        <v/>
      </c>
      <c r="J114" s="517"/>
      <c r="K114" s="172" t="str">
        <f t="shared" si="15"/>
        <v/>
      </c>
      <c r="L114" s="136"/>
      <c r="M114" s="136"/>
      <c r="N114" s="225"/>
      <c r="O114" s="328" t="str">
        <f t="shared" si="13"/>
        <v>-</v>
      </c>
      <c r="P114" s="528"/>
      <c r="Q114" s="482"/>
      <c r="R114" s="528"/>
      <c r="S114" s="499"/>
      <c r="T114" s="518"/>
      <c r="U114" s="499"/>
      <c r="V114" s="502"/>
      <c r="W114" s="519"/>
      <c r="X114" s="502"/>
      <c r="Y114" s="499"/>
      <c r="Z114" s="518"/>
      <c r="AA114" s="499"/>
      <c r="AB114" s="505"/>
      <c r="AC114" s="520"/>
      <c r="AD114" s="505"/>
      <c r="AE114" s="508"/>
      <c r="AF114" s="521"/>
      <c r="AG114" s="508"/>
      <c r="AH114" s="511"/>
      <c r="AI114" s="522"/>
      <c r="AJ114" s="511"/>
      <c r="AK114" s="514">
        <f t="shared" si="16"/>
        <v>0</v>
      </c>
      <c r="AL114" s="523"/>
      <c r="AM114" s="525"/>
      <c r="AN114" s="329"/>
      <c r="AO114" s="691"/>
    </row>
    <row r="115" spans="1:41" s="516" customFormat="1" ht="15.75">
      <c r="A115" s="516">
        <f t="shared" si="14"/>
        <v>0</v>
      </c>
      <c r="B115" s="610" t="str">
        <f>IF(AND($B$7=AN115,$B$5=J115),MAX($B$8:B114)+1,"")</f>
        <v/>
      </c>
      <c r="C115" s="493" t="str">
        <f t="shared" si="17"/>
        <v/>
      </c>
      <c r="D115" s="494" t="str">
        <f t="shared" si="10"/>
        <v/>
      </c>
      <c r="E115" s="493" t="str">
        <f t="shared" si="11"/>
        <v/>
      </c>
      <c r="F115" s="495" t="str">
        <f t="shared" si="12"/>
        <v/>
      </c>
      <c r="G115" s="496" t="str">
        <f>IF($G$6=N115,MAX($G$8:G114)+1,"")</f>
        <v/>
      </c>
      <c r="H115" s="496" t="str">
        <f>IF($H$6=J115,MAX($H$8:H114)+1,"")</f>
        <v/>
      </c>
      <c r="I115" s="172" t="str">
        <f>IF(L115&lt;&gt;"",COUNTA($L$9:L115),"")</f>
        <v/>
      </c>
      <c r="J115" s="517"/>
      <c r="K115" s="172" t="str">
        <f t="shared" si="15"/>
        <v/>
      </c>
      <c r="L115" s="136"/>
      <c r="M115" s="136"/>
      <c r="N115" s="225"/>
      <c r="O115" s="328" t="str">
        <f>TRIM(Q115&amp;IF(T115="","","; "&amp;T115)&amp;IF(W115="","","; "&amp;W115)&amp;IF(Z115="","","; "&amp;Z115)&amp;IF(AC115="","","; "&amp;AC115)&amp;IF(AF115="","","; "&amp;AF115)&amp;IF(AI115="","","; "&amp;AI115)&amp;" - "&amp;N115)</f>
        <v>-</v>
      </c>
      <c r="P115" s="528"/>
      <c r="Q115" s="482"/>
      <c r="R115" s="528"/>
      <c r="S115" s="499"/>
      <c r="T115" s="518"/>
      <c r="U115" s="499"/>
      <c r="V115" s="502"/>
      <c r="W115" s="519"/>
      <c r="X115" s="502"/>
      <c r="Y115" s="499"/>
      <c r="Z115" s="518"/>
      <c r="AA115" s="499"/>
      <c r="AB115" s="505"/>
      <c r="AC115" s="520"/>
      <c r="AD115" s="505"/>
      <c r="AE115" s="508"/>
      <c r="AF115" s="521"/>
      <c r="AG115" s="508"/>
      <c r="AH115" s="511"/>
      <c r="AI115" s="522"/>
      <c r="AJ115" s="511"/>
      <c r="AK115" s="514">
        <f t="shared" si="16"/>
        <v>0</v>
      </c>
      <c r="AL115" s="523"/>
      <c r="AM115" s="525"/>
      <c r="AN115" s="329"/>
      <c r="AO115" s="691"/>
    </row>
    <row r="116" spans="1:41" s="516" customFormat="1" ht="15.75">
      <c r="A116" s="516">
        <f t="shared" si="14"/>
        <v>0</v>
      </c>
      <c r="B116" s="610" t="str">
        <f>IF(AND($B$7=AN116,$B$5=J116),MAX($B$8:B115)+1,"")</f>
        <v/>
      </c>
      <c r="C116" s="493" t="str">
        <f t="shared" si="17"/>
        <v/>
      </c>
      <c r="D116" s="494" t="str">
        <f t="shared" si="10"/>
        <v/>
      </c>
      <c r="E116" s="493" t="str">
        <f t="shared" si="11"/>
        <v/>
      </c>
      <c r="F116" s="495" t="str">
        <f t="shared" si="12"/>
        <v/>
      </c>
      <c r="G116" s="496" t="str">
        <f>IF($G$6=N116,MAX($G$8:G115)+1,"")</f>
        <v/>
      </c>
      <c r="H116" s="496" t="str">
        <f>IF($H$6=J116,MAX($H$8:H115)+1,"")</f>
        <v/>
      </c>
      <c r="I116" s="172" t="str">
        <f>IF(L116&lt;&gt;"",COUNTA($L$9:L116),"")</f>
        <v/>
      </c>
      <c r="J116" s="517"/>
      <c r="K116" s="172" t="str">
        <f t="shared" si="15"/>
        <v/>
      </c>
      <c r="L116" s="136"/>
      <c r="M116" s="136"/>
      <c r="N116" s="225"/>
      <c r="O116" s="328" t="str">
        <f>TRIM(Q116&amp;IF(T116="","","; "&amp;T116)&amp;IF(W116="","","; "&amp;W116)&amp;IF(Z116="","","; "&amp;Z116)&amp;IF(AC116="","","; "&amp;AC116)&amp;IF(AF116="","","; "&amp;AF116)&amp;IF(AI116="","","; "&amp;AI116)&amp;" - "&amp;N116)</f>
        <v>-</v>
      </c>
      <c r="P116" s="528"/>
      <c r="Q116" s="482"/>
      <c r="R116" s="528"/>
      <c r="S116" s="499"/>
      <c r="T116" s="518"/>
      <c r="U116" s="499"/>
      <c r="V116" s="502"/>
      <c r="W116" s="519"/>
      <c r="X116" s="502"/>
      <c r="Y116" s="499"/>
      <c r="Z116" s="518"/>
      <c r="AA116" s="499"/>
      <c r="AB116" s="505"/>
      <c r="AC116" s="520"/>
      <c r="AD116" s="505"/>
      <c r="AE116" s="508"/>
      <c r="AF116" s="521"/>
      <c r="AG116" s="508"/>
      <c r="AH116" s="511"/>
      <c r="AI116" s="522"/>
      <c r="AJ116" s="511"/>
      <c r="AK116" s="514">
        <f t="shared" si="16"/>
        <v>0</v>
      </c>
      <c r="AL116" s="523"/>
      <c r="AM116" s="525"/>
      <c r="AN116" s="329"/>
      <c r="AO116" s="691"/>
    </row>
    <row r="117" spans="1:41" s="516" customFormat="1" ht="15.75">
      <c r="A117" s="516">
        <f t="shared" si="14"/>
        <v>0</v>
      </c>
      <c r="B117" s="610" t="str">
        <f>IF(AND($B$7=AN117,$B$5=J117),MAX($B$8:B116)+1,"")</f>
        <v/>
      </c>
      <c r="C117" s="493" t="str">
        <f t="shared" si="17"/>
        <v/>
      </c>
      <c r="D117" s="494" t="str">
        <f t="shared" si="10"/>
        <v/>
      </c>
      <c r="E117" s="493" t="str">
        <f t="shared" si="11"/>
        <v/>
      </c>
      <c r="F117" s="495" t="str">
        <f t="shared" si="12"/>
        <v/>
      </c>
      <c r="G117" s="496" t="str">
        <f>IF($G$6=N117,MAX($G$8:G116)+1,"")</f>
        <v/>
      </c>
      <c r="H117" s="496" t="str">
        <f>IF($H$6=J117,MAX($H$8:H116)+1,"")</f>
        <v/>
      </c>
      <c r="I117" s="172" t="str">
        <f>IF(L117&lt;&gt;"",COUNTA($L$9:L117),"")</f>
        <v/>
      </c>
      <c r="J117" s="517"/>
      <c r="K117" s="172" t="str">
        <f t="shared" si="15"/>
        <v/>
      </c>
      <c r="L117" s="136"/>
      <c r="M117" s="136"/>
      <c r="N117" s="225"/>
      <c r="O117" s="328" t="str">
        <f t="shared" si="13"/>
        <v>-</v>
      </c>
      <c r="P117" s="528"/>
      <c r="Q117" s="482"/>
      <c r="R117" s="528"/>
      <c r="S117" s="499"/>
      <c r="T117" s="518"/>
      <c r="U117" s="499"/>
      <c r="V117" s="502"/>
      <c r="W117" s="519"/>
      <c r="X117" s="502"/>
      <c r="Y117" s="499"/>
      <c r="Z117" s="518"/>
      <c r="AA117" s="499"/>
      <c r="AB117" s="505"/>
      <c r="AC117" s="520"/>
      <c r="AD117" s="505"/>
      <c r="AE117" s="508"/>
      <c r="AF117" s="521"/>
      <c r="AG117" s="508"/>
      <c r="AH117" s="511"/>
      <c r="AI117" s="522"/>
      <c r="AJ117" s="511"/>
      <c r="AK117" s="514">
        <f t="shared" si="16"/>
        <v>0</v>
      </c>
      <c r="AL117" s="523"/>
      <c r="AM117" s="525"/>
      <c r="AN117" s="329"/>
      <c r="AO117" s="691"/>
    </row>
    <row r="118" spans="1:41" s="516" customFormat="1" ht="15.75">
      <c r="A118" s="516">
        <f t="shared" si="14"/>
        <v>0</v>
      </c>
      <c r="B118" s="610" t="str">
        <f>IF(AND($B$7=AN118,$B$5=J118),MAX($B$8:B117)+1,"")</f>
        <v/>
      </c>
      <c r="C118" s="493" t="str">
        <f t="shared" si="17"/>
        <v/>
      </c>
      <c r="D118" s="494" t="str">
        <f t="shared" si="10"/>
        <v/>
      </c>
      <c r="E118" s="493" t="str">
        <f t="shared" si="11"/>
        <v/>
      </c>
      <c r="F118" s="495" t="str">
        <f t="shared" si="12"/>
        <v/>
      </c>
      <c r="G118" s="496" t="str">
        <f>IF($G$6=N118,MAX($G$8:G117)+1,"")</f>
        <v/>
      </c>
      <c r="H118" s="496" t="str">
        <f>IF($H$6=J118,MAX($H$8:H117)+1,"")</f>
        <v/>
      </c>
      <c r="I118" s="172" t="str">
        <f>IF(L118&lt;&gt;"",COUNTA($L$9:L118),"")</f>
        <v/>
      </c>
      <c r="J118" s="517"/>
      <c r="K118" s="172" t="str">
        <f t="shared" si="15"/>
        <v/>
      </c>
      <c r="L118" s="136"/>
      <c r="M118" s="136"/>
      <c r="N118" s="225"/>
      <c r="O118" s="328" t="str">
        <f t="shared" si="13"/>
        <v>-</v>
      </c>
      <c r="P118" s="528"/>
      <c r="Q118" s="482"/>
      <c r="R118" s="528"/>
      <c r="S118" s="499"/>
      <c r="T118" s="518"/>
      <c r="U118" s="499"/>
      <c r="V118" s="502"/>
      <c r="W118" s="519"/>
      <c r="X118" s="502"/>
      <c r="Y118" s="499"/>
      <c r="Z118" s="518"/>
      <c r="AA118" s="499"/>
      <c r="AB118" s="505"/>
      <c r="AC118" s="520"/>
      <c r="AD118" s="505"/>
      <c r="AE118" s="508"/>
      <c r="AF118" s="521"/>
      <c r="AG118" s="508"/>
      <c r="AH118" s="511"/>
      <c r="AI118" s="522"/>
      <c r="AJ118" s="511"/>
      <c r="AK118" s="514">
        <f t="shared" si="16"/>
        <v>0</v>
      </c>
      <c r="AL118" s="523"/>
      <c r="AM118" s="525"/>
      <c r="AN118" s="329"/>
      <c r="AO118" s="691"/>
    </row>
    <row r="119" spans="1:41" s="516" customFormat="1" ht="15.75">
      <c r="A119" s="516">
        <f t="shared" si="14"/>
        <v>0</v>
      </c>
      <c r="B119" s="610" t="str">
        <f>IF(AND($B$7=AN119,$B$5=J119),MAX($B$8:B118)+1,"")</f>
        <v/>
      </c>
      <c r="C119" s="493" t="str">
        <f t="shared" si="17"/>
        <v/>
      </c>
      <c r="D119" s="494" t="str">
        <f t="shared" si="10"/>
        <v/>
      </c>
      <c r="E119" s="493" t="str">
        <f t="shared" si="11"/>
        <v/>
      </c>
      <c r="F119" s="495" t="str">
        <f t="shared" si="12"/>
        <v/>
      </c>
      <c r="G119" s="496" t="str">
        <f>IF($G$6=N119,MAX($G$8:G118)+1,"")</f>
        <v/>
      </c>
      <c r="H119" s="496" t="str">
        <f>IF($H$6=J119,MAX($H$8:H118)+1,"")</f>
        <v/>
      </c>
      <c r="I119" s="172" t="str">
        <f>IF(L119&lt;&gt;"",COUNTA($L$9:L119),"")</f>
        <v/>
      </c>
      <c r="J119" s="517"/>
      <c r="K119" s="172" t="str">
        <f t="shared" si="15"/>
        <v/>
      </c>
      <c r="L119" s="136"/>
      <c r="M119" s="136"/>
      <c r="N119" s="225"/>
      <c r="O119" s="328" t="str">
        <f t="shared" si="13"/>
        <v>-</v>
      </c>
      <c r="P119" s="528"/>
      <c r="Q119" s="482"/>
      <c r="R119" s="528"/>
      <c r="S119" s="499"/>
      <c r="T119" s="518"/>
      <c r="U119" s="499"/>
      <c r="V119" s="502"/>
      <c r="W119" s="519"/>
      <c r="X119" s="502"/>
      <c r="Y119" s="499"/>
      <c r="Z119" s="518"/>
      <c r="AA119" s="499"/>
      <c r="AB119" s="505"/>
      <c r="AC119" s="520"/>
      <c r="AD119" s="505"/>
      <c r="AE119" s="508"/>
      <c r="AF119" s="521"/>
      <c r="AG119" s="508"/>
      <c r="AH119" s="511"/>
      <c r="AI119" s="522"/>
      <c r="AJ119" s="511"/>
      <c r="AK119" s="514">
        <f t="shared" si="16"/>
        <v>0</v>
      </c>
      <c r="AL119" s="523"/>
      <c r="AM119" s="525"/>
      <c r="AN119" s="329"/>
      <c r="AO119" s="691"/>
    </row>
    <row r="120" spans="1:41" s="516" customFormat="1" ht="15.75">
      <c r="A120" s="516">
        <f t="shared" si="14"/>
        <v>0</v>
      </c>
      <c r="B120" s="610" t="str">
        <f>IF(AND($B$7=AN120,$B$5=J120),MAX($B$8:B119)+1,"")</f>
        <v/>
      </c>
      <c r="C120" s="493" t="str">
        <f t="shared" si="17"/>
        <v/>
      </c>
      <c r="D120" s="494" t="str">
        <f t="shared" si="10"/>
        <v/>
      </c>
      <c r="E120" s="493" t="str">
        <f t="shared" si="11"/>
        <v/>
      </c>
      <c r="F120" s="495" t="str">
        <f t="shared" si="12"/>
        <v/>
      </c>
      <c r="G120" s="496" t="str">
        <f>IF($G$6=N120,MAX($G$8:G119)+1,"")</f>
        <v/>
      </c>
      <c r="H120" s="496" t="str">
        <f>IF($H$6=J120,MAX($H$8:H119)+1,"")</f>
        <v/>
      </c>
      <c r="I120" s="172" t="str">
        <f>IF(L120&lt;&gt;"",COUNTA($L$9:L120),"")</f>
        <v/>
      </c>
      <c r="J120" s="517"/>
      <c r="K120" s="172" t="str">
        <f t="shared" si="15"/>
        <v/>
      </c>
      <c r="L120" s="136"/>
      <c r="M120" s="136"/>
      <c r="N120" s="225"/>
      <c r="O120" s="328" t="str">
        <f t="shared" si="13"/>
        <v>-</v>
      </c>
      <c r="P120" s="528"/>
      <c r="Q120" s="482"/>
      <c r="R120" s="528"/>
      <c r="S120" s="499"/>
      <c r="T120" s="518"/>
      <c r="U120" s="499"/>
      <c r="V120" s="502"/>
      <c r="W120" s="519"/>
      <c r="X120" s="502"/>
      <c r="Y120" s="499"/>
      <c r="Z120" s="518"/>
      <c r="AA120" s="499"/>
      <c r="AB120" s="505"/>
      <c r="AC120" s="520"/>
      <c r="AD120" s="505"/>
      <c r="AE120" s="508"/>
      <c r="AF120" s="521"/>
      <c r="AG120" s="508"/>
      <c r="AH120" s="511"/>
      <c r="AI120" s="522"/>
      <c r="AJ120" s="511"/>
      <c r="AK120" s="514">
        <f t="shared" si="16"/>
        <v>0</v>
      </c>
      <c r="AL120" s="523"/>
      <c r="AM120" s="525"/>
      <c r="AN120" s="329"/>
      <c r="AO120" s="691"/>
    </row>
    <row r="121" spans="1:41" s="516" customFormat="1" ht="15.75">
      <c r="A121" s="516">
        <f t="shared" si="14"/>
        <v>0</v>
      </c>
      <c r="B121" s="610" t="str">
        <f>IF(AND($B$7=AN121,$B$5=J121),MAX($B$8:B120)+1,"")</f>
        <v/>
      </c>
      <c r="C121" s="493" t="str">
        <f t="shared" si="17"/>
        <v/>
      </c>
      <c r="D121" s="494" t="str">
        <f t="shared" si="10"/>
        <v/>
      </c>
      <c r="E121" s="493" t="str">
        <f t="shared" si="11"/>
        <v/>
      </c>
      <c r="F121" s="495" t="str">
        <f t="shared" si="12"/>
        <v/>
      </c>
      <c r="G121" s="496" t="str">
        <f>IF($G$6=N121,MAX($G$8:G120)+1,"")</f>
        <v/>
      </c>
      <c r="H121" s="496" t="str">
        <f>IF($H$6=J121,MAX($H$8:H120)+1,"")</f>
        <v/>
      </c>
      <c r="I121" s="172" t="str">
        <f>IF(L121&lt;&gt;"",COUNTA($L$9:L121),"")</f>
        <v/>
      </c>
      <c r="J121" s="517"/>
      <c r="K121" s="172" t="str">
        <f t="shared" si="15"/>
        <v/>
      </c>
      <c r="L121" s="136"/>
      <c r="M121" s="136"/>
      <c r="N121" s="225"/>
      <c r="O121" s="328" t="str">
        <f t="shared" si="13"/>
        <v>-</v>
      </c>
      <c r="P121" s="528"/>
      <c r="Q121" s="482"/>
      <c r="R121" s="528"/>
      <c r="S121" s="499"/>
      <c r="T121" s="518"/>
      <c r="U121" s="499"/>
      <c r="V121" s="502"/>
      <c r="W121" s="519"/>
      <c r="X121" s="502"/>
      <c r="Y121" s="499"/>
      <c r="Z121" s="518"/>
      <c r="AA121" s="499"/>
      <c r="AB121" s="505"/>
      <c r="AC121" s="520"/>
      <c r="AD121" s="505"/>
      <c r="AE121" s="508"/>
      <c r="AF121" s="521"/>
      <c r="AG121" s="508"/>
      <c r="AH121" s="511"/>
      <c r="AI121" s="522"/>
      <c r="AJ121" s="511"/>
      <c r="AK121" s="514">
        <f t="shared" si="16"/>
        <v>0</v>
      </c>
      <c r="AL121" s="523"/>
      <c r="AM121" s="525"/>
      <c r="AN121" s="329"/>
      <c r="AO121" s="691"/>
    </row>
    <row r="122" spans="1:41" s="516" customFormat="1" ht="15.75">
      <c r="A122" s="516">
        <f t="shared" si="14"/>
        <v>0</v>
      </c>
      <c r="B122" s="610" t="str">
        <f>IF(AND($B$7=AN122,$B$5=J122),MAX($B$8:B121)+1,"")</f>
        <v/>
      </c>
      <c r="C122" s="493" t="str">
        <f t="shared" si="17"/>
        <v/>
      </c>
      <c r="D122" s="494" t="str">
        <f t="shared" si="10"/>
        <v/>
      </c>
      <c r="E122" s="493" t="str">
        <f t="shared" si="11"/>
        <v/>
      </c>
      <c r="F122" s="495" t="str">
        <f t="shared" si="12"/>
        <v/>
      </c>
      <c r="G122" s="496" t="str">
        <f>IF($G$6=N122,MAX($G$8:G121)+1,"")</f>
        <v/>
      </c>
      <c r="H122" s="496" t="str">
        <f>IF($H$6=J122,MAX($H$8:H121)+1,"")</f>
        <v/>
      </c>
      <c r="I122" s="172" t="str">
        <f>IF(L122&lt;&gt;"",COUNTA($L$9:L122),"")</f>
        <v/>
      </c>
      <c r="J122" s="517"/>
      <c r="K122" s="172" t="str">
        <f t="shared" si="15"/>
        <v/>
      </c>
      <c r="L122" s="136"/>
      <c r="M122" s="136"/>
      <c r="N122" s="225"/>
      <c r="O122" s="328" t="str">
        <f t="shared" si="13"/>
        <v>-</v>
      </c>
      <c r="P122" s="528"/>
      <c r="Q122" s="482"/>
      <c r="R122" s="528"/>
      <c r="S122" s="499"/>
      <c r="T122" s="518"/>
      <c r="U122" s="499"/>
      <c r="V122" s="502"/>
      <c r="W122" s="519"/>
      <c r="X122" s="502"/>
      <c r="Y122" s="499"/>
      <c r="Z122" s="518"/>
      <c r="AA122" s="499"/>
      <c r="AB122" s="505"/>
      <c r="AC122" s="520"/>
      <c r="AD122" s="505"/>
      <c r="AE122" s="508"/>
      <c r="AF122" s="521"/>
      <c r="AG122" s="508"/>
      <c r="AH122" s="511"/>
      <c r="AI122" s="522"/>
      <c r="AJ122" s="511"/>
      <c r="AK122" s="514">
        <f t="shared" si="16"/>
        <v>0</v>
      </c>
      <c r="AL122" s="523"/>
      <c r="AM122" s="525"/>
      <c r="AN122" s="329"/>
      <c r="AO122" s="691"/>
    </row>
    <row r="123" spans="1:41" s="516" customFormat="1" ht="15.75">
      <c r="A123" s="516">
        <f t="shared" si="14"/>
        <v>0</v>
      </c>
      <c r="B123" s="610" t="str">
        <f>IF(AND($B$7=AN123,$B$5=J123),MAX($B$8:B122)+1,"")</f>
        <v/>
      </c>
      <c r="C123" s="493" t="str">
        <f t="shared" si="17"/>
        <v/>
      </c>
      <c r="D123" s="494" t="str">
        <f t="shared" si="10"/>
        <v/>
      </c>
      <c r="E123" s="493" t="str">
        <f t="shared" si="11"/>
        <v/>
      </c>
      <c r="F123" s="495" t="str">
        <f t="shared" si="12"/>
        <v/>
      </c>
      <c r="G123" s="496" t="str">
        <f>IF($G$6=N123,MAX($G$8:G122)+1,"")</f>
        <v/>
      </c>
      <c r="H123" s="496" t="str">
        <f>IF($H$6=J123,MAX($H$8:H122)+1,"")</f>
        <v/>
      </c>
      <c r="I123" s="172" t="str">
        <f>IF(L123&lt;&gt;"",COUNTA($L$9:L123),"")</f>
        <v/>
      </c>
      <c r="J123" s="517"/>
      <c r="K123" s="172" t="str">
        <f t="shared" si="15"/>
        <v/>
      </c>
      <c r="L123" s="136"/>
      <c r="M123" s="136"/>
      <c r="N123" s="225"/>
      <c r="O123" s="328" t="str">
        <f t="shared" ref="O123" si="18">TRIM(Q123&amp;IF(T123="","","; "&amp;T123)&amp;IF(W123="","","; "&amp;W123)&amp;IF(Z123="","","; "&amp;Z123)&amp;IF(AC123="","","; "&amp;AC123)&amp;IF(AF123="","","; "&amp;AF123)&amp;IF(AI123="","","; "&amp;AI123)&amp;" - "&amp;N123)</f>
        <v>-</v>
      </c>
      <c r="P123" s="528"/>
      <c r="Q123" s="482"/>
      <c r="R123" s="528"/>
      <c r="S123" s="499"/>
      <c r="T123" s="518"/>
      <c r="U123" s="499"/>
      <c r="V123" s="502"/>
      <c r="W123" s="519"/>
      <c r="X123" s="502"/>
      <c r="Y123" s="499"/>
      <c r="Z123" s="518"/>
      <c r="AA123" s="499"/>
      <c r="AB123" s="505"/>
      <c r="AC123" s="520"/>
      <c r="AD123" s="505"/>
      <c r="AE123" s="508"/>
      <c r="AF123" s="521"/>
      <c r="AG123" s="508"/>
      <c r="AH123" s="511"/>
      <c r="AI123" s="522"/>
      <c r="AJ123" s="511"/>
      <c r="AK123" s="514">
        <f t="shared" si="16"/>
        <v>0</v>
      </c>
      <c r="AL123" s="523"/>
      <c r="AM123" s="525"/>
      <c r="AN123" s="329"/>
      <c r="AO123" s="691"/>
    </row>
    <row r="124" spans="1:41" s="516" customFormat="1" ht="15.75">
      <c r="A124" s="516">
        <f t="shared" si="14"/>
        <v>0</v>
      </c>
      <c r="B124" s="610" t="str">
        <f>IF(AND($B$7=AN124,$B$5=J124),MAX($B$8:B123)+1,"")</f>
        <v/>
      </c>
      <c r="C124" s="493" t="str">
        <f t="shared" si="17"/>
        <v/>
      </c>
      <c r="D124" s="494" t="str">
        <f t="shared" si="10"/>
        <v/>
      </c>
      <c r="E124" s="493" t="str">
        <f t="shared" si="11"/>
        <v/>
      </c>
      <c r="F124" s="495" t="str">
        <f t="shared" si="12"/>
        <v/>
      </c>
      <c r="G124" s="496" t="str">
        <f>IF($G$6=N124,MAX($G$8:G123)+1,"")</f>
        <v/>
      </c>
      <c r="H124" s="496" t="str">
        <f>IF($H$6=J124,MAX($H$8:H123)+1,"")</f>
        <v/>
      </c>
      <c r="I124" s="172" t="str">
        <f>IF(L124&lt;&gt;"",COUNTA($L$9:L124),"")</f>
        <v/>
      </c>
      <c r="J124" s="517"/>
      <c r="K124" s="172" t="str">
        <f t="shared" si="15"/>
        <v/>
      </c>
      <c r="L124" s="136"/>
      <c r="M124" s="136"/>
      <c r="N124" s="225"/>
      <c r="O124" s="328" t="str">
        <f t="shared" si="13"/>
        <v>-</v>
      </c>
      <c r="P124" s="528"/>
      <c r="Q124" s="482"/>
      <c r="R124" s="528"/>
      <c r="S124" s="499"/>
      <c r="T124" s="518"/>
      <c r="U124" s="499"/>
      <c r="V124" s="502"/>
      <c r="W124" s="519"/>
      <c r="X124" s="502"/>
      <c r="Y124" s="499"/>
      <c r="Z124" s="518"/>
      <c r="AA124" s="499"/>
      <c r="AB124" s="505"/>
      <c r="AC124" s="520"/>
      <c r="AD124" s="505"/>
      <c r="AE124" s="508"/>
      <c r="AF124" s="521"/>
      <c r="AG124" s="508"/>
      <c r="AH124" s="511"/>
      <c r="AI124" s="522"/>
      <c r="AJ124" s="511"/>
      <c r="AK124" s="514">
        <f t="shared" si="16"/>
        <v>0</v>
      </c>
      <c r="AL124" s="523"/>
      <c r="AM124" s="525"/>
      <c r="AN124" s="329"/>
      <c r="AO124" s="691"/>
    </row>
    <row r="125" spans="1:41" s="516" customFormat="1" ht="15.75">
      <c r="A125" s="516">
        <f t="shared" si="14"/>
        <v>0</v>
      </c>
      <c r="B125" s="610" t="str">
        <f>IF(AND($B$7=AN125,$B$5=J125),MAX($B$8:B124)+1,"")</f>
        <v/>
      </c>
      <c r="C125" s="493" t="str">
        <f t="shared" si="17"/>
        <v/>
      </c>
      <c r="D125" s="494" t="str">
        <f t="shared" si="10"/>
        <v/>
      </c>
      <c r="E125" s="493" t="str">
        <f t="shared" si="11"/>
        <v/>
      </c>
      <c r="F125" s="495" t="str">
        <f t="shared" si="12"/>
        <v/>
      </c>
      <c r="G125" s="496" t="str">
        <f>IF($G$6=N125,MAX($G$8:G124)+1,"")</f>
        <v/>
      </c>
      <c r="H125" s="496" t="str">
        <f>IF($H$6=J125,MAX($H$8:H124)+1,"")</f>
        <v/>
      </c>
      <c r="I125" s="172" t="str">
        <f>IF(L125&lt;&gt;"",COUNTA($L$9:L125),"")</f>
        <v/>
      </c>
      <c r="J125" s="517"/>
      <c r="K125" s="172" t="str">
        <f t="shared" si="15"/>
        <v/>
      </c>
      <c r="L125" s="136"/>
      <c r="M125" s="136"/>
      <c r="N125" s="225"/>
      <c r="O125" s="328" t="str">
        <f t="shared" si="13"/>
        <v>-</v>
      </c>
      <c r="P125" s="528"/>
      <c r="Q125" s="482"/>
      <c r="R125" s="528"/>
      <c r="S125" s="499"/>
      <c r="T125" s="518"/>
      <c r="U125" s="499"/>
      <c r="V125" s="502"/>
      <c r="W125" s="519"/>
      <c r="X125" s="502"/>
      <c r="Y125" s="499"/>
      <c r="Z125" s="518"/>
      <c r="AA125" s="499"/>
      <c r="AB125" s="505"/>
      <c r="AC125" s="520"/>
      <c r="AD125" s="505"/>
      <c r="AE125" s="508"/>
      <c r="AF125" s="521"/>
      <c r="AG125" s="508"/>
      <c r="AH125" s="511"/>
      <c r="AI125" s="522"/>
      <c r="AJ125" s="511"/>
      <c r="AK125" s="514">
        <f t="shared" si="16"/>
        <v>0</v>
      </c>
      <c r="AL125" s="523"/>
      <c r="AM125" s="525"/>
      <c r="AN125" s="329"/>
      <c r="AO125" s="691"/>
    </row>
    <row r="126" spans="1:41" s="516" customFormat="1" ht="15.75">
      <c r="A126" s="516">
        <f t="shared" si="14"/>
        <v>0</v>
      </c>
      <c r="B126" s="610" t="str">
        <f>IF(AND($B$7=AN126,$B$5=J126),MAX($B$8:B125)+1,"")</f>
        <v/>
      </c>
      <c r="C126" s="493" t="str">
        <f t="shared" si="17"/>
        <v/>
      </c>
      <c r="D126" s="494" t="str">
        <f t="shared" si="10"/>
        <v/>
      </c>
      <c r="E126" s="493" t="str">
        <f t="shared" si="11"/>
        <v/>
      </c>
      <c r="F126" s="495" t="str">
        <f t="shared" si="12"/>
        <v/>
      </c>
      <c r="G126" s="496" t="str">
        <f>IF($G$6=N126,MAX($G$8:G125)+1,"")</f>
        <v/>
      </c>
      <c r="H126" s="496" t="str">
        <f>IF($H$6=J126,MAX($H$8:H125)+1,"")</f>
        <v/>
      </c>
      <c r="I126" s="172" t="str">
        <f>IF(L126&lt;&gt;"",COUNTA($L$9:L126),"")</f>
        <v/>
      </c>
      <c r="J126" s="517"/>
      <c r="K126" s="172" t="str">
        <f t="shared" si="15"/>
        <v/>
      </c>
      <c r="L126" s="136"/>
      <c r="M126" s="136"/>
      <c r="N126" s="225"/>
      <c r="O126" s="328" t="str">
        <f t="shared" si="13"/>
        <v>-</v>
      </c>
      <c r="P126" s="528"/>
      <c r="Q126" s="482"/>
      <c r="R126" s="528"/>
      <c r="S126" s="499"/>
      <c r="T126" s="518"/>
      <c r="U126" s="499"/>
      <c r="V126" s="502"/>
      <c r="W126" s="519"/>
      <c r="X126" s="502"/>
      <c r="Y126" s="499"/>
      <c r="Z126" s="518"/>
      <c r="AA126" s="499"/>
      <c r="AB126" s="505"/>
      <c r="AC126" s="520"/>
      <c r="AD126" s="505"/>
      <c r="AE126" s="508"/>
      <c r="AF126" s="521"/>
      <c r="AG126" s="508"/>
      <c r="AH126" s="511"/>
      <c r="AI126" s="522"/>
      <c r="AJ126" s="511"/>
      <c r="AK126" s="514">
        <f t="shared" si="16"/>
        <v>0</v>
      </c>
      <c r="AL126" s="523"/>
      <c r="AM126" s="525"/>
      <c r="AN126" s="329"/>
      <c r="AO126" s="691"/>
    </row>
    <row r="127" spans="1:41" s="516" customFormat="1" ht="15.75">
      <c r="A127" s="516">
        <f t="shared" si="14"/>
        <v>0</v>
      </c>
      <c r="B127" s="610" t="str">
        <f>IF(AND($B$7=AN127,$B$5=J127),MAX($B$8:B126)+1,"")</f>
        <v/>
      </c>
      <c r="C127" s="493" t="str">
        <f t="shared" si="17"/>
        <v/>
      </c>
      <c r="D127" s="494" t="str">
        <f t="shared" si="10"/>
        <v/>
      </c>
      <c r="E127" s="493" t="str">
        <f t="shared" si="11"/>
        <v/>
      </c>
      <c r="F127" s="495" t="str">
        <f t="shared" si="12"/>
        <v/>
      </c>
      <c r="G127" s="496" t="str">
        <f>IF($G$6=N127,MAX($G$8:G126)+1,"")</f>
        <v/>
      </c>
      <c r="H127" s="496" t="str">
        <f>IF($H$6=J127,MAX($H$8:H126)+1,"")</f>
        <v/>
      </c>
      <c r="I127" s="172" t="str">
        <f>IF(L127&lt;&gt;"",COUNTA($L$9:L127),"")</f>
        <v/>
      </c>
      <c r="J127" s="517"/>
      <c r="K127" s="172" t="str">
        <f t="shared" si="15"/>
        <v/>
      </c>
      <c r="L127" s="136"/>
      <c r="M127" s="136"/>
      <c r="N127" s="225"/>
      <c r="O127" s="328" t="str">
        <f t="shared" si="13"/>
        <v>-</v>
      </c>
      <c r="P127" s="528"/>
      <c r="Q127" s="482"/>
      <c r="R127" s="528"/>
      <c r="S127" s="499"/>
      <c r="T127" s="518"/>
      <c r="U127" s="499"/>
      <c r="V127" s="502"/>
      <c r="W127" s="519"/>
      <c r="X127" s="502"/>
      <c r="Y127" s="499"/>
      <c r="Z127" s="518"/>
      <c r="AA127" s="499"/>
      <c r="AB127" s="505"/>
      <c r="AC127" s="520"/>
      <c r="AD127" s="505"/>
      <c r="AE127" s="508"/>
      <c r="AF127" s="521"/>
      <c r="AG127" s="508"/>
      <c r="AH127" s="511"/>
      <c r="AI127" s="522"/>
      <c r="AJ127" s="511"/>
      <c r="AK127" s="514">
        <f t="shared" si="16"/>
        <v>0</v>
      </c>
      <c r="AL127" s="523"/>
      <c r="AM127" s="525"/>
      <c r="AN127" s="329"/>
      <c r="AO127" s="691"/>
    </row>
    <row r="128" spans="1:41" s="524" customFormat="1" ht="15.75">
      <c r="A128" s="516">
        <f t="shared" si="14"/>
        <v>0</v>
      </c>
      <c r="B128" s="610" t="str">
        <f>IF(AND($B$7=AN128,$B$5=J128),MAX($B$8:B127)+1,"")</f>
        <v/>
      </c>
      <c r="C128" s="493" t="str">
        <f t="shared" si="17"/>
        <v/>
      </c>
      <c r="D128" s="494" t="str">
        <f t="shared" si="10"/>
        <v/>
      </c>
      <c r="E128" s="493" t="str">
        <f t="shared" si="11"/>
        <v/>
      </c>
      <c r="F128" s="495" t="str">
        <f t="shared" si="12"/>
        <v/>
      </c>
      <c r="G128" s="496" t="str">
        <f>IF($G$6=N128,MAX($G$8:G127)+1,"")</f>
        <v/>
      </c>
      <c r="H128" s="496" t="str">
        <f>IF($H$6=J128,MAX($H$8:H127)+1,"")</f>
        <v/>
      </c>
      <c r="I128" s="172" t="str">
        <f>IF(L128&lt;&gt;"",COUNTA($L$9:L128),"")</f>
        <v/>
      </c>
      <c r="J128" s="517"/>
      <c r="K128" s="172" t="str">
        <f t="shared" si="15"/>
        <v/>
      </c>
      <c r="L128" s="136"/>
      <c r="M128" s="136"/>
      <c r="N128" s="225"/>
      <c r="O128" s="328" t="str">
        <f t="shared" si="13"/>
        <v>-</v>
      </c>
      <c r="P128" s="528"/>
      <c r="Q128" s="482"/>
      <c r="R128" s="528"/>
      <c r="S128" s="499"/>
      <c r="T128" s="518"/>
      <c r="U128" s="499"/>
      <c r="V128" s="502"/>
      <c r="W128" s="519"/>
      <c r="X128" s="502"/>
      <c r="Y128" s="499"/>
      <c r="Z128" s="518"/>
      <c r="AA128" s="499"/>
      <c r="AB128" s="505"/>
      <c r="AC128" s="520"/>
      <c r="AD128" s="505"/>
      <c r="AE128" s="508"/>
      <c r="AF128" s="521"/>
      <c r="AG128" s="508"/>
      <c r="AH128" s="511"/>
      <c r="AI128" s="522"/>
      <c r="AJ128" s="511"/>
      <c r="AK128" s="514">
        <f t="shared" si="16"/>
        <v>0</v>
      </c>
      <c r="AL128" s="523"/>
      <c r="AM128" s="525"/>
      <c r="AN128" s="329"/>
      <c r="AO128" s="691"/>
    </row>
    <row r="129" spans="1:41" s="516" customFormat="1" ht="15.75">
      <c r="A129" s="516">
        <f t="shared" si="14"/>
        <v>0</v>
      </c>
      <c r="B129" s="610" t="str">
        <f>IF(AND($B$7=AN129,$B$5=J129),MAX($B$8:B128)+1,"")</f>
        <v/>
      </c>
      <c r="C129" s="493" t="str">
        <f t="shared" si="17"/>
        <v/>
      </c>
      <c r="D129" s="494" t="str">
        <f t="shared" si="10"/>
        <v/>
      </c>
      <c r="E129" s="493" t="str">
        <f t="shared" si="11"/>
        <v/>
      </c>
      <c r="F129" s="495" t="str">
        <f t="shared" si="12"/>
        <v/>
      </c>
      <c r="G129" s="496" t="str">
        <f>IF($G$6=N129,MAX($G$8:G128)+1,"")</f>
        <v/>
      </c>
      <c r="H129" s="496" t="str">
        <f>IF($H$6=J129,MAX($H$8:H128)+1,"")</f>
        <v/>
      </c>
      <c r="I129" s="172" t="str">
        <f>IF(L129&lt;&gt;"",COUNTA($L$9:L129),"")</f>
        <v/>
      </c>
      <c r="J129" s="517"/>
      <c r="K129" s="172" t="str">
        <f t="shared" si="15"/>
        <v/>
      </c>
      <c r="L129" s="136"/>
      <c r="M129" s="136"/>
      <c r="N129" s="225"/>
      <c r="O129" s="328" t="str">
        <f t="shared" si="13"/>
        <v>-</v>
      </c>
      <c r="P129" s="528"/>
      <c r="Q129" s="482"/>
      <c r="R129" s="528"/>
      <c r="S129" s="499"/>
      <c r="T129" s="518"/>
      <c r="U129" s="499"/>
      <c r="V129" s="502"/>
      <c r="W129" s="519"/>
      <c r="X129" s="502"/>
      <c r="Y129" s="499"/>
      <c r="Z129" s="518"/>
      <c r="AA129" s="499"/>
      <c r="AB129" s="505"/>
      <c r="AC129" s="520"/>
      <c r="AD129" s="505"/>
      <c r="AE129" s="508"/>
      <c r="AF129" s="521"/>
      <c r="AG129" s="508"/>
      <c r="AH129" s="511"/>
      <c r="AI129" s="522"/>
      <c r="AJ129" s="511"/>
      <c r="AK129" s="514">
        <f t="shared" si="16"/>
        <v>0</v>
      </c>
      <c r="AL129" s="523"/>
      <c r="AM129" s="525"/>
      <c r="AN129" s="329"/>
      <c r="AO129" s="691"/>
    </row>
    <row r="130" spans="1:41" s="516" customFormat="1" ht="15.75">
      <c r="A130" s="516">
        <f t="shared" si="14"/>
        <v>0</v>
      </c>
      <c r="B130" s="610" t="str">
        <f>IF(AND($B$7=AN130,$B$5=J130),MAX($B$8:B129)+1,"")</f>
        <v/>
      </c>
      <c r="C130" s="493" t="str">
        <f t="shared" si="17"/>
        <v/>
      </c>
      <c r="D130" s="494" t="str">
        <f t="shared" si="10"/>
        <v/>
      </c>
      <c r="E130" s="493" t="str">
        <f t="shared" si="11"/>
        <v/>
      </c>
      <c r="F130" s="495" t="str">
        <f t="shared" si="12"/>
        <v/>
      </c>
      <c r="G130" s="496" t="str">
        <f>IF($G$6=N130,MAX($G$8:G129)+1,"")</f>
        <v/>
      </c>
      <c r="H130" s="496" t="str">
        <f>IF($H$6=J130,MAX($H$8:H129)+1,"")</f>
        <v/>
      </c>
      <c r="I130" s="172" t="str">
        <f>IF(L130&lt;&gt;"",COUNTA($L$9:L130),"")</f>
        <v/>
      </c>
      <c r="J130" s="517"/>
      <c r="K130" s="172" t="str">
        <f t="shared" si="15"/>
        <v/>
      </c>
      <c r="L130" s="136"/>
      <c r="M130" s="136"/>
      <c r="N130" s="225"/>
      <c r="O130" s="328" t="str">
        <f t="shared" si="13"/>
        <v>-</v>
      </c>
      <c r="P130" s="528"/>
      <c r="Q130" s="482"/>
      <c r="R130" s="528"/>
      <c r="S130" s="499"/>
      <c r="T130" s="518"/>
      <c r="U130" s="499"/>
      <c r="V130" s="502"/>
      <c r="W130" s="519"/>
      <c r="X130" s="502"/>
      <c r="Y130" s="499"/>
      <c r="Z130" s="518"/>
      <c r="AA130" s="499"/>
      <c r="AB130" s="505"/>
      <c r="AC130" s="520"/>
      <c r="AD130" s="505"/>
      <c r="AE130" s="508"/>
      <c r="AF130" s="521"/>
      <c r="AG130" s="508"/>
      <c r="AH130" s="511"/>
      <c r="AI130" s="522"/>
      <c r="AJ130" s="511"/>
      <c r="AK130" s="514">
        <f t="shared" si="16"/>
        <v>0</v>
      </c>
      <c r="AL130" s="523"/>
      <c r="AM130" s="525"/>
      <c r="AN130" s="329"/>
      <c r="AO130" s="691"/>
    </row>
    <row r="131" spans="1:41" s="516" customFormat="1" ht="15.75">
      <c r="A131" s="516">
        <f t="shared" si="14"/>
        <v>0</v>
      </c>
      <c r="B131" s="610" t="str">
        <f>IF(AND($B$7=AN131,$B$5=J131),MAX($B$8:B130)+1,"")</f>
        <v/>
      </c>
      <c r="C131" s="493" t="str">
        <f t="shared" si="17"/>
        <v/>
      </c>
      <c r="D131" s="494" t="str">
        <f t="shared" si="10"/>
        <v/>
      </c>
      <c r="E131" s="493" t="str">
        <f t="shared" si="11"/>
        <v/>
      </c>
      <c r="F131" s="495" t="str">
        <f t="shared" si="12"/>
        <v/>
      </c>
      <c r="G131" s="496" t="str">
        <f>IF($G$6=N131,MAX($G$8:G130)+1,"")</f>
        <v/>
      </c>
      <c r="H131" s="496" t="str">
        <f>IF($H$6=J131,MAX($H$8:H130)+1,"")</f>
        <v/>
      </c>
      <c r="I131" s="172" t="str">
        <f>IF(L131&lt;&gt;"",COUNTA($L$9:L131),"")</f>
        <v/>
      </c>
      <c r="J131" s="517"/>
      <c r="K131" s="172" t="str">
        <f t="shared" si="15"/>
        <v/>
      </c>
      <c r="L131" s="136"/>
      <c r="M131" s="136"/>
      <c r="N131" s="225"/>
      <c r="O131" s="328" t="str">
        <f t="shared" si="13"/>
        <v>-</v>
      </c>
      <c r="P131" s="528"/>
      <c r="Q131" s="482"/>
      <c r="R131" s="528"/>
      <c r="S131" s="499"/>
      <c r="T131" s="518"/>
      <c r="U131" s="499"/>
      <c r="V131" s="502"/>
      <c r="W131" s="519"/>
      <c r="X131" s="502"/>
      <c r="Y131" s="499"/>
      <c r="Z131" s="518"/>
      <c r="AA131" s="499"/>
      <c r="AB131" s="505"/>
      <c r="AC131" s="520"/>
      <c r="AD131" s="505"/>
      <c r="AE131" s="508"/>
      <c r="AF131" s="521"/>
      <c r="AG131" s="508"/>
      <c r="AH131" s="511"/>
      <c r="AI131" s="522"/>
      <c r="AJ131" s="511"/>
      <c r="AK131" s="514">
        <f t="shared" si="16"/>
        <v>0</v>
      </c>
      <c r="AL131" s="523"/>
      <c r="AM131" s="525"/>
      <c r="AN131" s="329"/>
      <c r="AO131" s="691"/>
    </row>
    <row r="132" spans="1:41" s="516" customFormat="1" ht="15.75">
      <c r="A132" s="516">
        <f t="shared" si="14"/>
        <v>0</v>
      </c>
      <c r="B132" s="610" t="str">
        <f>IF(AND($B$7=AN132,$B$5=J132),MAX($B$8:B131)+1,"")</f>
        <v/>
      </c>
      <c r="C132" s="493" t="str">
        <f t="shared" si="17"/>
        <v/>
      </c>
      <c r="D132" s="494" t="str">
        <f t="shared" si="10"/>
        <v/>
      </c>
      <c r="E132" s="493" t="str">
        <f t="shared" si="11"/>
        <v/>
      </c>
      <c r="F132" s="495" t="str">
        <f t="shared" si="12"/>
        <v/>
      </c>
      <c r="G132" s="496" t="str">
        <f>IF($G$6=N132,MAX($G$8:G131)+1,"")</f>
        <v/>
      </c>
      <c r="H132" s="496" t="str">
        <f>IF($H$6=J132,MAX($H$8:H131)+1,"")</f>
        <v/>
      </c>
      <c r="I132" s="172" t="str">
        <f>IF(L132&lt;&gt;"",COUNTA($L$9:L132),"")</f>
        <v/>
      </c>
      <c r="J132" s="517"/>
      <c r="K132" s="172" t="str">
        <f t="shared" si="15"/>
        <v/>
      </c>
      <c r="L132" s="136"/>
      <c r="M132" s="136"/>
      <c r="N132" s="225"/>
      <c r="O132" s="328" t="str">
        <f t="shared" si="13"/>
        <v>-</v>
      </c>
      <c r="P132" s="528"/>
      <c r="Q132" s="482"/>
      <c r="R132" s="528"/>
      <c r="S132" s="499"/>
      <c r="T132" s="518"/>
      <c r="U132" s="499"/>
      <c r="V132" s="502"/>
      <c r="W132" s="519"/>
      <c r="X132" s="502"/>
      <c r="Y132" s="499"/>
      <c r="Z132" s="518"/>
      <c r="AA132" s="499"/>
      <c r="AB132" s="505"/>
      <c r="AC132" s="520"/>
      <c r="AD132" s="505"/>
      <c r="AE132" s="508"/>
      <c r="AF132" s="521"/>
      <c r="AG132" s="508"/>
      <c r="AH132" s="511"/>
      <c r="AI132" s="522"/>
      <c r="AJ132" s="511"/>
      <c r="AK132" s="514">
        <f t="shared" si="16"/>
        <v>0</v>
      </c>
      <c r="AL132" s="523"/>
      <c r="AM132" s="525"/>
      <c r="AN132" s="329"/>
      <c r="AO132" s="691"/>
    </row>
    <row r="133" spans="1:41" s="516" customFormat="1" ht="15.75">
      <c r="A133" s="516">
        <f t="shared" si="14"/>
        <v>0</v>
      </c>
      <c r="B133" s="610" t="str">
        <f>IF(AND($B$7=AN133,$B$5=J133),MAX($B$8:B132)+1,"")</f>
        <v/>
      </c>
      <c r="C133" s="493" t="str">
        <f t="shared" si="17"/>
        <v/>
      </c>
      <c r="D133" s="494" t="str">
        <f t="shared" si="10"/>
        <v/>
      </c>
      <c r="E133" s="493" t="str">
        <f t="shared" si="11"/>
        <v/>
      </c>
      <c r="F133" s="495" t="str">
        <f t="shared" si="12"/>
        <v/>
      </c>
      <c r="G133" s="496" t="str">
        <f>IF($G$6=N133,MAX($G$8:G132)+1,"")</f>
        <v/>
      </c>
      <c r="H133" s="496" t="str">
        <f>IF($H$6=J133,MAX($H$8:H132)+1,"")</f>
        <v/>
      </c>
      <c r="I133" s="172" t="str">
        <f>IF(L133&lt;&gt;"",COUNTA($L$9:L133),"")</f>
        <v/>
      </c>
      <c r="J133" s="517"/>
      <c r="K133" s="172" t="str">
        <f t="shared" si="15"/>
        <v/>
      </c>
      <c r="L133" s="136"/>
      <c r="M133" s="136"/>
      <c r="N133" s="225"/>
      <c r="O133" s="328" t="str">
        <f t="shared" si="13"/>
        <v>-</v>
      </c>
      <c r="P133" s="528"/>
      <c r="Q133" s="482"/>
      <c r="R133" s="528"/>
      <c r="S133" s="499"/>
      <c r="T133" s="518"/>
      <c r="U133" s="499"/>
      <c r="V133" s="502"/>
      <c r="W133" s="519"/>
      <c r="X133" s="502"/>
      <c r="Y133" s="499"/>
      <c r="Z133" s="518"/>
      <c r="AA133" s="499"/>
      <c r="AB133" s="505"/>
      <c r="AC133" s="520"/>
      <c r="AD133" s="505"/>
      <c r="AE133" s="508"/>
      <c r="AF133" s="521"/>
      <c r="AG133" s="508"/>
      <c r="AH133" s="511"/>
      <c r="AI133" s="522"/>
      <c r="AJ133" s="511"/>
      <c r="AK133" s="514">
        <f t="shared" si="16"/>
        <v>0</v>
      </c>
      <c r="AL133" s="523"/>
      <c r="AM133" s="525"/>
      <c r="AN133" s="329"/>
      <c r="AO133" s="691"/>
    </row>
    <row r="134" spans="1:41" s="516" customFormat="1" ht="15.75">
      <c r="A134" s="516">
        <f t="shared" si="14"/>
        <v>0</v>
      </c>
      <c r="B134" s="610" t="str">
        <f>IF(AND($B$7=AN134,$B$5=J134),MAX($B$8:B133)+1,"")</f>
        <v/>
      </c>
      <c r="C134" s="493" t="str">
        <f t="shared" si="17"/>
        <v/>
      </c>
      <c r="D134" s="494" t="str">
        <f t="shared" si="10"/>
        <v/>
      </c>
      <c r="E134" s="493" t="str">
        <f t="shared" si="11"/>
        <v/>
      </c>
      <c r="F134" s="495" t="str">
        <f t="shared" si="12"/>
        <v/>
      </c>
      <c r="G134" s="496" t="str">
        <f>IF($G$6=N134,MAX($G$8:G133)+1,"")</f>
        <v/>
      </c>
      <c r="H134" s="496" t="str">
        <f>IF($H$6=J134,MAX($H$8:H133)+1,"")</f>
        <v/>
      </c>
      <c r="I134" s="172" t="str">
        <f>IF(L134&lt;&gt;"",COUNTA($L$9:L134),"")</f>
        <v/>
      </c>
      <c r="J134" s="517"/>
      <c r="K134" s="172" t="str">
        <f t="shared" si="15"/>
        <v/>
      </c>
      <c r="L134" s="136"/>
      <c r="M134" s="136"/>
      <c r="N134" s="225"/>
      <c r="O134" s="328" t="str">
        <f t="shared" si="13"/>
        <v>-</v>
      </c>
      <c r="P134" s="528"/>
      <c r="Q134" s="482"/>
      <c r="R134" s="528"/>
      <c r="S134" s="499"/>
      <c r="T134" s="518"/>
      <c r="U134" s="499"/>
      <c r="V134" s="502"/>
      <c r="W134" s="519"/>
      <c r="X134" s="502"/>
      <c r="Y134" s="499"/>
      <c r="Z134" s="518"/>
      <c r="AA134" s="499"/>
      <c r="AB134" s="505"/>
      <c r="AC134" s="520"/>
      <c r="AD134" s="505"/>
      <c r="AE134" s="508"/>
      <c r="AF134" s="521"/>
      <c r="AG134" s="508"/>
      <c r="AH134" s="511"/>
      <c r="AI134" s="522"/>
      <c r="AJ134" s="511"/>
      <c r="AK134" s="514">
        <f t="shared" si="16"/>
        <v>0</v>
      </c>
      <c r="AL134" s="523"/>
      <c r="AM134" s="525"/>
      <c r="AN134" s="329"/>
      <c r="AO134" s="691"/>
    </row>
    <row r="135" spans="1:41" s="516" customFormat="1" ht="15.75">
      <c r="A135" s="516">
        <f t="shared" si="14"/>
        <v>0</v>
      </c>
      <c r="B135" s="610" t="str">
        <f>IF(AND($B$7=AN135,$B$5=J135),MAX($B$8:B134)+1,"")</f>
        <v/>
      </c>
      <c r="C135" s="493" t="str">
        <f t="shared" si="17"/>
        <v/>
      </c>
      <c r="D135" s="494" t="str">
        <f t="shared" si="10"/>
        <v/>
      </c>
      <c r="E135" s="493" t="str">
        <f t="shared" si="11"/>
        <v/>
      </c>
      <c r="F135" s="495" t="str">
        <f t="shared" si="12"/>
        <v/>
      </c>
      <c r="G135" s="496" t="str">
        <f>IF($G$6=N135,MAX($G$8:G134)+1,"")</f>
        <v/>
      </c>
      <c r="H135" s="496" t="str">
        <f>IF($H$6=J135,MAX($H$8:H134)+1,"")</f>
        <v/>
      </c>
      <c r="I135" s="172" t="str">
        <f>IF(L135&lt;&gt;"",COUNTA($L$9:L135),"")</f>
        <v/>
      </c>
      <c r="J135" s="517"/>
      <c r="K135" s="172" t="str">
        <f t="shared" si="15"/>
        <v/>
      </c>
      <c r="L135" s="136"/>
      <c r="M135" s="136"/>
      <c r="N135" s="225"/>
      <c r="O135" s="328" t="str">
        <f t="shared" si="13"/>
        <v>-</v>
      </c>
      <c r="P135" s="528"/>
      <c r="Q135" s="482"/>
      <c r="R135" s="528"/>
      <c r="S135" s="499"/>
      <c r="T135" s="518"/>
      <c r="U135" s="499"/>
      <c r="V135" s="502"/>
      <c r="W135" s="519"/>
      <c r="X135" s="502"/>
      <c r="Y135" s="499"/>
      <c r="Z135" s="518"/>
      <c r="AA135" s="499"/>
      <c r="AB135" s="505"/>
      <c r="AC135" s="520"/>
      <c r="AD135" s="505"/>
      <c r="AE135" s="508"/>
      <c r="AF135" s="521"/>
      <c r="AG135" s="508"/>
      <c r="AH135" s="511"/>
      <c r="AI135" s="522"/>
      <c r="AJ135" s="511"/>
      <c r="AK135" s="514">
        <f t="shared" si="16"/>
        <v>0</v>
      </c>
      <c r="AL135" s="523"/>
      <c r="AM135" s="525"/>
      <c r="AN135" s="329"/>
      <c r="AO135" s="691"/>
    </row>
    <row r="136" spans="1:41" s="516" customFormat="1" ht="15.75">
      <c r="A136" s="516">
        <f t="shared" si="14"/>
        <v>0</v>
      </c>
      <c r="B136" s="610" t="str">
        <f>IF(AND($B$7=AN136,$B$5=J136),MAX($B$8:B135)+1,"")</f>
        <v/>
      </c>
      <c r="C136" s="493" t="str">
        <f t="shared" si="17"/>
        <v/>
      </c>
      <c r="D136" s="494" t="str">
        <f t="shared" si="10"/>
        <v/>
      </c>
      <c r="E136" s="493" t="str">
        <f t="shared" si="11"/>
        <v/>
      </c>
      <c r="F136" s="495" t="str">
        <f t="shared" si="12"/>
        <v/>
      </c>
      <c r="G136" s="496" t="str">
        <f>IF($G$6=N136,MAX($G$8:G135)+1,"")</f>
        <v/>
      </c>
      <c r="H136" s="496" t="str">
        <f>IF($H$6=J136,MAX($H$8:H135)+1,"")</f>
        <v/>
      </c>
      <c r="I136" s="172" t="str">
        <f>IF(L136&lt;&gt;"",COUNTA($L$9:L136),"")</f>
        <v/>
      </c>
      <c r="J136" s="517"/>
      <c r="K136" s="172" t="str">
        <f t="shared" si="15"/>
        <v/>
      </c>
      <c r="L136" s="136"/>
      <c r="M136" s="136"/>
      <c r="N136" s="225"/>
      <c r="O136" s="328" t="str">
        <f t="shared" si="13"/>
        <v>-</v>
      </c>
      <c r="P136" s="528"/>
      <c r="Q136" s="482"/>
      <c r="R136" s="528"/>
      <c r="S136" s="499"/>
      <c r="T136" s="518"/>
      <c r="U136" s="499"/>
      <c r="V136" s="502"/>
      <c r="W136" s="519"/>
      <c r="X136" s="502"/>
      <c r="Y136" s="499"/>
      <c r="Z136" s="518"/>
      <c r="AA136" s="499"/>
      <c r="AB136" s="505"/>
      <c r="AC136" s="520"/>
      <c r="AD136" s="505"/>
      <c r="AE136" s="508"/>
      <c r="AF136" s="521"/>
      <c r="AG136" s="508"/>
      <c r="AH136" s="511"/>
      <c r="AI136" s="522"/>
      <c r="AJ136" s="511"/>
      <c r="AK136" s="514">
        <f t="shared" si="16"/>
        <v>0</v>
      </c>
      <c r="AL136" s="523"/>
      <c r="AM136" s="525"/>
      <c r="AN136" s="329"/>
      <c r="AO136" s="691"/>
    </row>
    <row r="137" spans="1:41" s="516" customFormat="1" ht="15.75">
      <c r="A137" s="516">
        <f t="shared" si="14"/>
        <v>0</v>
      </c>
      <c r="B137" s="610" t="str">
        <f>IF(AND($B$7=AN137,$B$5=J137),MAX($B$8:B136)+1,"")</f>
        <v/>
      </c>
      <c r="C137" s="493" t="str">
        <f t="shared" ref="C137:C168" si="19">IF($M137="","",IF(OR($M137&lt;=C$2,$M137&gt;=C$5),"",M1K))</f>
        <v/>
      </c>
      <c r="D137" s="494" t="str">
        <f t="shared" ref="D137:D200" si="20">IF($M137="","",IF(OR($M137&lt;=D$2,$M137&gt;=D$5),"",M1L))</f>
        <v/>
      </c>
      <c r="E137" s="493" t="str">
        <f t="shared" ref="E137:E200" si="21">IF($M137="","",IF(OR($M137&lt;=E$2,$M137&gt;=E$5),"",M2K))</f>
        <v/>
      </c>
      <c r="F137" s="495" t="str">
        <f t="shared" ref="F137:F200" si="22">IF($M137="","",IF(OR($M137&lt;=F$2,$M137&gt;=F$5),"",M2L))</f>
        <v/>
      </c>
      <c r="G137" s="496" t="str">
        <f>IF($G$6=N137,MAX($G$8:G136)+1,"")</f>
        <v/>
      </c>
      <c r="H137" s="496" t="str">
        <f>IF($H$6=J137,MAX($H$8:H136)+1,"")</f>
        <v/>
      </c>
      <c r="I137" s="172" t="str">
        <f>IF(L137&lt;&gt;"",COUNTA($L$9:L137),"")</f>
        <v/>
      </c>
      <c r="J137" s="517"/>
      <c r="K137" s="172" t="str">
        <f t="shared" si="15"/>
        <v/>
      </c>
      <c r="L137" s="136"/>
      <c r="M137" s="136"/>
      <c r="N137" s="225"/>
      <c r="O137" s="328" t="str">
        <f t="shared" ref="O137:O200" si="23">TRIM(Q137&amp;IF(T137="","","; "&amp;T137)&amp;IF(W137="","","; "&amp;W137)&amp;IF(Z137="","","; "&amp;Z137)&amp;IF(AC137="","","; "&amp;AC137)&amp;IF(AF137="","","; "&amp;AF137)&amp;IF(AI137="","","; "&amp;AI137)&amp;" - "&amp;N137)</f>
        <v>-</v>
      </c>
      <c r="P137" s="528"/>
      <c r="Q137" s="482"/>
      <c r="R137" s="528"/>
      <c r="S137" s="499"/>
      <c r="T137" s="518"/>
      <c r="U137" s="499"/>
      <c r="V137" s="502"/>
      <c r="W137" s="519"/>
      <c r="X137" s="502"/>
      <c r="Y137" s="499"/>
      <c r="Z137" s="518"/>
      <c r="AA137" s="499"/>
      <c r="AB137" s="505"/>
      <c r="AC137" s="520"/>
      <c r="AD137" s="505"/>
      <c r="AE137" s="508"/>
      <c r="AF137" s="521"/>
      <c r="AG137" s="508"/>
      <c r="AH137" s="511"/>
      <c r="AI137" s="522"/>
      <c r="AJ137" s="511"/>
      <c r="AK137" s="514">
        <f t="shared" si="16"/>
        <v>0</v>
      </c>
      <c r="AL137" s="523"/>
      <c r="AM137" s="525"/>
      <c r="AN137" s="329"/>
      <c r="AO137" s="691"/>
    </row>
    <row r="138" spans="1:41" s="516" customFormat="1" ht="15.75">
      <c r="A138" s="516">
        <f t="shared" ref="A138:A201" si="24">IF(J138="223'",223,IF(J138="373'",373,J138))</f>
        <v>0</v>
      </c>
      <c r="B138" s="610" t="str">
        <f>IF(AND($B$7=AN138,$B$5=J138),MAX($B$8:B137)+1,"")</f>
        <v/>
      </c>
      <c r="C138" s="493" t="str">
        <f t="shared" si="19"/>
        <v/>
      </c>
      <c r="D138" s="494" t="str">
        <f t="shared" si="20"/>
        <v/>
      </c>
      <c r="E138" s="493" t="str">
        <f t="shared" si="21"/>
        <v/>
      </c>
      <c r="F138" s="495" t="str">
        <f t="shared" si="22"/>
        <v/>
      </c>
      <c r="G138" s="496" t="str">
        <f>IF($G$6=N138,MAX($G$8:G137)+1,"")</f>
        <v/>
      </c>
      <c r="H138" s="496" t="str">
        <f>IF($H$6=J138,MAX($H$8:H137)+1,"")</f>
        <v/>
      </c>
      <c r="I138" s="172" t="str">
        <f>IF(L138&lt;&gt;"",COUNTA($L$9:L138),"")</f>
        <v/>
      </c>
      <c r="J138" s="517"/>
      <c r="K138" s="172" t="str">
        <f t="shared" ref="K138:K161" si="25">IF(I138="","",$K$8&amp;IF(I138&lt;10,"0"&amp;I138,I138))</f>
        <v/>
      </c>
      <c r="L138" s="136"/>
      <c r="M138" s="136"/>
      <c r="N138" s="225"/>
      <c r="O138" s="328" t="str">
        <f t="shared" si="23"/>
        <v>-</v>
      </c>
      <c r="P138" s="528"/>
      <c r="Q138" s="482"/>
      <c r="R138" s="528"/>
      <c r="S138" s="499"/>
      <c r="T138" s="518"/>
      <c r="U138" s="499"/>
      <c r="V138" s="502"/>
      <c r="W138" s="519"/>
      <c r="X138" s="502"/>
      <c r="Y138" s="499"/>
      <c r="Z138" s="518"/>
      <c r="AA138" s="499"/>
      <c r="AB138" s="505"/>
      <c r="AC138" s="520"/>
      <c r="AD138" s="505"/>
      <c r="AE138" s="508"/>
      <c r="AF138" s="521"/>
      <c r="AG138" s="508"/>
      <c r="AH138" s="511"/>
      <c r="AI138" s="522"/>
      <c r="AJ138" s="511"/>
      <c r="AK138" s="514">
        <f t="shared" si="16"/>
        <v>0</v>
      </c>
      <c r="AL138" s="523"/>
      <c r="AM138" s="525"/>
      <c r="AN138" s="329"/>
      <c r="AO138" s="691"/>
    </row>
    <row r="139" spans="1:41" s="516" customFormat="1" ht="15.75">
      <c r="A139" s="516">
        <f t="shared" si="24"/>
        <v>0</v>
      </c>
      <c r="B139" s="610" t="str">
        <f>IF(AND($B$7=AN139,$B$5=J139),MAX($B$8:B138)+1,"")</f>
        <v/>
      </c>
      <c r="C139" s="493" t="str">
        <f t="shared" si="19"/>
        <v/>
      </c>
      <c r="D139" s="494" t="str">
        <f t="shared" si="20"/>
        <v/>
      </c>
      <c r="E139" s="493" t="str">
        <f t="shared" si="21"/>
        <v/>
      </c>
      <c r="F139" s="495" t="str">
        <f t="shared" si="22"/>
        <v/>
      </c>
      <c r="G139" s="496" t="str">
        <f>IF($G$6=N139,MAX($G$8:G138)+1,"")</f>
        <v/>
      </c>
      <c r="H139" s="496" t="str">
        <f>IF($H$6=J139,MAX($H$8:H138)+1,"")</f>
        <v/>
      </c>
      <c r="I139" s="172" t="str">
        <f>IF(L139&lt;&gt;"",COUNTA($L$9:L139),"")</f>
        <v/>
      </c>
      <c r="J139" s="517"/>
      <c r="K139" s="172" t="str">
        <f t="shared" si="25"/>
        <v/>
      </c>
      <c r="L139" s="136"/>
      <c r="M139" s="136"/>
      <c r="N139" s="225"/>
      <c r="O139" s="328" t="str">
        <f t="shared" si="23"/>
        <v>-</v>
      </c>
      <c r="P139" s="528"/>
      <c r="Q139" s="482"/>
      <c r="R139" s="528"/>
      <c r="S139" s="499"/>
      <c r="T139" s="518"/>
      <c r="U139" s="499"/>
      <c r="V139" s="502"/>
      <c r="W139" s="519"/>
      <c r="X139" s="502"/>
      <c r="Y139" s="499"/>
      <c r="Z139" s="518"/>
      <c r="AA139" s="499"/>
      <c r="AB139" s="505"/>
      <c r="AC139" s="520"/>
      <c r="AD139" s="505"/>
      <c r="AE139" s="508"/>
      <c r="AF139" s="521"/>
      <c r="AG139" s="508"/>
      <c r="AH139" s="511"/>
      <c r="AI139" s="522"/>
      <c r="AJ139" s="511"/>
      <c r="AK139" s="514">
        <f t="shared" ref="AK139:AK201" si="26">R139+U139+X139+AA139+AD139+AG139+AJ139</f>
        <v>0</v>
      </c>
      <c r="AL139" s="523"/>
      <c r="AM139" s="525"/>
      <c r="AN139" s="329"/>
      <c r="AO139" s="691"/>
    </row>
    <row r="140" spans="1:41" s="516" customFormat="1" ht="15.75">
      <c r="A140" s="516">
        <f t="shared" si="24"/>
        <v>0</v>
      </c>
      <c r="B140" s="610" t="str">
        <f>IF(AND($B$7=AN140,$B$5=J140),MAX($B$8:B139)+1,"")</f>
        <v/>
      </c>
      <c r="C140" s="493" t="str">
        <f t="shared" si="19"/>
        <v/>
      </c>
      <c r="D140" s="494" t="str">
        <f t="shared" si="20"/>
        <v/>
      </c>
      <c r="E140" s="493" t="str">
        <f t="shared" si="21"/>
        <v/>
      </c>
      <c r="F140" s="495" t="str">
        <f t="shared" si="22"/>
        <v/>
      </c>
      <c r="G140" s="496" t="str">
        <f>IF($G$6=N140,MAX($G$8:G139)+1,"")</f>
        <v/>
      </c>
      <c r="H140" s="496" t="str">
        <f>IF($H$6=J140,MAX($H$8:H139)+1,"")</f>
        <v/>
      </c>
      <c r="I140" s="172" t="str">
        <f>IF(L140&lt;&gt;"",COUNTA($L$9:L140),"")</f>
        <v/>
      </c>
      <c r="J140" s="517"/>
      <c r="K140" s="172" t="str">
        <f t="shared" si="25"/>
        <v/>
      </c>
      <c r="L140" s="136"/>
      <c r="M140" s="136"/>
      <c r="N140" s="225"/>
      <c r="O140" s="328" t="str">
        <f t="shared" si="23"/>
        <v>-</v>
      </c>
      <c r="P140" s="528"/>
      <c r="Q140" s="482"/>
      <c r="R140" s="528"/>
      <c r="S140" s="499"/>
      <c r="T140" s="518"/>
      <c r="U140" s="499"/>
      <c r="V140" s="502"/>
      <c r="W140" s="519"/>
      <c r="X140" s="502"/>
      <c r="Y140" s="499"/>
      <c r="Z140" s="518"/>
      <c r="AA140" s="499"/>
      <c r="AB140" s="505"/>
      <c r="AC140" s="520"/>
      <c r="AD140" s="505"/>
      <c r="AE140" s="508"/>
      <c r="AF140" s="521"/>
      <c r="AG140" s="508"/>
      <c r="AH140" s="511"/>
      <c r="AI140" s="522"/>
      <c r="AJ140" s="511"/>
      <c r="AK140" s="514">
        <f t="shared" si="26"/>
        <v>0</v>
      </c>
      <c r="AL140" s="523"/>
      <c r="AM140" s="525"/>
      <c r="AN140" s="329"/>
      <c r="AO140" s="691"/>
    </row>
    <row r="141" spans="1:41" s="516" customFormat="1" ht="15.75">
      <c r="A141" s="516">
        <f t="shared" si="24"/>
        <v>0</v>
      </c>
      <c r="B141" s="610" t="str">
        <f>IF(AND($B$7=AN141,$B$5=J141),MAX($B$8:B140)+1,"")</f>
        <v/>
      </c>
      <c r="C141" s="493" t="str">
        <f t="shared" si="19"/>
        <v/>
      </c>
      <c r="D141" s="494" t="str">
        <f t="shared" si="20"/>
        <v/>
      </c>
      <c r="E141" s="493" t="str">
        <f t="shared" si="21"/>
        <v/>
      </c>
      <c r="F141" s="495" t="str">
        <f t="shared" si="22"/>
        <v/>
      </c>
      <c r="G141" s="496" t="str">
        <f>IF($G$6=N141,MAX($G$8:G140)+1,"")</f>
        <v/>
      </c>
      <c r="H141" s="496" t="str">
        <f>IF($H$6=J141,MAX($H$8:H140)+1,"")</f>
        <v/>
      </c>
      <c r="I141" s="172" t="str">
        <f>IF(L141&lt;&gt;"",COUNTA($L$9:L141),"")</f>
        <v/>
      </c>
      <c r="J141" s="517"/>
      <c r="K141" s="172" t="str">
        <f t="shared" si="25"/>
        <v/>
      </c>
      <c r="L141" s="136"/>
      <c r="M141" s="136"/>
      <c r="N141" s="225"/>
      <c r="O141" s="328" t="str">
        <f t="shared" si="23"/>
        <v>-</v>
      </c>
      <c r="P141" s="528"/>
      <c r="Q141" s="482"/>
      <c r="R141" s="528"/>
      <c r="S141" s="499"/>
      <c r="T141" s="518"/>
      <c r="U141" s="499"/>
      <c r="V141" s="502"/>
      <c r="W141" s="519"/>
      <c r="X141" s="502"/>
      <c r="Y141" s="499"/>
      <c r="Z141" s="518"/>
      <c r="AA141" s="499"/>
      <c r="AB141" s="505"/>
      <c r="AC141" s="520"/>
      <c r="AD141" s="505"/>
      <c r="AE141" s="508"/>
      <c r="AF141" s="521"/>
      <c r="AG141" s="508"/>
      <c r="AH141" s="511"/>
      <c r="AI141" s="522"/>
      <c r="AJ141" s="511"/>
      <c r="AK141" s="514">
        <f t="shared" si="26"/>
        <v>0</v>
      </c>
      <c r="AL141" s="523"/>
      <c r="AM141" s="525"/>
      <c r="AN141" s="329"/>
      <c r="AO141" s="691"/>
    </row>
    <row r="142" spans="1:41" s="516" customFormat="1" ht="15.75">
      <c r="A142" s="516">
        <f t="shared" si="24"/>
        <v>0</v>
      </c>
      <c r="B142" s="610" t="str">
        <f>IF(AND($B$7=AN142,$B$5=J142),MAX($B$8:B141)+1,"")</f>
        <v/>
      </c>
      <c r="C142" s="493" t="str">
        <f t="shared" si="19"/>
        <v/>
      </c>
      <c r="D142" s="494" t="str">
        <f t="shared" si="20"/>
        <v/>
      </c>
      <c r="E142" s="493" t="str">
        <f t="shared" si="21"/>
        <v/>
      </c>
      <c r="F142" s="495" t="str">
        <f t="shared" si="22"/>
        <v/>
      </c>
      <c r="G142" s="496" t="str">
        <f>IF($G$6=N142,MAX($G$8:G141)+1,"")</f>
        <v/>
      </c>
      <c r="H142" s="496" t="str">
        <f>IF($H$6=J142,MAX($H$8:H141)+1,"")</f>
        <v/>
      </c>
      <c r="I142" s="172" t="str">
        <f>IF(L142&lt;&gt;"",COUNTA($L$9:L142),"")</f>
        <v/>
      </c>
      <c r="J142" s="517"/>
      <c r="K142" s="172" t="str">
        <f t="shared" si="25"/>
        <v/>
      </c>
      <c r="L142" s="136"/>
      <c r="M142" s="136"/>
      <c r="N142" s="225"/>
      <c r="O142" s="328" t="str">
        <f t="shared" si="23"/>
        <v>-</v>
      </c>
      <c r="P142" s="528"/>
      <c r="Q142" s="482"/>
      <c r="R142" s="528"/>
      <c r="S142" s="499"/>
      <c r="T142" s="518"/>
      <c r="U142" s="499"/>
      <c r="V142" s="502"/>
      <c r="W142" s="519"/>
      <c r="X142" s="502"/>
      <c r="Y142" s="499"/>
      <c r="Z142" s="518"/>
      <c r="AA142" s="499"/>
      <c r="AB142" s="505"/>
      <c r="AC142" s="520"/>
      <c r="AD142" s="505"/>
      <c r="AE142" s="508"/>
      <c r="AF142" s="521"/>
      <c r="AG142" s="508"/>
      <c r="AH142" s="511"/>
      <c r="AI142" s="522"/>
      <c r="AJ142" s="511"/>
      <c r="AK142" s="514">
        <f t="shared" si="26"/>
        <v>0</v>
      </c>
      <c r="AL142" s="523"/>
      <c r="AM142" s="525"/>
      <c r="AN142" s="329"/>
      <c r="AO142" s="691"/>
    </row>
    <row r="143" spans="1:41" s="516" customFormat="1" ht="15.75">
      <c r="A143" s="516">
        <f t="shared" si="24"/>
        <v>0</v>
      </c>
      <c r="B143" s="610" t="str">
        <f>IF(AND($B$7=AN143,$B$5=J143),MAX($B$8:B142)+1,"")</f>
        <v/>
      </c>
      <c r="C143" s="493" t="str">
        <f t="shared" si="19"/>
        <v/>
      </c>
      <c r="D143" s="494" t="str">
        <f t="shared" si="20"/>
        <v/>
      </c>
      <c r="E143" s="493" t="str">
        <f t="shared" si="21"/>
        <v/>
      </c>
      <c r="F143" s="495" t="str">
        <f t="shared" si="22"/>
        <v/>
      </c>
      <c r="G143" s="496" t="str">
        <f>IF($G$6=N143,MAX($G$8:G142)+1,"")</f>
        <v/>
      </c>
      <c r="H143" s="496" t="str">
        <f>IF($H$6=J143,MAX($H$8:H142)+1,"")</f>
        <v/>
      </c>
      <c r="I143" s="172" t="str">
        <f>IF(L143&lt;&gt;"",COUNTA($L$9:L143),"")</f>
        <v/>
      </c>
      <c r="J143" s="517"/>
      <c r="K143" s="172" t="str">
        <f t="shared" si="25"/>
        <v/>
      </c>
      <c r="L143" s="136"/>
      <c r="M143" s="136"/>
      <c r="N143" s="225"/>
      <c r="O143" s="328" t="str">
        <f t="shared" si="23"/>
        <v>-</v>
      </c>
      <c r="P143" s="528"/>
      <c r="Q143" s="482"/>
      <c r="R143" s="528"/>
      <c r="S143" s="499"/>
      <c r="T143" s="518"/>
      <c r="U143" s="499"/>
      <c r="V143" s="502"/>
      <c r="W143" s="519"/>
      <c r="X143" s="502"/>
      <c r="Y143" s="499"/>
      <c r="Z143" s="518"/>
      <c r="AA143" s="499"/>
      <c r="AB143" s="505"/>
      <c r="AC143" s="520"/>
      <c r="AD143" s="505"/>
      <c r="AE143" s="508"/>
      <c r="AF143" s="521"/>
      <c r="AG143" s="508"/>
      <c r="AH143" s="511"/>
      <c r="AI143" s="522"/>
      <c r="AJ143" s="511"/>
      <c r="AK143" s="514">
        <f t="shared" si="26"/>
        <v>0</v>
      </c>
      <c r="AL143" s="523"/>
      <c r="AM143" s="525"/>
      <c r="AN143" s="329"/>
      <c r="AO143" s="691"/>
    </row>
    <row r="144" spans="1:41" s="516" customFormat="1" ht="15.75">
      <c r="A144" s="516">
        <f t="shared" si="24"/>
        <v>0</v>
      </c>
      <c r="B144" s="610" t="str">
        <f>IF(AND($B$7=AN144,$B$5=J144),MAX($B$8:B143)+1,"")</f>
        <v/>
      </c>
      <c r="C144" s="493" t="str">
        <f t="shared" si="19"/>
        <v/>
      </c>
      <c r="D144" s="494" t="str">
        <f t="shared" si="20"/>
        <v/>
      </c>
      <c r="E144" s="493" t="str">
        <f t="shared" si="21"/>
        <v/>
      </c>
      <c r="F144" s="495" t="str">
        <f t="shared" si="22"/>
        <v/>
      </c>
      <c r="G144" s="496" t="str">
        <f>IF($G$6=N144,MAX($G$8:G143)+1,"")</f>
        <v/>
      </c>
      <c r="H144" s="496" t="str">
        <f>IF($H$6=J144,MAX($H$8:H143)+1,"")</f>
        <v/>
      </c>
      <c r="I144" s="172" t="str">
        <f>IF(L144&lt;&gt;"",COUNTA($L$9:L144),"")</f>
        <v/>
      </c>
      <c r="J144" s="517"/>
      <c r="K144" s="172" t="str">
        <f t="shared" si="25"/>
        <v/>
      </c>
      <c r="L144" s="136"/>
      <c r="M144" s="136"/>
      <c r="N144" s="225"/>
      <c r="O144" s="328" t="str">
        <f t="shared" si="23"/>
        <v>-</v>
      </c>
      <c r="P144" s="528"/>
      <c r="Q144" s="482"/>
      <c r="R144" s="528"/>
      <c r="S144" s="499"/>
      <c r="T144" s="518"/>
      <c r="U144" s="499"/>
      <c r="V144" s="502"/>
      <c r="W144" s="519"/>
      <c r="X144" s="502"/>
      <c r="Y144" s="499"/>
      <c r="Z144" s="518"/>
      <c r="AA144" s="499"/>
      <c r="AB144" s="505"/>
      <c r="AC144" s="520"/>
      <c r="AD144" s="505"/>
      <c r="AE144" s="508"/>
      <c r="AF144" s="521"/>
      <c r="AG144" s="508"/>
      <c r="AH144" s="511"/>
      <c r="AI144" s="522"/>
      <c r="AJ144" s="511"/>
      <c r="AK144" s="514">
        <f t="shared" si="26"/>
        <v>0</v>
      </c>
      <c r="AL144" s="523"/>
      <c r="AM144" s="525"/>
      <c r="AN144" s="329"/>
      <c r="AO144" s="691"/>
    </row>
    <row r="145" spans="1:41" s="516" customFormat="1" ht="15.75">
      <c r="A145" s="516">
        <f t="shared" si="24"/>
        <v>0</v>
      </c>
      <c r="B145" s="610" t="str">
        <f>IF(AND($B$7=AN145,$B$5=J145),MAX($B$8:B144)+1,"")</f>
        <v/>
      </c>
      <c r="C145" s="493" t="str">
        <f t="shared" si="19"/>
        <v/>
      </c>
      <c r="D145" s="494" t="str">
        <f t="shared" si="20"/>
        <v/>
      </c>
      <c r="E145" s="493" t="str">
        <f t="shared" si="21"/>
        <v/>
      </c>
      <c r="F145" s="495" t="str">
        <f t="shared" si="22"/>
        <v/>
      </c>
      <c r="G145" s="496" t="str">
        <f>IF($G$6=N145,MAX($G$8:G144)+1,"")</f>
        <v/>
      </c>
      <c r="H145" s="496" t="str">
        <f>IF($H$6=J145,MAX($H$8:H144)+1,"")</f>
        <v/>
      </c>
      <c r="I145" s="172" t="str">
        <f>IF(L145&lt;&gt;"",COUNTA($L$9:L145),"")</f>
        <v/>
      </c>
      <c r="J145" s="517"/>
      <c r="K145" s="172" t="str">
        <f t="shared" si="25"/>
        <v/>
      </c>
      <c r="L145" s="136"/>
      <c r="M145" s="136"/>
      <c r="N145" s="225"/>
      <c r="O145" s="328" t="str">
        <f t="shared" si="23"/>
        <v>-</v>
      </c>
      <c r="P145" s="528"/>
      <c r="Q145" s="482"/>
      <c r="R145" s="528"/>
      <c r="S145" s="499"/>
      <c r="T145" s="518"/>
      <c r="U145" s="499"/>
      <c r="V145" s="502"/>
      <c r="W145" s="519"/>
      <c r="X145" s="502"/>
      <c r="Y145" s="499"/>
      <c r="Z145" s="518"/>
      <c r="AA145" s="499"/>
      <c r="AB145" s="505"/>
      <c r="AC145" s="520"/>
      <c r="AD145" s="505"/>
      <c r="AE145" s="508"/>
      <c r="AF145" s="521"/>
      <c r="AG145" s="508"/>
      <c r="AH145" s="511"/>
      <c r="AI145" s="522"/>
      <c r="AJ145" s="511"/>
      <c r="AK145" s="514">
        <f t="shared" si="26"/>
        <v>0</v>
      </c>
      <c r="AL145" s="523"/>
      <c r="AM145" s="525"/>
      <c r="AN145" s="329"/>
      <c r="AO145" s="691"/>
    </row>
    <row r="146" spans="1:41" s="516" customFormat="1" ht="15.75">
      <c r="A146" s="516">
        <f t="shared" si="24"/>
        <v>0</v>
      </c>
      <c r="B146" s="610" t="str">
        <f>IF(AND($B$7=AN146,$B$5=J146),MAX($B$8:B145)+1,"")</f>
        <v/>
      </c>
      <c r="C146" s="493" t="str">
        <f t="shared" si="19"/>
        <v/>
      </c>
      <c r="D146" s="494" t="str">
        <f t="shared" si="20"/>
        <v/>
      </c>
      <c r="E146" s="493" t="str">
        <f t="shared" si="21"/>
        <v/>
      </c>
      <c r="F146" s="495" t="str">
        <f t="shared" si="22"/>
        <v/>
      </c>
      <c r="G146" s="496" t="str">
        <f>IF($G$6=N146,MAX($G$8:G145)+1,"")</f>
        <v/>
      </c>
      <c r="H146" s="496" t="str">
        <f>IF($H$6=J146,MAX($H$8:H145)+1,"")</f>
        <v/>
      </c>
      <c r="I146" s="172" t="str">
        <f>IF(L146&lt;&gt;"",COUNTA($L$9:L146),"")</f>
        <v/>
      </c>
      <c r="J146" s="517"/>
      <c r="K146" s="172" t="str">
        <f t="shared" si="25"/>
        <v/>
      </c>
      <c r="L146" s="136"/>
      <c r="M146" s="136"/>
      <c r="N146" s="225"/>
      <c r="O146" s="328" t="str">
        <f t="shared" si="23"/>
        <v>-</v>
      </c>
      <c r="P146" s="528"/>
      <c r="Q146" s="482"/>
      <c r="R146" s="528"/>
      <c r="S146" s="499"/>
      <c r="T146" s="518"/>
      <c r="U146" s="499"/>
      <c r="V146" s="502"/>
      <c r="W146" s="519"/>
      <c r="X146" s="502"/>
      <c r="Y146" s="499"/>
      <c r="Z146" s="518"/>
      <c r="AA146" s="499"/>
      <c r="AB146" s="505"/>
      <c r="AC146" s="520"/>
      <c r="AD146" s="505"/>
      <c r="AE146" s="508"/>
      <c r="AF146" s="521"/>
      <c r="AG146" s="508"/>
      <c r="AH146" s="511"/>
      <c r="AI146" s="522"/>
      <c r="AJ146" s="511"/>
      <c r="AK146" s="514">
        <f t="shared" si="26"/>
        <v>0</v>
      </c>
      <c r="AL146" s="523"/>
      <c r="AM146" s="525"/>
      <c r="AN146" s="329"/>
      <c r="AO146" s="691"/>
    </row>
    <row r="147" spans="1:41" s="516" customFormat="1" ht="15.75">
      <c r="A147" s="516">
        <f t="shared" si="24"/>
        <v>0</v>
      </c>
      <c r="B147" s="610" t="str">
        <f>IF(AND($B$7=AN147,$B$5=J147),MAX($B$8:B146)+1,"")</f>
        <v/>
      </c>
      <c r="C147" s="493" t="str">
        <f t="shared" si="19"/>
        <v/>
      </c>
      <c r="D147" s="494" t="str">
        <f t="shared" si="20"/>
        <v/>
      </c>
      <c r="E147" s="493" t="str">
        <f t="shared" si="21"/>
        <v/>
      </c>
      <c r="F147" s="495" t="str">
        <f t="shared" si="22"/>
        <v/>
      </c>
      <c r="G147" s="496" t="str">
        <f>IF($G$6=N147,MAX($G$8:G146)+1,"")</f>
        <v/>
      </c>
      <c r="H147" s="496" t="str">
        <f>IF($H$6=J147,MAX($H$8:H146)+1,"")</f>
        <v/>
      </c>
      <c r="I147" s="172" t="str">
        <f>IF(L147&lt;&gt;"",COUNTA($L$9:L147),"")</f>
        <v/>
      </c>
      <c r="J147" s="517"/>
      <c r="K147" s="172" t="str">
        <f t="shared" si="25"/>
        <v/>
      </c>
      <c r="L147" s="136"/>
      <c r="M147" s="136"/>
      <c r="N147" s="225"/>
      <c r="O147" s="328" t="str">
        <f t="shared" si="23"/>
        <v>-</v>
      </c>
      <c r="P147" s="528"/>
      <c r="Q147" s="482"/>
      <c r="R147" s="528"/>
      <c r="S147" s="499"/>
      <c r="T147" s="518"/>
      <c r="U147" s="499"/>
      <c r="V147" s="502"/>
      <c r="W147" s="519"/>
      <c r="X147" s="502"/>
      <c r="Y147" s="499"/>
      <c r="Z147" s="518"/>
      <c r="AA147" s="499"/>
      <c r="AB147" s="505"/>
      <c r="AC147" s="520"/>
      <c r="AD147" s="505"/>
      <c r="AE147" s="508"/>
      <c r="AF147" s="521"/>
      <c r="AG147" s="508"/>
      <c r="AH147" s="511"/>
      <c r="AI147" s="522"/>
      <c r="AJ147" s="511"/>
      <c r="AK147" s="514">
        <f t="shared" si="26"/>
        <v>0</v>
      </c>
      <c r="AL147" s="523"/>
      <c r="AM147" s="525"/>
      <c r="AN147" s="329"/>
      <c r="AO147" s="691"/>
    </row>
    <row r="148" spans="1:41" s="516" customFormat="1" ht="15.75">
      <c r="A148" s="516">
        <f t="shared" si="24"/>
        <v>0</v>
      </c>
      <c r="B148" s="610" t="str">
        <f>IF(AND($B$7=AN148,$B$5=J148),MAX($B$8:B147)+1,"")</f>
        <v/>
      </c>
      <c r="C148" s="493" t="str">
        <f t="shared" si="19"/>
        <v/>
      </c>
      <c r="D148" s="494" t="str">
        <f t="shared" si="20"/>
        <v/>
      </c>
      <c r="E148" s="493" t="str">
        <f t="shared" si="21"/>
        <v/>
      </c>
      <c r="F148" s="495" t="str">
        <f t="shared" si="22"/>
        <v/>
      </c>
      <c r="G148" s="496" t="str">
        <f>IF($G$6=N148,MAX($G$8:G147)+1,"")</f>
        <v/>
      </c>
      <c r="H148" s="496" t="str">
        <f>IF($H$6=J148,MAX($H$8:H147)+1,"")</f>
        <v/>
      </c>
      <c r="I148" s="172" t="str">
        <f>IF(L148&lt;&gt;"",COUNTA($L$9:L148),"")</f>
        <v/>
      </c>
      <c r="J148" s="517"/>
      <c r="K148" s="172" t="str">
        <f t="shared" si="25"/>
        <v/>
      </c>
      <c r="L148" s="136"/>
      <c r="M148" s="136"/>
      <c r="N148" s="225"/>
      <c r="O148" s="328" t="str">
        <f t="shared" si="23"/>
        <v>-</v>
      </c>
      <c r="P148" s="528"/>
      <c r="Q148" s="482"/>
      <c r="R148" s="528"/>
      <c r="S148" s="499"/>
      <c r="T148" s="518"/>
      <c r="U148" s="499"/>
      <c r="V148" s="502"/>
      <c r="W148" s="519"/>
      <c r="X148" s="502"/>
      <c r="Y148" s="499"/>
      <c r="Z148" s="518"/>
      <c r="AA148" s="499"/>
      <c r="AB148" s="505"/>
      <c r="AC148" s="520"/>
      <c r="AD148" s="505"/>
      <c r="AE148" s="508"/>
      <c r="AF148" s="521"/>
      <c r="AG148" s="508"/>
      <c r="AH148" s="511"/>
      <c r="AI148" s="522"/>
      <c r="AJ148" s="511"/>
      <c r="AK148" s="514">
        <f t="shared" si="26"/>
        <v>0</v>
      </c>
      <c r="AL148" s="523"/>
      <c r="AM148" s="525"/>
      <c r="AN148" s="329"/>
      <c r="AO148" s="691"/>
    </row>
    <row r="149" spans="1:41" s="516" customFormat="1" ht="15.75">
      <c r="A149" s="516">
        <f t="shared" si="24"/>
        <v>0</v>
      </c>
      <c r="B149" s="610" t="str">
        <f>IF(AND($B$7=AN149,$B$5=J149),MAX($B$8:B148)+1,"")</f>
        <v/>
      </c>
      <c r="C149" s="493" t="str">
        <f t="shared" si="19"/>
        <v/>
      </c>
      <c r="D149" s="494" t="str">
        <f t="shared" si="20"/>
        <v/>
      </c>
      <c r="E149" s="493" t="str">
        <f t="shared" si="21"/>
        <v/>
      </c>
      <c r="F149" s="495" t="str">
        <f t="shared" si="22"/>
        <v/>
      </c>
      <c r="G149" s="496" t="str">
        <f>IF($G$6=N149,MAX($G$8:G148)+1,"")</f>
        <v/>
      </c>
      <c r="H149" s="496" t="str">
        <f>IF($H$6=J149,MAX($H$8:H148)+1,"")</f>
        <v/>
      </c>
      <c r="I149" s="172" t="str">
        <f>IF(L149&lt;&gt;"",COUNTA($L$9:L149),"")</f>
        <v/>
      </c>
      <c r="J149" s="517"/>
      <c r="K149" s="172" t="str">
        <f t="shared" si="25"/>
        <v/>
      </c>
      <c r="L149" s="136"/>
      <c r="M149" s="136"/>
      <c r="N149" s="225"/>
      <c r="O149" s="328" t="str">
        <f t="shared" si="23"/>
        <v>-</v>
      </c>
      <c r="P149" s="528"/>
      <c r="Q149" s="482"/>
      <c r="R149" s="528"/>
      <c r="S149" s="499"/>
      <c r="T149" s="518"/>
      <c r="U149" s="499"/>
      <c r="V149" s="502"/>
      <c r="W149" s="519"/>
      <c r="X149" s="502"/>
      <c r="Y149" s="499"/>
      <c r="Z149" s="518"/>
      <c r="AA149" s="499"/>
      <c r="AB149" s="505"/>
      <c r="AC149" s="520"/>
      <c r="AD149" s="505"/>
      <c r="AE149" s="508"/>
      <c r="AF149" s="521"/>
      <c r="AG149" s="508"/>
      <c r="AH149" s="511"/>
      <c r="AI149" s="522"/>
      <c r="AJ149" s="511"/>
      <c r="AK149" s="514">
        <f t="shared" si="26"/>
        <v>0</v>
      </c>
      <c r="AL149" s="523"/>
      <c r="AM149" s="525"/>
      <c r="AN149" s="329"/>
      <c r="AO149" s="691"/>
    </row>
    <row r="150" spans="1:41" s="516" customFormat="1" ht="15.75">
      <c r="A150" s="516">
        <f t="shared" si="24"/>
        <v>0</v>
      </c>
      <c r="B150" s="610" t="str">
        <f>IF(AND($B$7=AN150,$B$5=J150),MAX($B$8:B149)+1,"")</f>
        <v/>
      </c>
      <c r="C150" s="493" t="str">
        <f t="shared" si="19"/>
        <v/>
      </c>
      <c r="D150" s="494" t="str">
        <f t="shared" si="20"/>
        <v/>
      </c>
      <c r="E150" s="493" t="str">
        <f t="shared" si="21"/>
        <v/>
      </c>
      <c r="F150" s="495" t="str">
        <f t="shared" si="22"/>
        <v/>
      </c>
      <c r="G150" s="496" t="str">
        <f>IF($G$6=N150,MAX($G$8:G149)+1,"")</f>
        <v/>
      </c>
      <c r="H150" s="496" t="str">
        <f>IF($H$6=J150,MAX($H$8:H149)+1,"")</f>
        <v/>
      </c>
      <c r="I150" s="172" t="str">
        <f>IF(L150&lt;&gt;"",COUNTA($L$9:L150),"")</f>
        <v/>
      </c>
      <c r="J150" s="517"/>
      <c r="K150" s="172" t="str">
        <f t="shared" si="25"/>
        <v/>
      </c>
      <c r="L150" s="136"/>
      <c r="M150" s="136"/>
      <c r="N150" s="225"/>
      <c r="O150" s="328" t="str">
        <f t="shared" si="23"/>
        <v>-</v>
      </c>
      <c r="P150" s="528"/>
      <c r="Q150" s="482"/>
      <c r="R150" s="528"/>
      <c r="S150" s="499"/>
      <c r="T150" s="518"/>
      <c r="U150" s="499"/>
      <c r="V150" s="502"/>
      <c r="W150" s="519"/>
      <c r="X150" s="502"/>
      <c r="Y150" s="499"/>
      <c r="Z150" s="518"/>
      <c r="AA150" s="499"/>
      <c r="AB150" s="505"/>
      <c r="AC150" s="520"/>
      <c r="AD150" s="505"/>
      <c r="AE150" s="508"/>
      <c r="AF150" s="521"/>
      <c r="AG150" s="508"/>
      <c r="AH150" s="511"/>
      <c r="AI150" s="522"/>
      <c r="AJ150" s="511"/>
      <c r="AK150" s="514">
        <f t="shared" si="26"/>
        <v>0</v>
      </c>
      <c r="AL150" s="523"/>
      <c r="AM150" s="525"/>
      <c r="AN150" s="329"/>
      <c r="AO150" s="691"/>
    </row>
    <row r="151" spans="1:41" s="516" customFormat="1" ht="15.75">
      <c r="A151" s="516">
        <f t="shared" si="24"/>
        <v>0</v>
      </c>
      <c r="B151" s="610" t="str">
        <f>IF(AND($B$7=AN151,$B$5=J151),MAX($B$8:B150)+1,"")</f>
        <v/>
      </c>
      <c r="C151" s="493" t="str">
        <f t="shared" si="19"/>
        <v/>
      </c>
      <c r="D151" s="494" t="str">
        <f t="shared" si="20"/>
        <v/>
      </c>
      <c r="E151" s="493" t="str">
        <f t="shared" si="21"/>
        <v/>
      </c>
      <c r="F151" s="495" t="str">
        <f t="shared" si="22"/>
        <v/>
      </c>
      <c r="G151" s="496" t="str">
        <f>IF($G$6=N151,MAX($G$8:G150)+1,"")</f>
        <v/>
      </c>
      <c r="H151" s="496" t="str">
        <f>IF($H$6=J151,MAX($H$8:H150)+1,"")</f>
        <v/>
      </c>
      <c r="I151" s="172" t="str">
        <f>IF(L151&lt;&gt;"",COUNTA($L$9:L151),"")</f>
        <v/>
      </c>
      <c r="J151" s="517"/>
      <c r="K151" s="172" t="str">
        <f t="shared" si="25"/>
        <v/>
      </c>
      <c r="L151" s="136"/>
      <c r="M151" s="136"/>
      <c r="N151" s="225"/>
      <c r="O151" s="328" t="str">
        <f t="shared" si="23"/>
        <v>-</v>
      </c>
      <c r="P151" s="528"/>
      <c r="Q151" s="482"/>
      <c r="R151" s="528"/>
      <c r="S151" s="499"/>
      <c r="T151" s="518"/>
      <c r="U151" s="499"/>
      <c r="V151" s="502"/>
      <c r="W151" s="519"/>
      <c r="X151" s="502"/>
      <c r="Y151" s="499"/>
      <c r="Z151" s="518"/>
      <c r="AA151" s="499"/>
      <c r="AB151" s="505"/>
      <c r="AC151" s="520"/>
      <c r="AD151" s="505"/>
      <c r="AE151" s="508"/>
      <c r="AF151" s="521"/>
      <c r="AG151" s="508"/>
      <c r="AH151" s="511"/>
      <c r="AI151" s="522"/>
      <c r="AJ151" s="511"/>
      <c r="AK151" s="514">
        <f t="shared" si="26"/>
        <v>0</v>
      </c>
      <c r="AL151" s="523"/>
      <c r="AM151" s="525"/>
      <c r="AN151" s="329"/>
      <c r="AO151" s="691"/>
    </row>
    <row r="152" spans="1:41" s="516" customFormat="1" ht="15.75">
      <c r="A152" s="516">
        <f t="shared" si="24"/>
        <v>0</v>
      </c>
      <c r="B152" s="610" t="str">
        <f>IF(AND($B$7=AN152,$B$5=J152),MAX($B$8:B151)+1,"")</f>
        <v/>
      </c>
      <c r="C152" s="493" t="str">
        <f t="shared" si="19"/>
        <v/>
      </c>
      <c r="D152" s="494" t="str">
        <f t="shared" si="20"/>
        <v/>
      </c>
      <c r="E152" s="493" t="str">
        <f t="shared" si="21"/>
        <v/>
      </c>
      <c r="F152" s="495" t="str">
        <f t="shared" si="22"/>
        <v/>
      </c>
      <c r="G152" s="496" t="str">
        <f>IF($G$6=N152,MAX($G$8:G151)+1,"")</f>
        <v/>
      </c>
      <c r="H152" s="496" t="str">
        <f>IF($H$6=J152,MAX($H$8:H151)+1,"")</f>
        <v/>
      </c>
      <c r="I152" s="172" t="str">
        <f>IF(L152&lt;&gt;"",COUNTA($L$9:L152),"")</f>
        <v/>
      </c>
      <c r="J152" s="517"/>
      <c r="K152" s="172" t="str">
        <f t="shared" si="25"/>
        <v/>
      </c>
      <c r="L152" s="136"/>
      <c r="M152" s="136"/>
      <c r="N152" s="225"/>
      <c r="O152" s="328" t="str">
        <f t="shared" si="23"/>
        <v>-</v>
      </c>
      <c r="P152" s="528"/>
      <c r="Q152" s="482"/>
      <c r="R152" s="528"/>
      <c r="S152" s="499"/>
      <c r="T152" s="518"/>
      <c r="U152" s="499"/>
      <c r="V152" s="502"/>
      <c r="W152" s="519"/>
      <c r="X152" s="502"/>
      <c r="Y152" s="499"/>
      <c r="Z152" s="518"/>
      <c r="AA152" s="499"/>
      <c r="AB152" s="505"/>
      <c r="AC152" s="520"/>
      <c r="AD152" s="505"/>
      <c r="AE152" s="508"/>
      <c r="AF152" s="521"/>
      <c r="AG152" s="508"/>
      <c r="AH152" s="511"/>
      <c r="AI152" s="522"/>
      <c r="AJ152" s="511"/>
      <c r="AK152" s="514">
        <f t="shared" si="26"/>
        <v>0</v>
      </c>
      <c r="AL152" s="523"/>
      <c r="AM152" s="525"/>
      <c r="AN152" s="329"/>
      <c r="AO152" s="691"/>
    </row>
    <row r="153" spans="1:41" s="516" customFormat="1" ht="15.75">
      <c r="A153" s="516">
        <f t="shared" si="24"/>
        <v>0</v>
      </c>
      <c r="B153" s="610" t="str">
        <f>IF(AND($B$7=AN153,$B$5=J153),MAX($B$8:B152)+1,"")</f>
        <v/>
      </c>
      <c r="C153" s="493" t="str">
        <f t="shared" si="19"/>
        <v/>
      </c>
      <c r="D153" s="494" t="str">
        <f t="shared" si="20"/>
        <v/>
      </c>
      <c r="E153" s="493" t="str">
        <f t="shared" si="21"/>
        <v/>
      </c>
      <c r="F153" s="495" t="str">
        <f t="shared" si="22"/>
        <v/>
      </c>
      <c r="G153" s="496" t="str">
        <f>IF($G$6=N153,MAX($G$8:G152)+1,"")</f>
        <v/>
      </c>
      <c r="H153" s="496" t="str">
        <f>IF($H$6=J153,MAX($H$8:H152)+1,"")</f>
        <v/>
      </c>
      <c r="I153" s="172" t="str">
        <f>IF(L153&lt;&gt;"",COUNTA($L$9:L153),"")</f>
        <v/>
      </c>
      <c r="J153" s="517"/>
      <c r="K153" s="172" t="str">
        <f t="shared" si="25"/>
        <v/>
      </c>
      <c r="L153" s="136"/>
      <c r="M153" s="136"/>
      <c r="N153" s="225"/>
      <c r="O153" s="328" t="str">
        <f t="shared" si="23"/>
        <v>-</v>
      </c>
      <c r="P153" s="528"/>
      <c r="Q153" s="482"/>
      <c r="R153" s="528"/>
      <c r="S153" s="499"/>
      <c r="T153" s="518"/>
      <c r="U153" s="499"/>
      <c r="V153" s="502"/>
      <c r="W153" s="519"/>
      <c r="X153" s="502"/>
      <c r="Y153" s="499"/>
      <c r="Z153" s="518"/>
      <c r="AA153" s="499"/>
      <c r="AB153" s="505"/>
      <c r="AC153" s="520"/>
      <c r="AD153" s="505"/>
      <c r="AE153" s="508"/>
      <c r="AF153" s="521"/>
      <c r="AG153" s="508"/>
      <c r="AH153" s="511"/>
      <c r="AI153" s="522"/>
      <c r="AJ153" s="511"/>
      <c r="AK153" s="514">
        <f t="shared" si="26"/>
        <v>0</v>
      </c>
      <c r="AL153" s="523"/>
      <c r="AM153" s="525"/>
      <c r="AN153" s="329" t="str">
        <f t="shared" ref="AN153:AN201" si="27">IF(AM153="","","Tiền mặt")</f>
        <v/>
      </c>
      <c r="AO153" s="691"/>
    </row>
    <row r="154" spans="1:41" s="516" customFormat="1" ht="15.75">
      <c r="A154" s="516">
        <f t="shared" si="24"/>
        <v>0</v>
      </c>
      <c r="B154" s="610" t="str">
        <f>IF(AND($B$7=AN154,$B$5=J154),MAX($B$8:B153)+1,"")</f>
        <v/>
      </c>
      <c r="C154" s="493" t="str">
        <f t="shared" si="19"/>
        <v/>
      </c>
      <c r="D154" s="494" t="str">
        <f t="shared" si="20"/>
        <v/>
      </c>
      <c r="E154" s="493" t="str">
        <f t="shared" si="21"/>
        <v/>
      </c>
      <c r="F154" s="495" t="str">
        <f t="shared" si="22"/>
        <v/>
      </c>
      <c r="G154" s="496" t="str">
        <f>IF($G$6=N154,MAX($G$8:G153)+1,"")</f>
        <v/>
      </c>
      <c r="H154" s="496" t="str">
        <f>IF($H$6=J154,MAX($H$8:H153)+1,"")</f>
        <v/>
      </c>
      <c r="I154" s="172" t="str">
        <f>IF(L154&lt;&gt;"",COUNTA($L$9:L154),"")</f>
        <v/>
      </c>
      <c r="J154" s="517"/>
      <c r="K154" s="172" t="str">
        <f t="shared" si="25"/>
        <v/>
      </c>
      <c r="L154" s="136"/>
      <c r="M154" s="136"/>
      <c r="N154" s="225"/>
      <c r="O154" s="328" t="str">
        <f t="shared" si="23"/>
        <v>-</v>
      </c>
      <c r="P154" s="528"/>
      <c r="Q154" s="482"/>
      <c r="R154" s="528"/>
      <c r="S154" s="499"/>
      <c r="T154" s="518"/>
      <c r="U154" s="499"/>
      <c r="V154" s="502"/>
      <c r="W154" s="519"/>
      <c r="X154" s="502"/>
      <c r="Y154" s="499"/>
      <c r="Z154" s="518"/>
      <c r="AA154" s="499"/>
      <c r="AB154" s="505"/>
      <c r="AC154" s="520"/>
      <c r="AD154" s="505"/>
      <c r="AE154" s="508"/>
      <c r="AF154" s="521"/>
      <c r="AG154" s="508"/>
      <c r="AH154" s="511"/>
      <c r="AI154" s="522"/>
      <c r="AJ154" s="511"/>
      <c r="AK154" s="514">
        <f t="shared" si="26"/>
        <v>0</v>
      </c>
      <c r="AL154" s="523"/>
      <c r="AM154" s="525"/>
      <c r="AN154" s="329" t="str">
        <f t="shared" si="27"/>
        <v/>
      </c>
      <c r="AO154" s="691"/>
    </row>
    <row r="155" spans="1:41" s="516" customFormat="1" ht="15.75">
      <c r="A155" s="516">
        <f t="shared" si="24"/>
        <v>0</v>
      </c>
      <c r="B155" s="610" t="str">
        <f>IF(AND($B$7=AN155,$B$5=J155),MAX($B$8:B154)+1,"")</f>
        <v/>
      </c>
      <c r="C155" s="493" t="str">
        <f t="shared" si="19"/>
        <v/>
      </c>
      <c r="D155" s="494" t="str">
        <f t="shared" si="20"/>
        <v/>
      </c>
      <c r="E155" s="493" t="str">
        <f t="shared" si="21"/>
        <v/>
      </c>
      <c r="F155" s="495" t="str">
        <f t="shared" si="22"/>
        <v/>
      </c>
      <c r="G155" s="496" t="str">
        <f>IF($G$6=N155,MAX($G$8:G154)+1,"")</f>
        <v/>
      </c>
      <c r="H155" s="496" t="str">
        <f>IF($H$6=J155,MAX($H$8:H154)+1,"")</f>
        <v/>
      </c>
      <c r="I155" s="172" t="str">
        <f>IF(L155&lt;&gt;"",COUNTA($L$9:L155),"")</f>
        <v/>
      </c>
      <c r="J155" s="517"/>
      <c r="K155" s="172" t="str">
        <f t="shared" si="25"/>
        <v/>
      </c>
      <c r="L155" s="136"/>
      <c r="M155" s="136"/>
      <c r="N155" s="225"/>
      <c r="O155" s="328" t="str">
        <f t="shared" si="23"/>
        <v>-</v>
      </c>
      <c r="P155" s="528"/>
      <c r="Q155" s="482"/>
      <c r="R155" s="528"/>
      <c r="S155" s="499"/>
      <c r="T155" s="518"/>
      <c r="U155" s="499"/>
      <c r="V155" s="502"/>
      <c r="W155" s="519"/>
      <c r="X155" s="502"/>
      <c r="Y155" s="499"/>
      <c r="Z155" s="518"/>
      <c r="AA155" s="499"/>
      <c r="AB155" s="505"/>
      <c r="AC155" s="520"/>
      <c r="AD155" s="505"/>
      <c r="AE155" s="508"/>
      <c r="AF155" s="521"/>
      <c r="AG155" s="508"/>
      <c r="AH155" s="511"/>
      <c r="AI155" s="522"/>
      <c r="AJ155" s="511"/>
      <c r="AK155" s="514">
        <f t="shared" si="26"/>
        <v>0</v>
      </c>
      <c r="AL155" s="523"/>
      <c r="AM155" s="525"/>
      <c r="AN155" s="329" t="str">
        <f t="shared" si="27"/>
        <v/>
      </c>
      <c r="AO155" s="691"/>
    </row>
    <row r="156" spans="1:41" s="516" customFormat="1" ht="15.75">
      <c r="A156" s="516">
        <f t="shared" si="24"/>
        <v>0</v>
      </c>
      <c r="B156" s="610" t="str">
        <f>IF(AND($B$7=AN156,$B$5=J156),MAX($B$8:B155)+1,"")</f>
        <v/>
      </c>
      <c r="C156" s="493" t="str">
        <f t="shared" si="19"/>
        <v/>
      </c>
      <c r="D156" s="494" t="str">
        <f t="shared" si="20"/>
        <v/>
      </c>
      <c r="E156" s="493" t="str">
        <f t="shared" si="21"/>
        <v/>
      </c>
      <c r="F156" s="495" t="str">
        <f t="shared" si="22"/>
        <v/>
      </c>
      <c r="G156" s="496" t="str">
        <f>IF($G$6=N156,MAX($G$8:G155)+1,"")</f>
        <v/>
      </c>
      <c r="H156" s="496" t="str">
        <f>IF($H$6=J156,MAX($H$8:H155)+1,"")</f>
        <v/>
      </c>
      <c r="I156" s="172" t="str">
        <f>IF(L156&lt;&gt;"",COUNTA($L$9:L156),"")</f>
        <v/>
      </c>
      <c r="J156" s="517"/>
      <c r="K156" s="172" t="str">
        <f t="shared" si="25"/>
        <v/>
      </c>
      <c r="L156" s="136"/>
      <c r="M156" s="136"/>
      <c r="N156" s="225"/>
      <c r="O156" s="328" t="str">
        <f t="shared" si="23"/>
        <v>-</v>
      </c>
      <c r="P156" s="528"/>
      <c r="Q156" s="482"/>
      <c r="R156" s="528"/>
      <c r="S156" s="499"/>
      <c r="T156" s="518"/>
      <c r="U156" s="499"/>
      <c r="V156" s="502"/>
      <c r="W156" s="519"/>
      <c r="X156" s="502"/>
      <c r="Y156" s="499"/>
      <c r="Z156" s="518"/>
      <c r="AA156" s="499"/>
      <c r="AB156" s="505"/>
      <c r="AC156" s="520"/>
      <c r="AD156" s="505"/>
      <c r="AE156" s="508"/>
      <c r="AF156" s="521"/>
      <c r="AG156" s="508"/>
      <c r="AH156" s="511"/>
      <c r="AI156" s="522"/>
      <c r="AJ156" s="511"/>
      <c r="AK156" s="514">
        <f t="shared" si="26"/>
        <v>0</v>
      </c>
      <c r="AL156" s="523"/>
      <c r="AM156" s="525"/>
      <c r="AN156" s="329" t="str">
        <f t="shared" si="27"/>
        <v/>
      </c>
      <c r="AO156" s="691"/>
    </row>
    <row r="157" spans="1:41" s="516" customFormat="1" ht="15.75">
      <c r="A157" s="516">
        <f t="shared" si="24"/>
        <v>0</v>
      </c>
      <c r="B157" s="610" t="str">
        <f>IF(AND($B$7=AN157,$B$5=J157),MAX($B$8:B156)+1,"")</f>
        <v/>
      </c>
      <c r="C157" s="493" t="str">
        <f t="shared" si="19"/>
        <v/>
      </c>
      <c r="D157" s="494" t="str">
        <f t="shared" si="20"/>
        <v/>
      </c>
      <c r="E157" s="493" t="str">
        <f t="shared" si="21"/>
        <v/>
      </c>
      <c r="F157" s="495" t="str">
        <f t="shared" si="22"/>
        <v/>
      </c>
      <c r="G157" s="496" t="str">
        <f>IF($G$6=N157,MAX($G$8:G156)+1,"")</f>
        <v/>
      </c>
      <c r="H157" s="496" t="str">
        <f>IF($H$6=J157,MAX($H$8:H156)+1,"")</f>
        <v/>
      </c>
      <c r="I157" s="172" t="str">
        <f>IF(L157&lt;&gt;"",COUNTA($L$9:L157),"")</f>
        <v/>
      </c>
      <c r="J157" s="517"/>
      <c r="K157" s="172" t="str">
        <f t="shared" si="25"/>
        <v/>
      </c>
      <c r="L157" s="136"/>
      <c r="M157" s="136"/>
      <c r="N157" s="225"/>
      <c r="O157" s="328" t="str">
        <f t="shared" si="23"/>
        <v>-</v>
      </c>
      <c r="P157" s="528"/>
      <c r="Q157" s="482"/>
      <c r="R157" s="528"/>
      <c r="S157" s="499"/>
      <c r="T157" s="518"/>
      <c r="U157" s="499"/>
      <c r="V157" s="502"/>
      <c r="W157" s="519"/>
      <c r="X157" s="502"/>
      <c r="Y157" s="499"/>
      <c r="Z157" s="518"/>
      <c r="AA157" s="499"/>
      <c r="AB157" s="505"/>
      <c r="AC157" s="520"/>
      <c r="AD157" s="505"/>
      <c r="AE157" s="508"/>
      <c r="AF157" s="521"/>
      <c r="AG157" s="508"/>
      <c r="AH157" s="511"/>
      <c r="AI157" s="522"/>
      <c r="AJ157" s="511"/>
      <c r="AK157" s="514">
        <f t="shared" si="26"/>
        <v>0</v>
      </c>
      <c r="AL157" s="523"/>
      <c r="AM157" s="525"/>
      <c r="AN157" s="329" t="str">
        <f t="shared" si="27"/>
        <v/>
      </c>
      <c r="AO157" s="691"/>
    </row>
    <row r="158" spans="1:41" s="516" customFormat="1" ht="15.75">
      <c r="A158" s="516">
        <f t="shared" si="24"/>
        <v>0</v>
      </c>
      <c r="B158" s="610" t="str">
        <f>IF(AND($B$7=AN158,$B$5=J158),MAX($B$8:B157)+1,"")</f>
        <v/>
      </c>
      <c r="C158" s="493" t="str">
        <f t="shared" si="19"/>
        <v/>
      </c>
      <c r="D158" s="494" t="str">
        <f t="shared" si="20"/>
        <v/>
      </c>
      <c r="E158" s="493" t="str">
        <f t="shared" si="21"/>
        <v/>
      </c>
      <c r="F158" s="495" t="str">
        <f t="shared" si="22"/>
        <v/>
      </c>
      <c r="G158" s="496" t="str">
        <f>IF($G$6=N158,MAX($G$8:G157)+1,"")</f>
        <v/>
      </c>
      <c r="H158" s="496" t="str">
        <f>IF($H$6=J158,MAX($H$8:H157)+1,"")</f>
        <v/>
      </c>
      <c r="I158" s="172" t="str">
        <f>IF(L158&lt;&gt;"",COUNTA($L$9:L158),"")</f>
        <v/>
      </c>
      <c r="J158" s="517"/>
      <c r="K158" s="172" t="str">
        <f t="shared" si="25"/>
        <v/>
      </c>
      <c r="L158" s="136"/>
      <c r="M158" s="136"/>
      <c r="N158" s="225"/>
      <c r="O158" s="328" t="str">
        <f t="shared" si="23"/>
        <v>-</v>
      </c>
      <c r="P158" s="528"/>
      <c r="Q158" s="482"/>
      <c r="R158" s="528"/>
      <c r="S158" s="499"/>
      <c r="T158" s="518"/>
      <c r="U158" s="499"/>
      <c r="V158" s="502"/>
      <c r="W158" s="519"/>
      <c r="X158" s="502"/>
      <c r="Y158" s="499"/>
      <c r="Z158" s="518"/>
      <c r="AA158" s="499"/>
      <c r="AB158" s="505"/>
      <c r="AC158" s="520"/>
      <c r="AD158" s="505"/>
      <c r="AE158" s="508"/>
      <c r="AF158" s="521"/>
      <c r="AG158" s="508"/>
      <c r="AH158" s="511"/>
      <c r="AI158" s="522"/>
      <c r="AJ158" s="511"/>
      <c r="AK158" s="514">
        <f t="shared" si="26"/>
        <v>0</v>
      </c>
      <c r="AL158" s="523"/>
      <c r="AM158" s="525"/>
      <c r="AN158" s="329" t="str">
        <f t="shared" si="27"/>
        <v/>
      </c>
      <c r="AO158" s="691"/>
    </row>
    <row r="159" spans="1:41" s="516" customFormat="1" ht="15.75">
      <c r="A159" s="516">
        <f t="shared" si="24"/>
        <v>0</v>
      </c>
      <c r="B159" s="610" t="str">
        <f>IF(AND($B$7=AN159,$B$5=J159),MAX($B$8:B158)+1,"")</f>
        <v/>
      </c>
      <c r="C159" s="493" t="str">
        <f t="shared" si="19"/>
        <v/>
      </c>
      <c r="D159" s="494" t="str">
        <f t="shared" si="20"/>
        <v/>
      </c>
      <c r="E159" s="493" t="str">
        <f t="shared" si="21"/>
        <v/>
      </c>
      <c r="F159" s="495" t="str">
        <f t="shared" si="22"/>
        <v/>
      </c>
      <c r="G159" s="496" t="str">
        <f>IF($G$6=N159,MAX($G$8:G158)+1,"")</f>
        <v/>
      </c>
      <c r="H159" s="496" t="str">
        <f>IF($H$6=J159,MAX($H$8:H158)+1,"")</f>
        <v/>
      </c>
      <c r="I159" s="172" t="str">
        <f>IF(L159&lt;&gt;"",COUNTA($L$9:L159),"")</f>
        <v/>
      </c>
      <c r="J159" s="517"/>
      <c r="K159" s="172" t="str">
        <f t="shared" si="25"/>
        <v/>
      </c>
      <c r="L159" s="136"/>
      <c r="M159" s="136"/>
      <c r="N159" s="225"/>
      <c r="O159" s="328" t="str">
        <f t="shared" si="23"/>
        <v>-</v>
      </c>
      <c r="P159" s="528"/>
      <c r="Q159" s="482"/>
      <c r="R159" s="528"/>
      <c r="S159" s="499"/>
      <c r="T159" s="518"/>
      <c r="U159" s="499"/>
      <c r="V159" s="502"/>
      <c r="W159" s="519"/>
      <c r="X159" s="502"/>
      <c r="Y159" s="499"/>
      <c r="Z159" s="518"/>
      <c r="AA159" s="499"/>
      <c r="AB159" s="505"/>
      <c r="AC159" s="520"/>
      <c r="AD159" s="505"/>
      <c r="AE159" s="508"/>
      <c r="AF159" s="521"/>
      <c r="AG159" s="508"/>
      <c r="AH159" s="511"/>
      <c r="AI159" s="522"/>
      <c r="AJ159" s="511"/>
      <c r="AK159" s="514">
        <f t="shared" si="26"/>
        <v>0</v>
      </c>
      <c r="AL159" s="523"/>
      <c r="AM159" s="525"/>
      <c r="AN159" s="329" t="str">
        <f t="shared" si="27"/>
        <v/>
      </c>
      <c r="AO159" s="691"/>
    </row>
    <row r="160" spans="1:41" s="516" customFormat="1" ht="15.75">
      <c r="A160" s="516">
        <f t="shared" si="24"/>
        <v>0</v>
      </c>
      <c r="B160" s="610" t="str">
        <f>IF(AND($B$7=AN160,$B$5=J160),MAX($B$8:B159)+1,"")</f>
        <v/>
      </c>
      <c r="C160" s="493" t="str">
        <f t="shared" si="19"/>
        <v/>
      </c>
      <c r="D160" s="494" t="str">
        <f t="shared" si="20"/>
        <v/>
      </c>
      <c r="E160" s="493" t="str">
        <f t="shared" si="21"/>
        <v/>
      </c>
      <c r="F160" s="495" t="str">
        <f t="shared" si="22"/>
        <v/>
      </c>
      <c r="G160" s="496" t="str">
        <f>IF($G$6=N160,MAX($G$8:G159)+1,"")</f>
        <v/>
      </c>
      <c r="H160" s="496" t="str">
        <f>IF($H$6=J160,MAX($H$8:H159)+1,"")</f>
        <v/>
      </c>
      <c r="I160" s="172" t="str">
        <f>IF(L160&lt;&gt;"",COUNTA($L$9:L160),"")</f>
        <v/>
      </c>
      <c r="J160" s="517"/>
      <c r="K160" s="172" t="str">
        <f t="shared" si="25"/>
        <v/>
      </c>
      <c r="L160" s="136"/>
      <c r="M160" s="136"/>
      <c r="N160" s="225"/>
      <c r="O160" s="328" t="str">
        <f t="shared" si="23"/>
        <v>-</v>
      </c>
      <c r="P160" s="528"/>
      <c r="Q160" s="482"/>
      <c r="R160" s="528"/>
      <c r="S160" s="499"/>
      <c r="T160" s="518"/>
      <c r="U160" s="499"/>
      <c r="V160" s="502"/>
      <c r="W160" s="519"/>
      <c r="X160" s="502"/>
      <c r="Y160" s="499"/>
      <c r="Z160" s="518"/>
      <c r="AA160" s="499"/>
      <c r="AB160" s="505"/>
      <c r="AC160" s="520"/>
      <c r="AD160" s="505"/>
      <c r="AE160" s="508"/>
      <c r="AF160" s="521"/>
      <c r="AG160" s="508"/>
      <c r="AH160" s="511"/>
      <c r="AI160" s="522"/>
      <c r="AJ160" s="511"/>
      <c r="AK160" s="514">
        <f t="shared" si="26"/>
        <v>0</v>
      </c>
      <c r="AL160" s="523"/>
      <c r="AM160" s="525"/>
      <c r="AN160" s="329" t="str">
        <f t="shared" si="27"/>
        <v/>
      </c>
      <c r="AO160" s="691"/>
    </row>
    <row r="161" spans="1:41" s="516" customFormat="1" ht="15.75">
      <c r="A161" s="516">
        <f t="shared" si="24"/>
        <v>0</v>
      </c>
      <c r="B161" s="610" t="str">
        <f>IF(AND($B$7=AN161,$B$5=J161),MAX($B$8:B160)+1,"")</f>
        <v/>
      </c>
      <c r="C161" s="493" t="str">
        <f t="shared" si="19"/>
        <v/>
      </c>
      <c r="D161" s="494" t="str">
        <f t="shared" si="20"/>
        <v/>
      </c>
      <c r="E161" s="493" t="str">
        <f t="shared" si="21"/>
        <v/>
      </c>
      <c r="F161" s="495" t="str">
        <f t="shared" si="22"/>
        <v/>
      </c>
      <c r="G161" s="496" t="str">
        <f>IF($G$6=N161,MAX($G$8:G160)+1,"")</f>
        <v/>
      </c>
      <c r="H161" s="496" t="str">
        <f>IF($H$6=J161,MAX($H$8:H160)+1,"")</f>
        <v/>
      </c>
      <c r="I161" s="172" t="str">
        <f>IF(L161&lt;&gt;"",COUNTA($L$9:L161),"")</f>
        <v/>
      </c>
      <c r="J161" s="517"/>
      <c r="K161" s="172" t="str">
        <f t="shared" si="25"/>
        <v/>
      </c>
      <c r="L161" s="136"/>
      <c r="M161" s="136"/>
      <c r="N161" s="225"/>
      <c r="O161" s="328" t="str">
        <f t="shared" si="23"/>
        <v>-</v>
      </c>
      <c r="P161" s="528"/>
      <c r="Q161" s="482"/>
      <c r="R161" s="528"/>
      <c r="S161" s="499"/>
      <c r="T161" s="518"/>
      <c r="U161" s="499"/>
      <c r="V161" s="502"/>
      <c r="W161" s="519"/>
      <c r="X161" s="502"/>
      <c r="Y161" s="499"/>
      <c r="Z161" s="518"/>
      <c r="AA161" s="499"/>
      <c r="AB161" s="505"/>
      <c r="AC161" s="520"/>
      <c r="AD161" s="505"/>
      <c r="AE161" s="508"/>
      <c r="AF161" s="521"/>
      <c r="AG161" s="508"/>
      <c r="AH161" s="511"/>
      <c r="AI161" s="522"/>
      <c r="AJ161" s="511"/>
      <c r="AK161" s="514">
        <f t="shared" si="26"/>
        <v>0</v>
      </c>
      <c r="AL161" s="523"/>
      <c r="AM161" s="525"/>
      <c r="AN161" s="329" t="str">
        <f t="shared" si="27"/>
        <v/>
      </c>
      <c r="AO161" s="691"/>
    </row>
    <row r="162" spans="1:41" s="516" customFormat="1" ht="15.75">
      <c r="A162" s="516">
        <f t="shared" si="24"/>
        <v>0</v>
      </c>
      <c r="B162" s="610" t="str">
        <f>IF(AND($B$7=AN162,$B$5=J162),MAX($B$8:B161)+1,"")</f>
        <v/>
      </c>
      <c r="C162" s="493" t="str">
        <f t="shared" si="19"/>
        <v/>
      </c>
      <c r="D162" s="494" t="str">
        <f t="shared" si="20"/>
        <v/>
      </c>
      <c r="E162" s="493" t="str">
        <f t="shared" si="21"/>
        <v/>
      </c>
      <c r="F162" s="495" t="str">
        <f t="shared" si="22"/>
        <v/>
      </c>
      <c r="G162" s="496" t="str">
        <f>IF($G$6=N162,MAX($G$8:G161)+1,"")</f>
        <v/>
      </c>
      <c r="H162" s="496" t="str">
        <f>IF($H$6=J162,MAX($H$8:H161)+1,"")</f>
        <v/>
      </c>
      <c r="I162" s="172" t="str">
        <f>IF(L162&lt;&gt;"",COUNTA($L$9:L162),"")</f>
        <v/>
      </c>
      <c r="J162" s="517"/>
      <c r="K162" s="172"/>
      <c r="L162" s="136"/>
      <c r="M162" s="136"/>
      <c r="N162" s="225"/>
      <c r="O162" s="328" t="str">
        <f t="shared" si="23"/>
        <v>-</v>
      </c>
      <c r="P162" s="528"/>
      <c r="Q162" s="482"/>
      <c r="R162" s="528"/>
      <c r="S162" s="499"/>
      <c r="T162" s="518"/>
      <c r="U162" s="499"/>
      <c r="V162" s="502"/>
      <c r="W162" s="519"/>
      <c r="X162" s="502"/>
      <c r="Y162" s="499"/>
      <c r="Z162" s="518"/>
      <c r="AA162" s="499"/>
      <c r="AB162" s="505"/>
      <c r="AC162" s="520"/>
      <c r="AD162" s="505"/>
      <c r="AE162" s="508"/>
      <c r="AF162" s="521"/>
      <c r="AG162" s="508"/>
      <c r="AH162" s="511"/>
      <c r="AI162" s="522"/>
      <c r="AJ162" s="511"/>
      <c r="AK162" s="514">
        <f t="shared" si="26"/>
        <v>0</v>
      </c>
      <c r="AL162" s="523"/>
      <c r="AM162" s="525"/>
      <c r="AN162" s="329" t="str">
        <f t="shared" si="27"/>
        <v/>
      </c>
      <c r="AO162" s="691"/>
    </row>
    <row r="163" spans="1:41" s="516" customFormat="1" ht="15.75">
      <c r="A163" s="516">
        <f t="shared" si="24"/>
        <v>0</v>
      </c>
      <c r="B163" s="610" t="str">
        <f>IF(AND($B$7=AN163,$B$5=J163),MAX($B$8:B162)+1,"")</f>
        <v/>
      </c>
      <c r="C163" s="493" t="str">
        <f t="shared" si="19"/>
        <v/>
      </c>
      <c r="D163" s="494" t="str">
        <f t="shared" si="20"/>
        <v/>
      </c>
      <c r="E163" s="493" t="str">
        <f t="shared" si="21"/>
        <v/>
      </c>
      <c r="F163" s="495" t="str">
        <f t="shared" si="22"/>
        <v/>
      </c>
      <c r="G163" s="496" t="str">
        <f>IF($G$6=N163,MAX($G$8:G162)+1,"")</f>
        <v/>
      </c>
      <c r="H163" s="496" t="str">
        <f>IF($H$6=J163,MAX($H$8:H162)+1,"")</f>
        <v/>
      </c>
      <c r="I163" s="172" t="str">
        <f>IF(L163&lt;&gt;"",COUNTA($L$9:L163),"")</f>
        <v/>
      </c>
      <c r="J163" s="517"/>
      <c r="K163" s="172"/>
      <c r="L163" s="136"/>
      <c r="M163" s="136"/>
      <c r="N163" s="225"/>
      <c r="O163" s="328" t="str">
        <f t="shared" si="23"/>
        <v>-</v>
      </c>
      <c r="P163" s="528"/>
      <c r="Q163" s="482"/>
      <c r="R163" s="528"/>
      <c r="S163" s="499"/>
      <c r="T163" s="518"/>
      <c r="U163" s="499"/>
      <c r="V163" s="502"/>
      <c r="W163" s="519"/>
      <c r="X163" s="502"/>
      <c r="Y163" s="499"/>
      <c r="Z163" s="518"/>
      <c r="AA163" s="499"/>
      <c r="AB163" s="505"/>
      <c r="AC163" s="520"/>
      <c r="AD163" s="505"/>
      <c r="AE163" s="508"/>
      <c r="AF163" s="521"/>
      <c r="AG163" s="508"/>
      <c r="AH163" s="511"/>
      <c r="AI163" s="522"/>
      <c r="AJ163" s="511"/>
      <c r="AK163" s="514">
        <f t="shared" si="26"/>
        <v>0</v>
      </c>
      <c r="AL163" s="523"/>
      <c r="AM163" s="525"/>
      <c r="AN163" s="329" t="str">
        <f t="shared" si="27"/>
        <v/>
      </c>
      <c r="AO163" s="691"/>
    </row>
    <row r="164" spans="1:41" s="516" customFormat="1" ht="15.75">
      <c r="A164" s="516">
        <f t="shared" si="24"/>
        <v>0</v>
      </c>
      <c r="B164" s="610" t="str">
        <f>IF(AND($B$7=AN164,$B$5=J164),MAX($B$8:B163)+1,"")</f>
        <v/>
      </c>
      <c r="C164" s="493" t="str">
        <f t="shared" si="19"/>
        <v/>
      </c>
      <c r="D164" s="494" t="str">
        <f t="shared" si="20"/>
        <v/>
      </c>
      <c r="E164" s="493" t="str">
        <f t="shared" si="21"/>
        <v/>
      </c>
      <c r="F164" s="495" t="str">
        <f t="shared" si="22"/>
        <v/>
      </c>
      <c r="G164" s="496" t="str">
        <f>IF($G$6=N164,MAX($G$8:G163)+1,"")</f>
        <v/>
      </c>
      <c r="H164" s="496" t="str">
        <f>IF($H$6=J164,MAX($H$8:H163)+1,"")</f>
        <v/>
      </c>
      <c r="I164" s="172" t="str">
        <f>IF(L164&lt;&gt;"",COUNTA($L$9:L164),"")</f>
        <v/>
      </c>
      <c r="J164" s="517"/>
      <c r="K164" s="172"/>
      <c r="L164" s="136"/>
      <c r="M164" s="136"/>
      <c r="N164" s="225"/>
      <c r="O164" s="328" t="str">
        <f t="shared" si="23"/>
        <v>-</v>
      </c>
      <c r="P164" s="528"/>
      <c r="Q164" s="482"/>
      <c r="R164" s="528"/>
      <c r="S164" s="499"/>
      <c r="T164" s="518"/>
      <c r="U164" s="499"/>
      <c r="V164" s="502"/>
      <c r="W164" s="519"/>
      <c r="X164" s="502"/>
      <c r="Y164" s="499"/>
      <c r="Z164" s="518"/>
      <c r="AA164" s="499"/>
      <c r="AB164" s="505"/>
      <c r="AC164" s="520"/>
      <c r="AD164" s="505"/>
      <c r="AE164" s="508"/>
      <c r="AF164" s="521"/>
      <c r="AG164" s="508"/>
      <c r="AH164" s="511"/>
      <c r="AI164" s="522"/>
      <c r="AJ164" s="511"/>
      <c r="AK164" s="514">
        <f t="shared" si="26"/>
        <v>0</v>
      </c>
      <c r="AL164" s="523"/>
      <c r="AM164" s="525"/>
      <c r="AN164" s="329" t="str">
        <f t="shared" si="27"/>
        <v/>
      </c>
      <c r="AO164" s="691"/>
    </row>
    <row r="165" spans="1:41" s="516" customFormat="1" ht="15.75">
      <c r="A165" s="516">
        <f t="shared" si="24"/>
        <v>0</v>
      </c>
      <c r="B165" s="610" t="str">
        <f>IF(AND($B$7=AN165,$B$5=J165),MAX($B$8:B164)+1,"")</f>
        <v/>
      </c>
      <c r="C165" s="493" t="str">
        <f t="shared" si="19"/>
        <v/>
      </c>
      <c r="D165" s="494" t="str">
        <f t="shared" si="20"/>
        <v/>
      </c>
      <c r="E165" s="493" t="str">
        <f t="shared" si="21"/>
        <v/>
      </c>
      <c r="F165" s="495" t="str">
        <f t="shared" si="22"/>
        <v/>
      </c>
      <c r="G165" s="496" t="str">
        <f>IF($G$6=N165,MAX($G$8:G164)+1,"")</f>
        <v/>
      </c>
      <c r="H165" s="496" t="str">
        <f>IF($H$6=J165,MAX($H$8:H164)+1,"")</f>
        <v/>
      </c>
      <c r="I165" s="172" t="str">
        <f>IF(L165&lt;&gt;"",COUNTA($L$9:L165),"")</f>
        <v/>
      </c>
      <c r="J165" s="517"/>
      <c r="K165" s="172"/>
      <c r="L165" s="136"/>
      <c r="M165" s="136"/>
      <c r="N165" s="225"/>
      <c r="O165" s="328" t="str">
        <f t="shared" si="23"/>
        <v>-</v>
      </c>
      <c r="P165" s="528"/>
      <c r="Q165" s="482"/>
      <c r="R165" s="528"/>
      <c r="S165" s="499"/>
      <c r="T165" s="518"/>
      <c r="U165" s="499"/>
      <c r="V165" s="502"/>
      <c r="W165" s="519"/>
      <c r="X165" s="502"/>
      <c r="Y165" s="499"/>
      <c r="Z165" s="518"/>
      <c r="AA165" s="499"/>
      <c r="AB165" s="505"/>
      <c r="AC165" s="520"/>
      <c r="AD165" s="505"/>
      <c r="AE165" s="508"/>
      <c r="AF165" s="521"/>
      <c r="AG165" s="508"/>
      <c r="AH165" s="511"/>
      <c r="AI165" s="522"/>
      <c r="AJ165" s="511"/>
      <c r="AK165" s="514">
        <f t="shared" si="26"/>
        <v>0</v>
      </c>
      <c r="AL165" s="523"/>
      <c r="AM165" s="525"/>
      <c r="AN165" s="329" t="str">
        <f t="shared" si="27"/>
        <v/>
      </c>
      <c r="AO165" s="691"/>
    </row>
    <row r="166" spans="1:41" s="516" customFormat="1" ht="15.75">
      <c r="A166" s="516">
        <f t="shared" si="24"/>
        <v>0</v>
      </c>
      <c r="B166" s="610" t="str">
        <f>IF(AND($B$7=AN166,$B$5=J166),MAX($B$8:B165)+1,"")</f>
        <v/>
      </c>
      <c r="C166" s="493" t="str">
        <f t="shared" si="19"/>
        <v/>
      </c>
      <c r="D166" s="494" t="str">
        <f t="shared" si="20"/>
        <v/>
      </c>
      <c r="E166" s="493" t="str">
        <f t="shared" si="21"/>
        <v/>
      </c>
      <c r="F166" s="495" t="str">
        <f t="shared" si="22"/>
        <v/>
      </c>
      <c r="G166" s="496" t="str">
        <f>IF($G$6=N166,MAX($G$8:G165)+1,"")</f>
        <v/>
      </c>
      <c r="H166" s="496" t="str">
        <f>IF($H$6=J166,MAX($H$8:H165)+1,"")</f>
        <v/>
      </c>
      <c r="I166" s="172" t="str">
        <f>IF(L166&lt;&gt;"",COUNTA($L$9:L166),"")</f>
        <v/>
      </c>
      <c r="J166" s="517"/>
      <c r="K166" s="172"/>
      <c r="L166" s="136"/>
      <c r="M166" s="136"/>
      <c r="N166" s="225"/>
      <c r="O166" s="328" t="str">
        <f t="shared" si="23"/>
        <v>-</v>
      </c>
      <c r="P166" s="528"/>
      <c r="Q166" s="482"/>
      <c r="R166" s="528"/>
      <c r="S166" s="499"/>
      <c r="T166" s="518"/>
      <c r="U166" s="499"/>
      <c r="V166" s="502"/>
      <c r="W166" s="519"/>
      <c r="X166" s="502"/>
      <c r="Y166" s="499"/>
      <c r="Z166" s="518"/>
      <c r="AA166" s="499"/>
      <c r="AB166" s="505"/>
      <c r="AC166" s="520"/>
      <c r="AD166" s="505"/>
      <c r="AE166" s="508"/>
      <c r="AF166" s="521"/>
      <c r="AG166" s="508"/>
      <c r="AH166" s="511"/>
      <c r="AI166" s="522"/>
      <c r="AJ166" s="511"/>
      <c r="AK166" s="514">
        <f t="shared" si="26"/>
        <v>0</v>
      </c>
      <c r="AL166" s="523"/>
      <c r="AM166" s="525"/>
      <c r="AN166" s="329" t="str">
        <f t="shared" si="27"/>
        <v/>
      </c>
      <c r="AO166" s="691"/>
    </row>
    <row r="167" spans="1:41" s="516" customFormat="1" ht="15.75">
      <c r="A167" s="516">
        <f t="shared" si="24"/>
        <v>0</v>
      </c>
      <c r="B167" s="610" t="str">
        <f>IF(AND($B$7=AN167,$B$5=J167),MAX($B$8:B166)+1,"")</f>
        <v/>
      </c>
      <c r="C167" s="493" t="str">
        <f t="shared" si="19"/>
        <v/>
      </c>
      <c r="D167" s="494" t="str">
        <f t="shared" si="20"/>
        <v/>
      </c>
      <c r="E167" s="493" t="str">
        <f t="shared" si="21"/>
        <v/>
      </c>
      <c r="F167" s="495" t="str">
        <f t="shared" si="22"/>
        <v/>
      </c>
      <c r="G167" s="496" t="str">
        <f>IF($G$6=N167,MAX($G$8:G166)+1,"")</f>
        <v/>
      </c>
      <c r="H167" s="496" t="str">
        <f>IF($H$6=J167,MAX($H$8:H166)+1,"")</f>
        <v/>
      </c>
      <c r="I167" s="172" t="str">
        <f>IF(L167&lt;&gt;"",COUNTA($L$9:L167),"")</f>
        <v/>
      </c>
      <c r="J167" s="517"/>
      <c r="K167" s="172"/>
      <c r="L167" s="136"/>
      <c r="M167" s="136"/>
      <c r="N167" s="225"/>
      <c r="O167" s="328" t="str">
        <f t="shared" si="23"/>
        <v>-</v>
      </c>
      <c r="P167" s="528"/>
      <c r="Q167" s="482"/>
      <c r="R167" s="528"/>
      <c r="S167" s="499"/>
      <c r="T167" s="518"/>
      <c r="U167" s="499"/>
      <c r="V167" s="502"/>
      <c r="W167" s="519"/>
      <c r="X167" s="502"/>
      <c r="Y167" s="499"/>
      <c r="Z167" s="518"/>
      <c r="AA167" s="499"/>
      <c r="AB167" s="505"/>
      <c r="AC167" s="520"/>
      <c r="AD167" s="505"/>
      <c r="AE167" s="508"/>
      <c r="AF167" s="521"/>
      <c r="AG167" s="508"/>
      <c r="AH167" s="511"/>
      <c r="AI167" s="522"/>
      <c r="AJ167" s="511"/>
      <c r="AK167" s="514">
        <f t="shared" si="26"/>
        <v>0</v>
      </c>
      <c r="AL167" s="523"/>
      <c r="AM167" s="525"/>
      <c r="AN167" s="329" t="str">
        <f t="shared" si="27"/>
        <v/>
      </c>
      <c r="AO167" s="691"/>
    </row>
    <row r="168" spans="1:41" s="516" customFormat="1" ht="15.75">
      <c r="A168" s="516">
        <f t="shared" si="24"/>
        <v>0</v>
      </c>
      <c r="B168" s="610" t="str">
        <f>IF(AND($B$7=AN168,$B$5=J168),MAX($B$8:B167)+1,"")</f>
        <v/>
      </c>
      <c r="C168" s="493" t="str">
        <f t="shared" si="19"/>
        <v/>
      </c>
      <c r="D168" s="494" t="str">
        <f t="shared" si="20"/>
        <v/>
      </c>
      <c r="E168" s="493" t="str">
        <f t="shared" si="21"/>
        <v/>
      </c>
      <c r="F168" s="495" t="str">
        <f t="shared" si="22"/>
        <v/>
      </c>
      <c r="G168" s="496" t="str">
        <f>IF($G$6=N168,MAX($G$8:G167)+1,"")</f>
        <v/>
      </c>
      <c r="H168" s="496" t="str">
        <f>IF($H$6=J168,MAX($H$8:H167)+1,"")</f>
        <v/>
      </c>
      <c r="I168" s="172" t="str">
        <f>IF(L168&lt;&gt;"",COUNTA($L$9:L168),"")</f>
        <v/>
      </c>
      <c r="J168" s="517"/>
      <c r="K168" s="172"/>
      <c r="L168" s="136"/>
      <c r="M168" s="136"/>
      <c r="N168" s="225"/>
      <c r="O168" s="328" t="str">
        <f t="shared" si="23"/>
        <v>-</v>
      </c>
      <c r="P168" s="528"/>
      <c r="Q168" s="482"/>
      <c r="R168" s="528"/>
      <c r="S168" s="499"/>
      <c r="T168" s="518"/>
      <c r="U168" s="499"/>
      <c r="V168" s="502"/>
      <c r="W168" s="519"/>
      <c r="X168" s="502"/>
      <c r="Y168" s="499"/>
      <c r="Z168" s="518"/>
      <c r="AA168" s="499"/>
      <c r="AB168" s="505"/>
      <c r="AC168" s="520"/>
      <c r="AD168" s="505"/>
      <c r="AE168" s="508"/>
      <c r="AF168" s="521"/>
      <c r="AG168" s="508"/>
      <c r="AH168" s="511"/>
      <c r="AI168" s="522"/>
      <c r="AJ168" s="511"/>
      <c r="AK168" s="514">
        <f t="shared" si="26"/>
        <v>0</v>
      </c>
      <c r="AL168" s="523"/>
      <c r="AM168" s="525"/>
      <c r="AN168" s="329" t="str">
        <f t="shared" si="27"/>
        <v/>
      </c>
      <c r="AO168" s="691"/>
    </row>
    <row r="169" spans="1:41" s="516" customFormat="1" ht="15.75">
      <c r="A169" s="516">
        <f t="shared" si="24"/>
        <v>0</v>
      </c>
      <c r="B169" s="610" t="str">
        <f>IF(AND($B$7=AN169,$B$5=J169),MAX($B$8:B168)+1,"")</f>
        <v/>
      </c>
      <c r="C169" s="493" t="str">
        <f t="shared" ref="C169:C201" si="28">IF($M169="","",IF(OR($M169&lt;=C$2,$M169&gt;=C$5),"",M1K))</f>
        <v/>
      </c>
      <c r="D169" s="494" t="str">
        <f t="shared" si="20"/>
        <v/>
      </c>
      <c r="E169" s="493" t="str">
        <f t="shared" si="21"/>
        <v/>
      </c>
      <c r="F169" s="495" t="str">
        <f t="shared" si="22"/>
        <v/>
      </c>
      <c r="G169" s="496" t="str">
        <f>IF($G$6=N169,MAX($G$8:G168)+1,"")</f>
        <v/>
      </c>
      <c r="H169" s="496" t="str">
        <f>IF($H$6=J169,MAX($H$8:H168)+1,"")</f>
        <v/>
      </c>
      <c r="I169" s="172" t="str">
        <f>IF(L169&lt;&gt;"",COUNTA($L$9:L169),"")</f>
        <v/>
      </c>
      <c r="J169" s="517"/>
      <c r="K169" s="172"/>
      <c r="L169" s="136"/>
      <c r="M169" s="136"/>
      <c r="N169" s="225"/>
      <c r="O169" s="328" t="str">
        <f t="shared" si="23"/>
        <v>-</v>
      </c>
      <c r="P169" s="528"/>
      <c r="Q169" s="482"/>
      <c r="R169" s="528"/>
      <c r="S169" s="499"/>
      <c r="T169" s="518"/>
      <c r="U169" s="499"/>
      <c r="V169" s="502"/>
      <c r="W169" s="519"/>
      <c r="X169" s="502"/>
      <c r="Y169" s="499"/>
      <c r="Z169" s="518"/>
      <c r="AA169" s="499"/>
      <c r="AB169" s="505"/>
      <c r="AC169" s="520"/>
      <c r="AD169" s="505"/>
      <c r="AE169" s="508"/>
      <c r="AF169" s="521"/>
      <c r="AG169" s="508"/>
      <c r="AH169" s="511"/>
      <c r="AI169" s="522"/>
      <c r="AJ169" s="511"/>
      <c r="AK169" s="514">
        <f t="shared" si="26"/>
        <v>0</v>
      </c>
      <c r="AL169" s="523"/>
      <c r="AM169" s="525"/>
      <c r="AN169" s="329" t="str">
        <f t="shared" si="27"/>
        <v/>
      </c>
      <c r="AO169" s="691"/>
    </row>
    <row r="170" spans="1:41" s="516" customFormat="1" ht="15.75">
      <c r="A170" s="516">
        <f t="shared" si="24"/>
        <v>0</v>
      </c>
      <c r="B170" s="610" t="str">
        <f>IF(AND($B$7=AN170,$B$5=J170),MAX($B$8:B169)+1,"")</f>
        <v/>
      </c>
      <c r="C170" s="493" t="str">
        <f t="shared" si="28"/>
        <v/>
      </c>
      <c r="D170" s="494" t="str">
        <f t="shared" si="20"/>
        <v/>
      </c>
      <c r="E170" s="493" t="str">
        <f t="shared" si="21"/>
        <v/>
      </c>
      <c r="F170" s="495" t="str">
        <f t="shared" si="22"/>
        <v/>
      </c>
      <c r="G170" s="496" t="str">
        <f>IF($G$6=N170,MAX($G$8:G169)+1,"")</f>
        <v/>
      </c>
      <c r="H170" s="496" t="str">
        <f>IF($H$6=J170,MAX($H$8:H169)+1,"")</f>
        <v/>
      </c>
      <c r="I170" s="172" t="str">
        <f>IF(L170&lt;&gt;"",COUNTA($L$9:L170),"")</f>
        <v/>
      </c>
      <c r="J170" s="517"/>
      <c r="K170" s="172"/>
      <c r="L170" s="136"/>
      <c r="M170" s="136"/>
      <c r="N170" s="225"/>
      <c r="O170" s="328" t="str">
        <f t="shared" si="23"/>
        <v>-</v>
      </c>
      <c r="P170" s="528"/>
      <c r="Q170" s="482"/>
      <c r="R170" s="528"/>
      <c r="S170" s="499"/>
      <c r="T170" s="518"/>
      <c r="U170" s="499"/>
      <c r="V170" s="502"/>
      <c r="W170" s="519"/>
      <c r="X170" s="502"/>
      <c r="Y170" s="499"/>
      <c r="Z170" s="518"/>
      <c r="AA170" s="499"/>
      <c r="AB170" s="505"/>
      <c r="AC170" s="520"/>
      <c r="AD170" s="505"/>
      <c r="AE170" s="508"/>
      <c r="AF170" s="521"/>
      <c r="AG170" s="508"/>
      <c r="AH170" s="511"/>
      <c r="AI170" s="522"/>
      <c r="AJ170" s="511"/>
      <c r="AK170" s="514">
        <f t="shared" si="26"/>
        <v>0</v>
      </c>
      <c r="AL170" s="523"/>
      <c r="AM170" s="525"/>
      <c r="AN170" s="329" t="str">
        <f t="shared" si="27"/>
        <v/>
      </c>
      <c r="AO170" s="691"/>
    </row>
    <row r="171" spans="1:41" s="516" customFormat="1" ht="15.75">
      <c r="A171" s="516">
        <f t="shared" si="24"/>
        <v>0</v>
      </c>
      <c r="B171" s="610" t="str">
        <f>IF(AND($B$7=AN171,$B$5=J171),MAX($B$8:B170)+1,"")</f>
        <v/>
      </c>
      <c r="C171" s="493" t="str">
        <f t="shared" si="28"/>
        <v/>
      </c>
      <c r="D171" s="494" t="str">
        <f t="shared" si="20"/>
        <v/>
      </c>
      <c r="E171" s="493" t="str">
        <f t="shared" si="21"/>
        <v/>
      </c>
      <c r="F171" s="495" t="str">
        <f t="shared" si="22"/>
        <v/>
      </c>
      <c r="G171" s="496" t="str">
        <f>IF($G$6=N171,MAX($G$8:G170)+1,"")</f>
        <v/>
      </c>
      <c r="H171" s="496" t="str">
        <f>IF($H$6=J171,MAX($H$8:H170)+1,"")</f>
        <v/>
      </c>
      <c r="I171" s="172" t="str">
        <f>IF(L171&lt;&gt;"",COUNTA($L$9:L171),"")</f>
        <v/>
      </c>
      <c r="J171" s="517"/>
      <c r="K171" s="172"/>
      <c r="L171" s="136"/>
      <c r="M171" s="136"/>
      <c r="N171" s="225"/>
      <c r="O171" s="328" t="str">
        <f t="shared" si="23"/>
        <v>-</v>
      </c>
      <c r="P171" s="528"/>
      <c r="Q171" s="482"/>
      <c r="R171" s="528"/>
      <c r="S171" s="499"/>
      <c r="T171" s="518"/>
      <c r="U171" s="499"/>
      <c r="V171" s="502"/>
      <c r="W171" s="519"/>
      <c r="X171" s="502"/>
      <c r="Y171" s="499"/>
      <c r="Z171" s="518"/>
      <c r="AA171" s="499"/>
      <c r="AB171" s="505"/>
      <c r="AC171" s="520"/>
      <c r="AD171" s="505"/>
      <c r="AE171" s="508"/>
      <c r="AF171" s="521"/>
      <c r="AG171" s="508"/>
      <c r="AH171" s="511"/>
      <c r="AI171" s="522"/>
      <c r="AJ171" s="511"/>
      <c r="AK171" s="514">
        <f t="shared" si="26"/>
        <v>0</v>
      </c>
      <c r="AL171" s="523"/>
      <c r="AM171" s="525"/>
      <c r="AN171" s="329" t="str">
        <f t="shared" si="27"/>
        <v/>
      </c>
      <c r="AO171" s="691"/>
    </row>
    <row r="172" spans="1:41" s="516" customFormat="1" ht="15.75">
      <c r="A172" s="516">
        <f t="shared" si="24"/>
        <v>0</v>
      </c>
      <c r="B172" s="610" t="str">
        <f>IF(AND($B$7=AN172,$B$5=J172),MAX($B$8:B171)+1,"")</f>
        <v/>
      </c>
      <c r="C172" s="493" t="str">
        <f t="shared" si="28"/>
        <v/>
      </c>
      <c r="D172" s="494" t="str">
        <f t="shared" si="20"/>
        <v/>
      </c>
      <c r="E172" s="493" t="str">
        <f t="shared" si="21"/>
        <v/>
      </c>
      <c r="F172" s="495" t="str">
        <f t="shared" si="22"/>
        <v/>
      </c>
      <c r="G172" s="496" t="str">
        <f>IF($G$6=N172,MAX($G$8:G171)+1,"")</f>
        <v/>
      </c>
      <c r="H172" s="496" t="str">
        <f>IF($H$6=J172,MAX($H$8:H171)+1,"")</f>
        <v/>
      </c>
      <c r="I172" s="172" t="str">
        <f>IF(L172&lt;&gt;"",COUNTA($L$9:L172),"")</f>
        <v/>
      </c>
      <c r="J172" s="517"/>
      <c r="K172" s="172"/>
      <c r="L172" s="136"/>
      <c r="M172" s="136"/>
      <c r="N172" s="225"/>
      <c r="O172" s="328" t="str">
        <f t="shared" si="23"/>
        <v>-</v>
      </c>
      <c r="P172" s="528"/>
      <c r="Q172" s="482"/>
      <c r="R172" s="528"/>
      <c r="S172" s="499"/>
      <c r="T172" s="518"/>
      <c r="U172" s="499"/>
      <c r="V172" s="502"/>
      <c r="W172" s="519"/>
      <c r="X172" s="502"/>
      <c r="Y172" s="499"/>
      <c r="Z172" s="518"/>
      <c r="AA172" s="499"/>
      <c r="AB172" s="505"/>
      <c r="AC172" s="520"/>
      <c r="AD172" s="505"/>
      <c r="AE172" s="508"/>
      <c r="AF172" s="521"/>
      <c r="AG172" s="508"/>
      <c r="AH172" s="511"/>
      <c r="AI172" s="522"/>
      <c r="AJ172" s="511"/>
      <c r="AK172" s="514">
        <f t="shared" si="26"/>
        <v>0</v>
      </c>
      <c r="AL172" s="523"/>
      <c r="AM172" s="525"/>
      <c r="AN172" s="329" t="str">
        <f t="shared" si="27"/>
        <v/>
      </c>
      <c r="AO172" s="691"/>
    </row>
    <row r="173" spans="1:41" s="516" customFormat="1" ht="15.75">
      <c r="A173" s="516">
        <f t="shared" si="24"/>
        <v>0</v>
      </c>
      <c r="B173" s="610" t="str">
        <f>IF(AND($B$7=AN173,$B$5=J173),MAX($B$8:B172)+1,"")</f>
        <v/>
      </c>
      <c r="C173" s="493" t="str">
        <f t="shared" si="28"/>
        <v/>
      </c>
      <c r="D173" s="494" t="str">
        <f t="shared" si="20"/>
        <v/>
      </c>
      <c r="E173" s="493" t="str">
        <f t="shared" si="21"/>
        <v/>
      </c>
      <c r="F173" s="495" t="str">
        <f t="shared" si="22"/>
        <v/>
      </c>
      <c r="G173" s="496" t="str">
        <f>IF($G$6=N173,MAX($G$8:G172)+1,"")</f>
        <v/>
      </c>
      <c r="H173" s="496" t="str">
        <f>IF($H$6=J173,MAX($H$8:H172)+1,"")</f>
        <v/>
      </c>
      <c r="I173" s="172" t="str">
        <f>IF(L173&lt;&gt;"",COUNTA($L$9:L173),"")</f>
        <v/>
      </c>
      <c r="J173" s="517"/>
      <c r="K173" s="172"/>
      <c r="L173" s="136"/>
      <c r="M173" s="136"/>
      <c r="N173" s="225"/>
      <c r="O173" s="328" t="str">
        <f t="shared" si="23"/>
        <v>-</v>
      </c>
      <c r="P173" s="528"/>
      <c r="Q173" s="482"/>
      <c r="R173" s="528"/>
      <c r="S173" s="499"/>
      <c r="T173" s="518"/>
      <c r="U173" s="499"/>
      <c r="V173" s="502"/>
      <c r="W173" s="519"/>
      <c r="X173" s="502"/>
      <c r="Y173" s="499"/>
      <c r="Z173" s="518"/>
      <c r="AA173" s="499"/>
      <c r="AB173" s="505"/>
      <c r="AC173" s="520"/>
      <c r="AD173" s="505"/>
      <c r="AE173" s="508"/>
      <c r="AF173" s="521"/>
      <c r="AG173" s="508"/>
      <c r="AH173" s="511"/>
      <c r="AI173" s="522"/>
      <c r="AJ173" s="511"/>
      <c r="AK173" s="514">
        <f t="shared" si="26"/>
        <v>0</v>
      </c>
      <c r="AL173" s="523"/>
      <c r="AM173" s="525"/>
      <c r="AN173" s="329" t="str">
        <f t="shared" si="27"/>
        <v/>
      </c>
      <c r="AO173" s="691"/>
    </row>
    <row r="174" spans="1:41" s="516" customFormat="1" ht="15.75">
      <c r="A174" s="516">
        <f t="shared" si="24"/>
        <v>0</v>
      </c>
      <c r="B174" s="610" t="str">
        <f>IF(AND($B$7=AN174,$B$5=J174),MAX($B$8:B173)+1,"")</f>
        <v/>
      </c>
      <c r="C174" s="493" t="str">
        <f t="shared" si="28"/>
        <v/>
      </c>
      <c r="D174" s="494" t="str">
        <f t="shared" si="20"/>
        <v/>
      </c>
      <c r="E174" s="493" t="str">
        <f t="shared" si="21"/>
        <v/>
      </c>
      <c r="F174" s="495" t="str">
        <f t="shared" si="22"/>
        <v/>
      </c>
      <c r="G174" s="496" t="str">
        <f>IF($G$6=N174,MAX($G$8:G173)+1,"")</f>
        <v/>
      </c>
      <c r="H174" s="496" t="str">
        <f>IF($H$6=J174,MAX($H$8:H173)+1,"")</f>
        <v/>
      </c>
      <c r="I174" s="172" t="str">
        <f>IF(L174&lt;&gt;"",COUNTA($L$9:L174),"")</f>
        <v/>
      </c>
      <c r="J174" s="517"/>
      <c r="K174" s="172"/>
      <c r="L174" s="136"/>
      <c r="M174" s="136"/>
      <c r="N174" s="225"/>
      <c r="O174" s="328" t="str">
        <f t="shared" si="23"/>
        <v>-</v>
      </c>
      <c r="P174" s="528"/>
      <c r="Q174" s="482"/>
      <c r="R174" s="528"/>
      <c r="S174" s="499"/>
      <c r="T174" s="518"/>
      <c r="U174" s="499"/>
      <c r="V174" s="502"/>
      <c r="W174" s="519"/>
      <c r="X174" s="502"/>
      <c r="Y174" s="499"/>
      <c r="Z174" s="518"/>
      <c r="AA174" s="499"/>
      <c r="AB174" s="505"/>
      <c r="AC174" s="520"/>
      <c r="AD174" s="505"/>
      <c r="AE174" s="508"/>
      <c r="AF174" s="521"/>
      <c r="AG174" s="508"/>
      <c r="AH174" s="511"/>
      <c r="AI174" s="522"/>
      <c r="AJ174" s="511"/>
      <c r="AK174" s="514">
        <f t="shared" si="26"/>
        <v>0</v>
      </c>
      <c r="AL174" s="523"/>
      <c r="AM174" s="525"/>
      <c r="AN174" s="329" t="str">
        <f t="shared" si="27"/>
        <v/>
      </c>
      <c r="AO174" s="691"/>
    </row>
    <row r="175" spans="1:41" s="516" customFormat="1" ht="15.75">
      <c r="A175" s="516">
        <f t="shared" si="24"/>
        <v>0</v>
      </c>
      <c r="B175" s="610" t="str">
        <f>IF(AND($B$7=AN175,$B$5=J175),MAX($B$8:B174)+1,"")</f>
        <v/>
      </c>
      <c r="C175" s="493" t="str">
        <f t="shared" si="28"/>
        <v/>
      </c>
      <c r="D175" s="494" t="str">
        <f t="shared" si="20"/>
        <v/>
      </c>
      <c r="E175" s="493" t="str">
        <f t="shared" si="21"/>
        <v/>
      </c>
      <c r="F175" s="495" t="str">
        <f t="shared" si="22"/>
        <v/>
      </c>
      <c r="G175" s="496" t="str">
        <f>IF($G$6=N175,MAX($G$8:G174)+1,"")</f>
        <v/>
      </c>
      <c r="H175" s="496" t="str">
        <f>IF($H$6=J175,MAX($H$8:H174)+1,"")</f>
        <v/>
      </c>
      <c r="I175" s="172" t="str">
        <f>IF(L175&lt;&gt;"",COUNTA($L$9:L175),"")</f>
        <v/>
      </c>
      <c r="J175" s="517"/>
      <c r="K175" s="172"/>
      <c r="L175" s="136"/>
      <c r="M175" s="136"/>
      <c r="N175" s="225"/>
      <c r="O175" s="328" t="str">
        <f t="shared" si="23"/>
        <v>-</v>
      </c>
      <c r="P175" s="528"/>
      <c r="Q175" s="482"/>
      <c r="R175" s="528"/>
      <c r="S175" s="499"/>
      <c r="T175" s="518"/>
      <c r="U175" s="499"/>
      <c r="V175" s="502"/>
      <c r="W175" s="519"/>
      <c r="X175" s="502"/>
      <c r="Y175" s="499"/>
      <c r="Z175" s="518"/>
      <c r="AA175" s="499"/>
      <c r="AB175" s="505"/>
      <c r="AC175" s="520"/>
      <c r="AD175" s="505"/>
      <c r="AE175" s="508"/>
      <c r="AF175" s="521"/>
      <c r="AG175" s="508"/>
      <c r="AH175" s="511"/>
      <c r="AI175" s="522"/>
      <c r="AJ175" s="511"/>
      <c r="AK175" s="514">
        <f t="shared" si="26"/>
        <v>0</v>
      </c>
      <c r="AL175" s="523"/>
      <c r="AM175" s="525"/>
      <c r="AN175" s="329" t="str">
        <f t="shared" si="27"/>
        <v/>
      </c>
      <c r="AO175" s="691"/>
    </row>
    <row r="176" spans="1:41" s="516" customFormat="1" ht="15.75">
      <c r="A176" s="516">
        <f t="shared" si="24"/>
        <v>0</v>
      </c>
      <c r="B176" s="610" t="str">
        <f>IF(AND($B$7=AN176,$B$5=J176),MAX($B$8:B175)+1,"")</f>
        <v/>
      </c>
      <c r="C176" s="493" t="str">
        <f t="shared" si="28"/>
        <v/>
      </c>
      <c r="D176" s="494" t="str">
        <f t="shared" si="20"/>
        <v/>
      </c>
      <c r="E176" s="493" t="str">
        <f t="shared" si="21"/>
        <v/>
      </c>
      <c r="F176" s="495" t="str">
        <f t="shared" si="22"/>
        <v/>
      </c>
      <c r="G176" s="496" t="str">
        <f>IF($G$6=N176,MAX($G$8:G175)+1,"")</f>
        <v/>
      </c>
      <c r="H176" s="496" t="str">
        <f>IF($H$6=J176,MAX($H$8:H175)+1,"")</f>
        <v/>
      </c>
      <c r="I176" s="172" t="str">
        <f>IF(L176&lt;&gt;"",COUNTA($L$9:L176),"")</f>
        <v/>
      </c>
      <c r="J176" s="517"/>
      <c r="K176" s="172"/>
      <c r="L176" s="136"/>
      <c r="M176" s="136"/>
      <c r="N176" s="225"/>
      <c r="O176" s="328" t="str">
        <f t="shared" si="23"/>
        <v>-</v>
      </c>
      <c r="P176" s="528"/>
      <c r="Q176" s="482"/>
      <c r="R176" s="528"/>
      <c r="S176" s="499"/>
      <c r="T176" s="518"/>
      <c r="U176" s="499"/>
      <c r="V176" s="502"/>
      <c r="W176" s="519"/>
      <c r="X176" s="502"/>
      <c r="Y176" s="499"/>
      <c r="Z176" s="518"/>
      <c r="AA176" s="499"/>
      <c r="AB176" s="505"/>
      <c r="AC176" s="520"/>
      <c r="AD176" s="505"/>
      <c r="AE176" s="508"/>
      <c r="AF176" s="521"/>
      <c r="AG176" s="508"/>
      <c r="AH176" s="511"/>
      <c r="AI176" s="522"/>
      <c r="AJ176" s="511"/>
      <c r="AK176" s="514">
        <f t="shared" si="26"/>
        <v>0</v>
      </c>
      <c r="AL176" s="523"/>
      <c r="AM176" s="525"/>
      <c r="AN176" s="329" t="str">
        <f t="shared" si="27"/>
        <v/>
      </c>
      <c r="AO176" s="691"/>
    </row>
    <row r="177" spans="1:41" s="516" customFormat="1" ht="15.75">
      <c r="A177" s="516">
        <f t="shared" si="24"/>
        <v>0</v>
      </c>
      <c r="B177" s="610" t="str">
        <f>IF(AND($B$7=AN177,$B$5=J177),MAX($B$8:B176)+1,"")</f>
        <v/>
      </c>
      <c r="C177" s="493" t="str">
        <f t="shared" si="28"/>
        <v/>
      </c>
      <c r="D177" s="494" t="str">
        <f t="shared" si="20"/>
        <v/>
      </c>
      <c r="E177" s="493" t="str">
        <f t="shared" si="21"/>
        <v/>
      </c>
      <c r="F177" s="495" t="str">
        <f t="shared" si="22"/>
        <v/>
      </c>
      <c r="G177" s="496" t="str">
        <f>IF($G$6=N177,MAX($G$8:G176)+1,"")</f>
        <v/>
      </c>
      <c r="H177" s="496" t="str">
        <f>IF($H$6=J177,MAX($H$8:H176)+1,"")</f>
        <v/>
      </c>
      <c r="I177" s="172" t="str">
        <f>IF(L177&lt;&gt;"",COUNTA($L$9:L177),"")</f>
        <v/>
      </c>
      <c r="J177" s="517"/>
      <c r="K177" s="172"/>
      <c r="L177" s="136"/>
      <c r="M177" s="136"/>
      <c r="N177" s="225"/>
      <c r="O177" s="328" t="str">
        <f t="shared" si="23"/>
        <v>-</v>
      </c>
      <c r="P177" s="528"/>
      <c r="Q177" s="482"/>
      <c r="R177" s="528"/>
      <c r="S177" s="499"/>
      <c r="T177" s="518"/>
      <c r="U177" s="499"/>
      <c r="V177" s="502"/>
      <c r="W177" s="519"/>
      <c r="X177" s="502"/>
      <c r="Y177" s="499"/>
      <c r="Z177" s="518"/>
      <c r="AA177" s="499"/>
      <c r="AB177" s="505"/>
      <c r="AC177" s="520"/>
      <c r="AD177" s="505"/>
      <c r="AE177" s="508"/>
      <c r="AF177" s="521"/>
      <c r="AG177" s="508"/>
      <c r="AH177" s="511"/>
      <c r="AI177" s="522"/>
      <c r="AJ177" s="511"/>
      <c r="AK177" s="514">
        <f t="shared" si="26"/>
        <v>0</v>
      </c>
      <c r="AL177" s="523"/>
      <c r="AM177" s="525"/>
      <c r="AN177" s="329" t="str">
        <f t="shared" si="27"/>
        <v/>
      </c>
      <c r="AO177" s="691"/>
    </row>
    <row r="178" spans="1:41" s="516" customFormat="1" ht="15.75">
      <c r="A178" s="516">
        <f t="shared" si="24"/>
        <v>0</v>
      </c>
      <c r="B178" s="610" t="str">
        <f>IF(AND($B$7=AN178,$B$5=J178),MAX($B$8:B177)+1,"")</f>
        <v/>
      </c>
      <c r="C178" s="493" t="str">
        <f t="shared" si="28"/>
        <v/>
      </c>
      <c r="D178" s="494" t="str">
        <f t="shared" si="20"/>
        <v/>
      </c>
      <c r="E178" s="493" t="str">
        <f t="shared" si="21"/>
        <v/>
      </c>
      <c r="F178" s="495" t="str">
        <f t="shared" si="22"/>
        <v/>
      </c>
      <c r="G178" s="496" t="str">
        <f>IF($G$6=N178,MAX($G$8:G177)+1,"")</f>
        <v/>
      </c>
      <c r="H178" s="496" t="str">
        <f>IF($H$6=J178,MAX($H$8:H177)+1,"")</f>
        <v/>
      </c>
      <c r="I178" s="172" t="str">
        <f>IF(L178&lt;&gt;"",COUNTA($L$9:L178),"")</f>
        <v/>
      </c>
      <c r="J178" s="517"/>
      <c r="K178" s="172"/>
      <c r="L178" s="136"/>
      <c r="M178" s="136"/>
      <c r="N178" s="225"/>
      <c r="O178" s="328" t="str">
        <f t="shared" si="23"/>
        <v>-</v>
      </c>
      <c r="P178" s="528"/>
      <c r="Q178" s="482"/>
      <c r="R178" s="528"/>
      <c r="S178" s="499"/>
      <c r="T178" s="518"/>
      <c r="U178" s="499"/>
      <c r="V178" s="502"/>
      <c r="W178" s="519"/>
      <c r="X178" s="502"/>
      <c r="Y178" s="499"/>
      <c r="Z178" s="518"/>
      <c r="AA178" s="499"/>
      <c r="AB178" s="505"/>
      <c r="AC178" s="520"/>
      <c r="AD178" s="505"/>
      <c r="AE178" s="508"/>
      <c r="AF178" s="521"/>
      <c r="AG178" s="508"/>
      <c r="AH178" s="511"/>
      <c r="AI178" s="522"/>
      <c r="AJ178" s="511"/>
      <c r="AK178" s="514">
        <f t="shared" si="26"/>
        <v>0</v>
      </c>
      <c r="AL178" s="523"/>
      <c r="AM178" s="525"/>
      <c r="AN178" s="329" t="str">
        <f t="shared" si="27"/>
        <v/>
      </c>
      <c r="AO178" s="691"/>
    </row>
    <row r="179" spans="1:41" s="516" customFormat="1" ht="15.75">
      <c r="A179" s="516">
        <f t="shared" si="24"/>
        <v>0</v>
      </c>
      <c r="B179" s="610" t="str">
        <f>IF(AND($B$7=AN179,$B$5=J179),MAX($B$8:B178)+1,"")</f>
        <v/>
      </c>
      <c r="C179" s="493" t="str">
        <f t="shared" si="28"/>
        <v/>
      </c>
      <c r="D179" s="494" t="str">
        <f t="shared" si="20"/>
        <v/>
      </c>
      <c r="E179" s="493" t="str">
        <f t="shared" si="21"/>
        <v/>
      </c>
      <c r="F179" s="495" t="str">
        <f t="shared" si="22"/>
        <v/>
      </c>
      <c r="G179" s="496" t="str">
        <f>IF($G$6=N179,MAX($G$8:G178)+1,"")</f>
        <v/>
      </c>
      <c r="H179" s="496" t="str">
        <f>IF($H$6=J179,MAX($H$8:H178)+1,"")</f>
        <v/>
      </c>
      <c r="I179" s="172" t="str">
        <f>IF(L179&lt;&gt;"",COUNTA($L$9:L179),"")</f>
        <v/>
      </c>
      <c r="J179" s="517"/>
      <c r="K179" s="172"/>
      <c r="L179" s="136"/>
      <c r="M179" s="136"/>
      <c r="N179" s="225"/>
      <c r="O179" s="328" t="str">
        <f t="shared" si="23"/>
        <v>-</v>
      </c>
      <c r="P179" s="528"/>
      <c r="Q179" s="482"/>
      <c r="R179" s="528"/>
      <c r="S179" s="499"/>
      <c r="T179" s="518"/>
      <c r="U179" s="499"/>
      <c r="V179" s="502"/>
      <c r="W179" s="519"/>
      <c r="X179" s="502"/>
      <c r="Y179" s="499"/>
      <c r="Z179" s="518"/>
      <c r="AA179" s="499"/>
      <c r="AB179" s="505"/>
      <c r="AC179" s="520"/>
      <c r="AD179" s="505"/>
      <c r="AE179" s="508"/>
      <c r="AF179" s="521"/>
      <c r="AG179" s="508"/>
      <c r="AH179" s="511"/>
      <c r="AI179" s="522"/>
      <c r="AJ179" s="511"/>
      <c r="AK179" s="514">
        <f t="shared" si="26"/>
        <v>0</v>
      </c>
      <c r="AL179" s="523"/>
      <c r="AM179" s="525"/>
      <c r="AN179" s="329" t="str">
        <f t="shared" si="27"/>
        <v/>
      </c>
      <c r="AO179" s="691"/>
    </row>
    <row r="180" spans="1:41" s="516" customFormat="1" ht="15.75">
      <c r="A180" s="516">
        <f t="shared" si="24"/>
        <v>0</v>
      </c>
      <c r="B180" s="610" t="str">
        <f>IF(AND($B$7=AN180,$B$5=J180),MAX($B$8:B179)+1,"")</f>
        <v/>
      </c>
      <c r="C180" s="493" t="str">
        <f t="shared" si="28"/>
        <v/>
      </c>
      <c r="D180" s="494" t="str">
        <f t="shared" si="20"/>
        <v/>
      </c>
      <c r="E180" s="493" t="str">
        <f t="shared" si="21"/>
        <v/>
      </c>
      <c r="F180" s="495" t="str">
        <f t="shared" si="22"/>
        <v/>
      </c>
      <c r="G180" s="496" t="str">
        <f>IF($G$6=N180,MAX($G$8:G179)+1,"")</f>
        <v/>
      </c>
      <c r="H180" s="496" t="str">
        <f>IF($H$6=J180,MAX($H$8:H179)+1,"")</f>
        <v/>
      </c>
      <c r="I180" s="172" t="str">
        <f>IF(L180&lt;&gt;"",COUNTA($L$9:L180),"")</f>
        <v/>
      </c>
      <c r="J180" s="517"/>
      <c r="K180" s="172"/>
      <c r="L180" s="136"/>
      <c r="M180" s="136"/>
      <c r="N180" s="225"/>
      <c r="O180" s="328" t="str">
        <f t="shared" si="23"/>
        <v>-</v>
      </c>
      <c r="P180" s="528"/>
      <c r="Q180" s="482"/>
      <c r="R180" s="528"/>
      <c r="S180" s="499"/>
      <c r="T180" s="518"/>
      <c r="U180" s="499"/>
      <c r="V180" s="502"/>
      <c r="W180" s="519"/>
      <c r="X180" s="502"/>
      <c r="Y180" s="499"/>
      <c r="Z180" s="518"/>
      <c r="AA180" s="499"/>
      <c r="AB180" s="505"/>
      <c r="AC180" s="520"/>
      <c r="AD180" s="505"/>
      <c r="AE180" s="508"/>
      <c r="AF180" s="521"/>
      <c r="AG180" s="508"/>
      <c r="AH180" s="511"/>
      <c r="AI180" s="522"/>
      <c r="AJ180" s="511"/>
      <c r="AK180" s="514">
        <f t="shared" si="26"/>
        <v>0</v>
      </c>
      <c r="AL180" s="523"/>
      <c r="AM180" s="525"/>
      <c r="AN180" s="329" t="str">
        <f t="shared" si="27"/>
        <v/>
      </c>
      <c r="AO180" s="691"/>
    </row>
    <row r="181" spans="1:41" s="516" customFormat="1" ht="15.75">
      <c r="A181" s="516">
        <f t="shared" si="24"/>
        <v>0</v>
      </c>
      <c r="B181" s="610" t="str">
        <f>IF(AND($B$7=AN181,$B$5=J181),MAX($B$8:B180)+1,"")</f>
        <v/>
      </c>
      <c r="C181" s="493" t="str">
        <f t="shared" si="28"/>
        <v/>
      </c>
      <c r="D181" s="494" t="str">
        <f t="shared" si="20"/>
        <v/>
      </c>
      <c r="E181" s="493" t="str">
        <f t="shared" si="21"/>
        <v/>
      </c>
      <c r="F181" s="495" t="str">
        <f t="shared" si="22"/>
        <v/>
      </c>
      <c r="G181" s="496" t="str">
        <f>IF($G$6=N181,MAX($G$8:G180)+1,"")</f>
        <v/>
      </c>
      <c r="H181" s="496" t="str">
        <f>IF($H$6=J181,MAX($H$8:H180)+1,"")</f>
        <v/>
      </c>
      <c r="I181" s="172" t="str">
        <f>IF(L181&lt;&gt;"",COUNTA($L$9:L181),"")</f>
        <v/>
      </c>
      <c r="J181" s="517"/>
      <c r="K181" s="172"/>
      <c r="L181" s="136"/>
      <c r="M181" s="136"/>
      <c r="N181" s="225"/>
      <c r="O181" s="328" t="str">
        <f t="shared" si="23"/>
        <v>-</v>
      </c>
      <c r="P181" s="528"/>
      <c r="Q181" s="482"/>
      <c r="R181" s="528"/>
      <c r="S181" s="499"/>
      <c r="T181" s="518"/>
      <c r="U181" s="499"/>
      <c r="V181" s="502"/>
      <c r="W181" s="519"/>
      <c r="X181" s="502"/>
      <c r="Y181" s="499"/>
      <c r="Z181" s="518"/>
      <c r="AA181" s="499"/>
      <c r="AB181" s="505"/>
      <c r="AC181" s="520"/>
      <c r="AD181" s="505"/>
      <c r="AE181" s="508"/>
      <c r="AF181" s="521"/>
      <c r="AG181" s="508"/>
      <c r="AH181" s="511"/>
      <c r="AI181" s="522"/>
      <c r="AJ181" s="511"/>
      <c r="AK181" s="514">
        <f t="shared" si="26"/>
        <v>0</v>
      </c>
      <c r="AL181" s="523"/>
      <c r="AM181" s="525"/>
      <c r="AN181" s="329" t="str">
        <f t="shared" si="27"/>
        <v/>
      </c>
      <c r="AO181" s="691"/>
    </row>
    <row r="182" spans="1:41" s="516" customFormat="1" ht="15.75">
      <c r="A182" s="516">
        <f t="shared" si="24"/>
        <v>0</v>
      </c>
      <c r="B182" s="610" t="str">
        <f>IF(AND($B$7=AN182,$B$5=J182),MAX($B$8:B181)+1,"")</f>
        <v/>
      </c>
      <c r="C182" s="493" t="str">
        <f t="shared" si="28"/>
        <v/>
      </c>
      <c r="D182" s="494" t="str">
        <f t="shared" si="20"/>
        <v/>
      </c>
      <c r="E182" s="493" t="str">
        <f t="shared" si="21"/>
        <v/>
      </c>
      <c r="F182" s="495" t="str">
        <f t="shared" si="22"/>
        <v/>
      </c>
      <c r="G182" s="496" t="str">
        <f>IF($G$6=N182,MAX($G$8:G181)+1,"")</f>
        <v/>
      </c>
      <c r="H182" s="496" t="str">
        <f>IF($H$6=J182,MAX($H$8:H181)+1,"")</f>
        <v/>
      </c>
      <c r="I182" s="172" t="str">
        <f>IF(L182&lt;&gt;"",COUNTA($L$9:L182),"")</f>
        <v/>
      </c>
      <c r="J182" s="517"/>
      <c r="K182" s="172"/>
      <c r="L182" s="136"/>
      <c r="M182" s="136"/>
      <c r="N182" s="225"/>
      <c r="O182" s="328" t="str">
        <f t="shared" si="23"/>
        <v>-</v>
      </c>
      <c r="P182" s="528"/>
      <c r="Q182" s="482"/>
      <c r="R182" s="528"/>
      <c r="S182" s="499"/>
      <c r="T182" s="518"/>
      <c r="U182" s="499"/>
      <c r="V182" s="502"/>
      <c r="W182" s="519"/>
      <c r="X182" s="502"/>
      <c r="Y182" s="499"/>
      <c r="Z182" s="518"/>
      <c r="AA182" s="499"/>
      <c r="AB182" s="505"/>
      <c r="AC182" s="520"/>
      <c r="AD182" s="505"/>
      <c r="AE182" s="508"/>
      <c r="AF182" s="521"/>
      <c r="AG182" s="508"/>
      <c r="AH182" s="511"/>
      <c r="AI182" s="522"/>
      <c r="AJ182" s="511"/>
      <c r="AK182" s="514">
        <f t="shared" si="26"/>
        <v>0</v>
      </c>
      <c r="AL182" s="523"/>
      <c r="AM182" s="525"/>
      <c r="AN182" s="329" t="str">
        <f t="shared" si="27"/>
        <v/>
      </c>
      <c r="AO182" s="691"/>
    </row>
    <row r="183" spans="1:41" s="516" customFormat="1" ht="15.75">
      <c r="A183" s="516">
        <f t="shared" si="24"/>
        <v>0</v>
      </c>
      <c r="B183" s="610" t="str">
        <f>IF(AND($B$7=AN183,$B$5=J183),MAX($B$8:B182)+1,"")</f>
        <v/>
      </c>
      <c r="C183" s="493" t="str">
        <f t="shared" si="28"/>
        <v/>
      </c>
      <c r="D183" s="494" t="str">
        <f t="shared" si="20"/>
        <v/>
      </c>
      <c r="E183" s="493" t="str">
        <f t="shared" si="21"/>
        <v/>
      </c>
      <c r="F183" s="495" t="str">
        <f t="shared" si="22"/>
        <v/>
      </c>
      <c r="G183" s="496" t="str">
        <f>IF($G$6=N183,MAX($G$8:G182)+1,"")</f>
        <v/>
      </c>
      <c r="H183" s="496" t="str">
        <f>IF($H$6=J183,MAX($H$8:H182)+1,"")</f>
        <v/>
      </c>
      <c r="I183" s="172" t="str">
        <f>IF(L183&lt;&gt;"",COUNTA($L$9:L183),"")</f>
        <v/>
      </c>
      <c r="J183" s="517"/>
      <c r="K183" s="172"/>
      <c r="L183" s="136"/>
      <c r="M183" s="136"/>
      <c r="N183" s="225"/>
      <c r="O183" s="328" t="str">
        <f t="shared" si="23"/>
        <v>-</v>
      </c>
      <c r="P183" s="528"/>
      <c r="Q183" s="482"/>
      <c r="R183" s="528"/>
      <c r="S183" s="499"/>
      <c r="T183" s="518"/>
      <c r="U183" s="499"/>
      <c r="V183" s="502"/>
      <c r="W183" s="519"/>
      <c r="X183" s="502"/>
      <c r="Y183" s="499"/>
      <c r="Z183" s="518"/>
      <c r="AA183" s="499"/>
      <c r="AB183" s="505"/>
      <c r="AC183" s="520"/>
      <c r="AD183" s="505"/>
      <c r="AE183" s="508"/>
      <c r="AF183" s="521"/>
      <c r="AG183" s="508"/>
      <c r="AH183" s="511"/>
      <c r="AI183" s="522"/>
      <c r="AJ183" s="511"/>
      <c r="AK183" s="514">
        <f t="shared" si="26"/>
        <v>0</v>
      </c>
      <c r="AL183" s="523"/>
      <c r="AM183" s="525"/>
      <c r="AN183" s="329" t="str">
        <f t="shared" si="27"/>
        <v/>
      </c>
      <c r="AO183" s="691"/>
    </row>
    <row r="184" spans="1:41" s="516" customFormat="1" ht="15.75">
      <c r="A184" s="516">
        <f t="shared" si="24"/>
        <v>0</v>
      </c>
      <c r="B184" s="610" t="str">
        <f>IF(AND($B$7=AN184,$B$5=J184),MAX($B$8:B183)+1,"")</f>
        <v/>
      </c>
      <c r="C184" s="493" t="str">
        <f t="shared" si="28"/>
        <v/>
      </c>
      <c r="D184" s="494" t="str">
        <f t="shared" si="20"/>
        <v/>
      </c>
      <c r="E184" s="493" t="str">
        <f t="shared" si="21"/>
        <v/>
      </c>
      <c r="F184" s="495" t="str">
        <f t="shared" si="22"/>
        <v/>
      </c>
      <c r="G184" s="496" t="str">
        <f>IF($G$6=N184,MAX($G$8:G183)+1,"")</f>
        <v/>
      </c>
      <c r="H184" s="496" t="str">
        <f>IF($H$6=J184,MAX($H$8:H183)+1,"")</f>
        <v/>
      </c>
      <c r="I184" s="172" t="str">
        <f>IF(L184&lt;&gt;"",COUNTA($L$9:L184),"")</f>
        <v/>
      </c>
      <c r="J184" s="517"/>
      <c r="K184" s="172"/>
      <c r="L184" s="136"/>
      <c r="M184" s="136"/>
      <c r="N184" s="225"/>
      <c r="O184" s="328" t="str">
        <f t="shared" si="23"/>
        <v>-</v>
      </c>
      <c r="P184" s="528"/>
      <c r="Q184" s="482"/>
      <c r="R184" s="528"/>
      <c r="S184" s="499"/>
      <c r="T184" s="518"/>
      <c r="U184" s="499"/>
      <c r="V184" s="502"/>
      <c r="W184" s="519"/>
      <c r="X184" s="502"/>
      <c r="Y184" s="499"/>
      <c r="Z184" s="518"/>
      <c r="AA184" s="499"/>
      <c r="AB184" s="505"/>
      <c r="AC184" s="520"/>
      <c r="AD184" s="505"/>
      <c r="AE184" s="508"/>
      <c r="AF184" s="521"/>
      <c r="AG184" s="508"/>
      <c r="AH184" s="511"/>
      <c r="AI184" s="522"/>
      <c r="AJ184" s="511"/>
      <c r="AK184" s="514">
        <f t="shared" si="26"/>
        <v>0</v>
      </c>
      <c r="AL184" s="523"/>
      <c r="AM184" s="525"/>
      <c r="AN184" s="329" t="str">
        <f t="shared" si="27"/>
        <v/>
      </c>
      <c r="AO184" s="691"/>
    </row>
    <row r="185" spans="1:41" s="516" customFormat="1" ht="15.75">
      <c r="A185" s="516">
        <f t="shared" si="24"/>
        <v>0</v>
      </c>
      <c r="B185" s="610" t="str">
        <f>IF(AND($B$7=AN185,$B$5=J185),MAX($B$8:B184)+1,"")</f>
        <v/>
      </c>
      <c r="C185" s="493" t="str">
        <f t="shared" si="28"/>
        <v/>
      </c>
      <c r="D185" s="494" t="str">
        <f t="shared" si="20"/>
        <v/>
      </c>
      <c r="E185" s="493" t="str">
        <f t="shared" si="21"/>
        <v/>
      </c>
      <c r="F185" s="495" t="str">
        <f t="shared" si="22"/>
        <v/>
      </c>
      <c r="G185" s="496" t="str">
        <f>IF($G$6=N185,MAX($G$8:G184)+1,"")</f>
        <v/>
      </c>
      <c r="H185" s="496" t="str">
        <f>IF($H$6=J185,MAX($H$8:H184)+1,"")</f>
        <v/>
      </c>
      <c r="I185" s="172" t="str">
        <f>IF(L185&lt;&gt;"",COUNTA($L$9:L185),"")</f>
        <v/>
      </c>
      <c r="J185" s="517"/>
      <c r="K185" s="172"/>
      <c r="L185" s="136"/>
      <c r="M185" s="136"/>
      <c r="N185" s="225"/>
      <c r="O185" s="328" t="str">
        <f t="shared" si="23"/>
        <v>-</v>
      </c>
      <c r="P185" s="528"/>
      <c r="Q185" s="482"/>
      <c r="R185" s="528"/>
      <c r="S185" s="499"/>
      <c r="T185" s="518"/>
      <c r="U185" s="499"/>
      <c r="V185" s="502"/>
      <c r="W185" s="519"/>
      <c r="X185" s="502"/>
      <c r="Y185" s="499"/>
      <c r="Z185" s="518"/>
      <c r="AA185" s="499"/>
      <c r="AB185" s="505"/>
      <c r="AC185" s="520"/>
      <c r="AD185" s="505"/>
      <c r="AE185" s="508"/>
      <c r="AF185" s="521"/>
      <c r="AG185" s="508"/>
      <c r="AH185" s="511"/>
      <c r="AI185" s="522"/>
      <c r="AJ185" s="511"/>
      <c r="AK185" s="514">
        <f t="shared" si="26"/>
        <v>0</v>
      </c>
      <c r="AL185" s="523"/>
      <c r="AM185" s="525"/>
      <c r="AN185" s="329" t="str">
        <f t="shared" si="27"/>
        <v/>
      </c>
      <c r="AO185" s="691"/>
    </row>
    <row r="186" spans="1:41" s="529" customFormat="1" ht="15.75">
      <c r="A186" s="516">
        <f t="shared" si="24"/>
        <v>0</v>
      </c>
      <c r="B186" s="610" t="str">
        <f>IF(AND($B$7=AN186,$B$5=J186),MAX($B$8:B185)+1,"")</f>
        <v/>
      </c>
      <c r="C186" s="493" t="str">
        <f t="shared" si="28"/>
        <v/>
      </c>
      <c r="D186" s="494" t="str">
        <f t="shared" si="20"/>
        <v/>
      </c>
      <c r="E186" s="493" t="str">
        <f t="shared" si="21"/>
        <v/>
      </c>
      <c r="F186" s="495" t="str">
        <f t="shared" si="22"/>
        <v/>
      </c>
      <c r="G186" s="496" t="str">
        <f>IF($G$6=N186,MAX($G$8:G185)+1,"")</f>
        <v/>
      </c>
      <c r="H186" s="496" t="str">
        <f>IF($H$6=J186,MAX($H$8:H185)+1,"")</f>
        <v/>
      </c>
      <c r="I186" s="172" t="str">
        <f>IF(L186&lt;&gt;"",COUNTA($L$9:L186),"")</f>
        <v/>
      </c>
      <c r="J186" s="517"/>
      <c r="K186" s="172"/>
      <c r="L186" s="136"/>
      <c r="M186" s="136"/>
      <c r="N186" s="225"/>
      <c r="O186" s="328" t="str">
        <f t="shared" si="23"/>
        <v>-</v>
      </c>
      <c r="P186" s="528"/>
      <c r="Q186" s="482"/>
      <c r="R186" s="528"/>
      <c r="S186" s="499"/>
      <c r="T186" s="518"/>
      <c r="U186" s="499"/>
      <c r="V186" s="502"/>
      <c r="W186" s="519"/>
      <c r="X186" s="502"/>
      <c r="Y186" s="499"/>
      <c r="Z186" s="518"/>
      <c r="AA186" s="499"/>
      <c r="AB186" s="505"/>
      <c r="AC186" s="520"/>
      <c r="AD186" s="505"/>
      <c r="AE186" s="508"/>
      <c r="AF186" s="521"/>
      <c r="AG186" s="508"/>
      <c r="AH186" s="511"/>
      <c r="AI186" s="522"/>
      <c r="AJ186" s="511"/>
      <c r="AK186" s="514">
        <f t="shared" si="26"/>
        <v>0</v>
      </c>
      <c r="AL186" s="523"/>
      <c r="AM186" s="525"/>
      <c r="AN186" s="329" t="str">
        <f t="shared" si="27"/>
        <v/>
      </c>
      <c r="AO186" s="691"/>
    </row>
    <row r="187" spans="1:41" s="529" customFormat="1" ht="15.75">
      <c r="A187" s="516">
        <f t="shared" si="24"/>
        <v>0</v>
      </c>
      <c r="B187" s="610" t="str">
        <f>IF(AND($B$7=AN187,$B$5=J187),MAX($B$8:B186)+1,"")</f>
        <v/>
      </c>
      <c r="C187" s="493" t="str">
        <f t="shared" si="28"/>
        <v/>
      </c>
      <c r="D187" s="494" t="str">
        <f t="shared" si="20"/>
        <v/>
      </c>
      <c r="E187" s="493" t="str">
        <f t="shared" si="21"/>
        <v/>
      </c>
      <c r="F187" s="495" t="str">
        <f t="shared" si="22"/>
        <v/>
      </c>
      <c r="G187" s="496" t="str">
        <f>IF($G$6=N187,MAX($G$8:G186)+1,"")</f>
        <v/>
      </c>
      <c r="H187" s="496" t="str">
        <f>IF($H$6=J187,MAX($H$8:H186)+1,"")</f>
        <v/>
      </c>
      <c r="I187" s="172" t="str">
        <f>IF(L187&lt;&gt;"",COUNTA($L$9:L187),"")</f>
        <v/>
      </c>
      <c r="J187" s="517"/>
      <c r="K187" s="172"/>
      <c r="L187" s="136"/>
      <c r="M187" s="136"/>
      <c r="N187" s="225"/>
      <c r="O187" s="328" t="str">
        <f t="shared" si="23"/>
        <v>-</v>
      </c>
      <c r="P187" s="528"/>
      <c r="Q187" s="482"/>
      <c r="R187" s="528"/>
      <c r="S187" s="499"/>
      <c r="T187" s="518"/>
      <c r="U187" s="499"/>
      <c r="V187" s="502"/>
      <c r="W187" s="519"/>
      <c r="X187" s="502"/>
      <c r="Y187" s="499"/>
      <c r="Z187" s="518"/>
      <c r="AA187" s="499"/>
      <c r="AB187" s="505"/>
      <c r="AC187" s="520"/>
      <c r="AD187" s="505"/>
      <c r="AE187" s="508"/>
      <c r="AF187" s="521"/>
      <c r="AG187" s="508"/>
      <c r="AH187" s="511"/>
      <c r="AI187" s="522"/>
      <c r="AJ187" s="511"/>
      <c r="AK187" s="514">
        <f t="shared" si="26"/>
        <v>0</v>
      </c>
      <c r="AL187" s="523"/>
      <c r="AM187" s="525"/>
      <c r="AN187" s="329" t="str">
        <f t="shared" si="27"/>
        <v/>
      </c>
      <c r="AO187" s="691"/>
    </row>
    <row r="188" spans="1:41" s="529" customFormat="1" ht="15.75">
      <c r="A188" s="516">
        <f t="shared" si="24"/>
        <v>0</v>
      </c>
      <c r="B188" s="610" t="str">
        <f>IF(AND($B$7=AN188,$B$5=J188),MAX($B$8:B187)+1,"")</f>
        <v/>
      </c>
      <c r="C188" s="493" t="str">
        <f t="shared" si="28"/>
        <v/>
      </c>
      <c r="D188" s="494" t="str">
        <f t="shared" si="20"/>
        <v/>
      </c>
      <c r="E188" s="493" t="str">
        <f t="shared" si="21"/>
        <v/>
      </c>
      <c r="F188" s="495" t="str">
        <f t="shared" si="22"/>
        <v/>
      </c>
      <c r="G188" s="496" t="str">
        <f>IF($G$6=N188,MAX($G$8:G187)+1,"")</f>
        <v/>
      </c>
      <c r="H188" s="496" t="str">
        <f>IF($H$6=J188,MAX($H$8:H187)+1,"")</f>
        <v/>
      </c>
      <c r="I188" s="172" t="str">
        <f>IF(L188&lt;&gt;"",COUNTA($L$9:L188),"")</f>
        <v/>
      </c>
      <c r="J188" s="517"/>
      <c r="K188" s="172"/>
      <c r="L188" s="136"/>
      <c r="M188" s="136"/>
      <c r="N188" s="225"/>
      <c r="O188" s="328" t="str">
        <f t="shared" si="23"/>
        <v>-</v>
      </c>
      <c r="P188" s="528"/>
      <c r="Q188" s="482"/>
      <c r="R188" s="528"/>
      <c r="S188" s="499"/>
      <c r="T188" s="518"/>
      <c r="U188" s="499"/>
      <c r="V188" s="502"/>
      <c r="W188" s="519"/>
      <c r="X188" s="502"/>
      <c r="Y188" s="499"/>
      <c r="Z188" s="518"/>
      <c r="AA188" s="499"/>
      <c r="AB188" s="505"/>
      <c r="AC188" s="520"/>
      <c r="AD188" s="505"/>
      <c r="AE188" s="508"/>
      <c r="AF188" s="521"/>
      <c r="AG188" s="508"/>
      <c r="AH188" s="511"/>
      <c r="AI188" s="522"/>
      <c r="AJ188" s="511"/>
      <c r="AK188" s="514">
        <f t="shared" si="26"/>
        <v>0</v>
      </c>
      <c r="AL188" s="523"/>
      <c r="AM188" s="525"/>
      <c r="AN188" s="329" t="str">
        <f t="shared" si="27"/>
        <v/>
      </c>
      <c r="AO188" s="691"/>
    </row>
    <row r="189" spans="1:41" s="529" customFormat="1" ht="15.75">
      <c r="A189" s="516">
        <f t="shared" si="24"/>
        <v>0</v>
      </c>
      <c r="B189" s="610" t="str">
        <f>IF(AND($B$7=AN189,$B$5=J189),MAX($B$8:B188)+1,"")</f>
        <v/>
      </c>
      <c r="C189" s="493" t="str">
        <f t="shared" si="28"/>
        <v/>
      </c>
      <c r="D189" s="494" t="str">
        <f t="shared" si="20"/>
        <v/>
      </c>
      <c r="E189" s="493" t="str">
        <f t="shared" si="21"/>
        <v/>
      </c>
      <c r="F189" s="495" t="str">
        <f t="shared" si="22"/>
        <v/>
      </c>
      <c r="G189" s="496" t="str">
        <f>IF($G$6=N189,MAX($G$8:G188)+1,"")</f>
        <v/>
      </c>
      <c r="H189" s="496" t="str">
        <f>IF($H$6=J189,MAX($H$8:H188)+1,"")</f>
        <v/>
      </c>
      <c r="I189" s="172" t="str">
        <f>IF(L189&lt;&gt;"",COUNTA($L$9:L189),"")</f>
        <v/>
      </c>
      <c r="J189" s="517"/>
      <c r="K189" s="172"/>
      <c r="L189" s="136"/>
      <c r="M189" s="136"/>
      <c r="N189" s="225"/>
      <c r="O189" s="328" t="str">
        <f t="shared" si="23"/>
        <v>-</v>
      </c>
      <c r="P189" s="528"/>
      <c r="Q189" s="482"/>
      <c r="R189" s="528"/>
      <c r="S189" s="499"/>
      <c r="T189" s="518"/>
      <c r="U189" s="499"/>
      <c r="V189" s="502"/>
      <c r="W189" s="519"/>
      <c r="X189" s="502"/>
      <c r="Y189" s="499"/>
      <c r="Z189" s="518"/>
      <c r="AA189" s="499"/>
      <c r="AB189" s="505"/>
      <c r="AC189" s="520"/>
      <c r="AD189" s="505"/>
      <c r="AE189" s="508"/>
      <c r="AF189" s="521"/>
      <c r="AG189" s="508"/>
      <c r="AH189" s="511"/>
      <c r="AI189" s="522"/>
      <c r="AJ189" s="511"/>
      <c r="AK189" s="514">
        <f t="shared" si="26"/>
        <v>0</v>
      </c>
      <c r="AL189" s="523"/>
      <c r="AM189" s="525"/>
      <c r="AN189" s="329" t="str">
        <f t="shared" si="27"/>
        <v/>
      </c>
      <c r="AO189" s="691"/>
    </row>
    <row r="190" spans="1:41" s="529" customFormat="1" ht="15.75">
      <c r="A190" s="516">
        <f t="shared" si="24"/>
        <v>0</v>
      </c>
      <c r="B190" s="610" t="str">
        <f>IF(AND($B$7=AN190,$B$5=J190),MAX($B$8:B189)+1,"")</f>
        <v/>
      </c>
      <c r="C190" s="493" t="str">
        <f t="shared" si="28"/>
        <v/>
      </c>
      <c r="D190" s="494" t="str">
        <f t="shared" si="20"/>
        <v/>
      </c>
      <c r="E190" s="493" t="str">
        <f t="shared" si="21"/>
        <v/>
      </c>
      <c r="F190" s="495" t="str">
        <f t="shared" si="22"/>
        <v/>
      </c>
      <c r="G190" s="496" t="str">
        <f>IF($G$6=N190,MAX($G$8:G189)+1,"")</f>
        <v/>
      </c>
      <c r="H190" s="496" t="str">
        <f>IF($H$6=J190,MAX($H$8:H189)+1,"")</f>
        <v/>
      </c>
      <c r="I190" s="172" t="str">
        <f>IF(L190&lt;&gt;"",COUNTA($L$9:L190),"")</f>
        <v/>
      </c>
      <c r="J190" s="517"/>
      <c r="K190" s="172"/>
      <c r="L190" s="136"/>
      <c r="M190" s="136"/>
      <c r="N190" s="225"/>
      <c r="O190" s="328" t="str">
        <f t="shared" si="23"/>
        <v>-</v>
      </c>
      <c r="P190" s="528"/>
      <c r="Q190" s="482"/>
      <c r="R190" s="528"/>
      <c r="S190" s="499"/>
      <c r="T190" s="518"/>
      <c r="U190" s="499"/>
      <c r="V190" s="502"/>
      <c r="W190" s="519"/>
      <c r="X190" s="502"/>
      <c r="Y190" s="499"/>
      <c r="Z190" s="518"/>
      <c r="AA190" s="499"/>
      <c r="AB190" s="505"/>
      <c r="AC190" s="520"/>
      <c r="AD190" s="505"/>
      <c r="AE190" s="508"/>
      <c r="AF190" s="521"/>
      <c r="AG190" s="508"/>
      <c r="AH190" s="511"/>
      <c r="AI190" s="522"/>
      <c r="AJ190" s="511"/>
      <c r="AK190" s="514">
        <f t="shared" si="26"/>
        <v>0</v>
      </c>
      <c r="AL190" s="523"/>
      <c r="AM190" s="525"/>
      <c r="AN190" s="329" t="str">
        <f t="shared" si="27"/>
        <v/>
      </c>
      <c r="AO190" s="691"/>
    </row>
    <row r="191" spans="1:41" s="529" customFormat="1" ht="15.75">
      <c r="A191" s="516">
        <f t="shared" si="24"/>
        <v>0</v>
      </c>
      <c r="B191" s="610" t="str">
        <f>IF(AND($B$7=AN191,$B$5=J191),MAX($B$8:B190)+1,"")</f>
        <v/>
      </c>
      <c r="C191" s="493" t="str">
        <f t="shared" si="28"/>
        <v/>
      </c>
      <c r="D191" s="494" t="str">
        <f t="shared" si="20"/>
        <v/>
      </c>
      <c r="E191" s="493" t="str">
        <f t="shared" si="21"/>
        <v/>
      </c>
      <c r="F191" s="495" t="str">
        <f t="shared" si="22"/>
        <v/>
      </c>
      <c r="G191" s="496" t="str">
        <f>IF($G$6=N191,MAX($G$8:G190)+1,"")</f>
        <v/>
      </c>
      <c r="H191" s="496" t="str">
        <f>IF($H$6=J191,MAX($H$8:H190)+1,"")</f>
        <v/>
      </c>
      <c r="I191" s="172" t="str">
        <f>IF(L191&lt;&gt;"",COUNTA($L$9:L191),"")</f>
        <v/>
      </c>
      <c r="J191" s="517"/>
      <c r="K191" s="172"/>
      <c r="L191" s="136"/>
      <c r="M191" s="136"/>
      <c r="N191" s="225"/>
      <c r="O191" s="328" t="str">
        <f t="shared" si="23"/>
        <v>-</v>
      </c>
      <c r="P191" s="528"/>
      <c r="Q191" s="482"/>
      <c r="R191" s="528"/>
      <c r="S191" s="499"/>
      <c r="T191" s="518"/>
      <c r="U191" s="499"/>
      <c r="V191" s="502"/>
      <c r="W191" s="519"/>
      <c r="X191" s="502"/>
      <c r="Y191" s="499"/>
      <c r="Z191" s="518"/>
      <c r="AA191" s="499"/>
      <c r="AB191" s="505"/>
      <c r="AC191" s="520"/>
      <c r="AD191" s="505"/>
      <c r="AE191" s="508"/>
      <c r="AF191" s="521"/>
      <c r="AG191" s="508"/>
      <c r="AH191" s="511"/>
      <c r="AI191" s="522"/>
      <c r="AJ191" s="511"/>
      <c r="AK191" s="514">
        <f t="shared" si="26"/>
        <v>0</v>
      </c>
      <c r="AL191" s="523"/>
      <c r="AM191" s="525"/>
      <c r="AN191" s="329" t="str">
        <f t="shared" si="27"/>
        <v/>
      </c>
      <c r="AO191" s="691"/>
    </row>
    <row r="192" spans="1:41" s="529" customFormat="1" ht="15.75">
      <c r="A192" s="516">
        <f t="shared" si="24"/>
        <v>0</v>
      </c>
      <c r="B192" s="610" t="str">
        <f>IF(AND($B$7=AN192,$B$5=J192),MAX($B$8:B191)+1,"")</f>
        <v/>
      </c>
      <c r="C192" s="493" t="str">
        <f t="shared" si="28"/>
        <v/>
      </c>
      <c r="D192" s="494" t="str">
        <f t="shared" si="20"/>
        <v/>
      </c>
      <c r="E192" s="493" t="str">
        <f t="shared" si="21"/>
        <v/>
      </c>
      <c r="F192" s="495" t="str">
        <f t="shared" si="22"/>
        <v/>
      </c>
      <c r="G192" s="496" t="str">
        <f>IF($G$6=N192,MAX($G$8:G191)+1,"")</f>
        <v/>
      </c>
      <c r="H192" s="496" t="str">
        <f>IF($H$6=J192,MAX($H$8:H191)+1,"")</f>
        <v/>
      </c>
      <c r="I192" s="172" t="str">
        <f>IF(L192&lt;&gt;"",COUNTA($L$9:L192),"")</f>
        <v/>
      </c>
      <c r="J192" s="517"/>
      <c r="K192" s="172"/>
      <c r="L192" s="136"/>
      <c r="M192" s="136"/>
      <c r="N192" s="225"/>
      <c r="O192" s="328" t="str">
        <f t="shared" si="23"/>
        <v>-</v>
      </c>
      <c r="P192" s="528"/>
      <c r="Q192" s="482"/>
      <c r="R192" s="528"/>
      <c r="S192" s="499"/>
      <c r="T192" s="518"/>
      <c r="U192" s="499"/>
      <c r="V192" s="502"/>
      <c r="W192" s="519"/>
      <c r="X192" s="502"/>
      <c r="Y192" s="499"/>
      <c r="Z192" s="518"/>
      <c r="AA192" s="499"/>
      <c r="AB192" s="505"/>
      <c r="AC192" s="520"/>
      <c r="AD192" s="505"/>
      <c r="AE192" s="508"/>
      <c r="AF192" s="521"/>
      <c r="AG192" s="508"/>
      <c r="AH192" s="511"/>
      <c r="AI192" s="522"/>
      <c r="AJ192" s="511"/>
      <c r="AK192" s="514">
        <f t="shared" si="26"/>
        <v>0</v>
      </c>
      <c r="AL192" s="523"/>
      <c r="AM192" s="525"/>
      <c r="AN192" s="329" t="str">
        <f t="shared" si="27"/>
        <v/>
      </c>
      <c r="AO192" s="691"/>
    </row>
    <row r="193" spans="1:41" s="529" customFormat="1" ht="15.75">
      <c r="A193" s="516">
        <f t="shared" si="24"/>
        <v>0</v>
      </c>
      <c r="B193" s="610" t="str">
        <f>IF(AND($B$7=AN193,$B$5=J193),MAX($B$8:B192)+1,"")</f>
        <v/>
      </c>
      <c r="C193" s="493" t="str">
        <f t="shared" si="28"/>
        <v/>
      </c>
      <c r="D193" s="494" t="str">
        <f t="shared" si="20"/>
        <v/>
      </c>
      <c r="E193" s="493" t="str">
        <f t="shared" si="21"/>
        <v/>
      </c>
      <c r="F193" s="495" t="str">
        <f t="shared" si="22"/>
        <v/>
      </c>
      <c r="G193" s="496" t="str">
        <f>IF($G$6=N193,MAX($G$8:G192)+1,"")</f>
        <v/>
      </c>
      <c r="H193" s="496" t="str">
        <f>IF($H$6=J193,MAX($H$8:H192)+1,"")</f>
        <v/>
      </c>
      <c r="I193" s="172" t="str">
        <f>IF(L193&lt;&gt;"",COUNTA($L$9:L193),"")</f>
        <v/>
      </c>
      <c r="J193" s="517"/>
      <c r="K193" s="172"/>
      <c r="L193" s="136"/>
      <c r="M193" s="136"/>
      <c r="N193" s="225"/>
      <c r="O193" s="328" t="str">
        <f t="shared" si="23"/>
        <v>-</v>
      </c>
      <c r="P193" s="528"/>
      <c r="Q193" s="482"/>
      <c r="R193" s="528"/>
      <c r="S193" s="499"/>
      <c r="T193" s="518"/>
      <c r="U193" s="499"/>
      <c r="V193" s="502"/>
      <c r="W193" s="519"/>
      <c r="X193" s="502"/>
      <c r="Y193" s="499"/>
      <c r="Z193" s="518"/>
      <c r="AA193" s="499"/>
      <c r="AB193" s="505"/>
      <c r="AC193" s="520"/>
      <c r="AD193" s="505"/>
      <c r="AE193" s="508"/>
      <c r="AF193" s="521"/>
      <c r="AG193" s="508"/>
      <c r="AH193" s="511"/>
      <c r="AI193" s="522"/>
      <c r="AJ193" s="511"/>
      <c r="AK193" s="514">
        <f t="shared" si="26"/>
        <v>0</v>
      </c>
      <c r="AL193" s="523"/>
      <c r="AM193" s="525"/>
      <c r="AN193" s="329" t="str">
        <f t="shared" si="27"/>
        <v/>
      </c>
      <c r="AO193" s="691"/>
    </row>
    <row r="194" spans="1:41" s="529" customFormat="1" ht="15.75">
      <c r="A194" s="516">
        <f t="shared" si="24"/>
        <v>0</v>
      </c>
      <c r="B194" s="610" t="str">
        <f>IF(AND($B$7=AN194,$B$5=J194),MAX($B$8:B193)+1,"")</f>
        <v/>
      </c>
      <c r="C194" s="493" t="str">
        <f t="shared" si="28"/>
        <v/>
      </c>
      <c r="D194" s="494" t="str">
        <f t="shared" si="20"/>
        <v/>
      </c>
      <c r="E194" s="493" t="str">
        <f t="shared" si="21"/>
        <v/>
      </c>
      <c r="F194" s="495" t="str">
        <f t="shared" si="22"/>
        <v/>
      </c>
      <c r="G194" s="496" t="str">
        <f>IF($G$6=N194,MAX($G$8:G193)+1,"")</f>
        <v/>
      </c>
      <c r="H194" s="496" t="str">
        <f>IF($H$6=J194,MAX($H$8:H193)+1,"")</f>
        <v/>
      </c>
      <c r="I194" s="172" t="str">
        <f>IF(L194&lt;&gt;"",COUNTA($L$9:L194),"")</f>
        <v/>
      </c>
      <c r="J194" s="517"/>
      <c r="K194" s="172"/>
      <c r="L194" s="136"/>
      <c r="M194" s="136"/>
      <c r="N194" s="225"/>
      <c r="O194" s="328" t="str">
        <f t="shared" si="23"/>
        <v>-</v>
      </c>
      <c r="P194" s="528"/>
      <c r="Q194" s="482"/>
      <c r="R194" s="528"/>
      <c r="S194" s="499"/>
      <c r="T194" s="518"/>
      <c r="U194" s="499"/>
      <c r="V194" s="502"/>
      <c r="W194" s="519"/>
      <c r="X194" s="502"/>
      <c r="Y194" s="499"/>
      <c r="Z194" s="518"/>
      <c r="AA194" s="499"/>
      <c r="AB194" s="505"/>
      <c r="AC194" s="520"/>
      <c r="AD194" s="505"/>
      <c r="AE194" s="508"/>
      <c r="AF194" s="521"/>
      <c r="AG194" s="508"/>
      <c r="AH194" s="511"/>
      <c r="AI194" s="522"/>
      <c r="AJ194" s="511"/>
      <c r="AK194" s="514">
        <f t="shared" si="26"/>
        <v>0</v>
      </c>
      <c r="AL194" s="523"/>
      <c r="AM194" s="525"/>
      <c r="AN194" s="329" t="str">
        <f t="shared" si="27"/>
        <v/>
      </c>
      <c r="AO194" s="691"/>
    </row>
    <row r="195" spans="1:41" s="529" customFormat="1" ht="15.75">
      <c r="A195" s="516">
        <f t="shared" si="24"/>
        <v>0</v>
      </c>
      <c r="B195" s="610" t="str">
        <f>IF(AND($B$7=AN195,$B$5=J195),MAX($B$8:B194)+1,"")</f>
        <v/>
      </c>
      <c r="C195" s="493" t="str">
        <f t="shared" si="28"/>
        <v/>
      </c>
      <c r="D195" s="494" t="str">
        <f t="shared" si="20"/>
        <v/>
      </c>
      <c r="E195" s="493" t="str">
        <f t="shared" si="21"/>
        <v/>
      </c>
      <c r="F195" s="495" t="str">
        <f t="shared" si="22"/>
        <v/>
      </c>
      <c r="G195" s="496" t="str">
        <f>IF($G$6=N195,MAX($G$8:G194)+1,"")</f>
        <v/>
      </c>
      <c r="H195" s="496" t="str">
        <f>IF($H$6=J195,MAX($H$8:H194)+1,"")</f>
        <v/>
      </c>
      <c r="I195" s="172" t="str">
        <f>IF(L195&lt;&gt;"",COUNTA($L$9:L195),"")</f>
        <v/>
      </c>
      <c r="J195" s="517"/>
      <c r="K195" s="172"/>
      <c r="L195" s="136"/>
      <c r="M195" s="136"/>
      <c r="N195" s="225"/>
      <c r="O195" s="328" t="str">
        <f t="shared" si="23"/>
        <v>-</v>
      </c>
      <c r="P195" s="528"/>
      <c r="Q195" s="482"/>
      <c r="R195" s="528"/>
      <c r="S195" s="499"/>
      <c r="T195" s="518"/>
      <c r="U195" s="499"/>
      <c r="V195" s="502"/>
      <c r="W195" s="519"/>
      <c r="X195" s="502"/>
      <c r="Y195" s="499"/>
      <c r="Z195" s="518"/>
      <c r="AA195" s="499"/>
      <c r="AB195" s="505"/>
      <c r="AC195" s="520"/>
      <c r="AD195" s="505"/>
      <c r="AE195" s="508"/>
      <c r="AF195" s="521"/>
      <c r="AG195" s="508"/>
      <c r="AH195" s="511"/>
      <c r="AI195" s="522"/>
      <c r="AJ195" s="511"/>
      <c r="AK195" s="514">
        <f t="shared" si="26"/>
        <v>0</v>
      </c>
      <c r="AL195" s="523"/>
      <c r="AM195" s="525"/>
      <c r="AN195" s="329" t="str">
        <f t="shared" si="27"/>
        <v/>
      </c>
      <c r="AO195" s="691"/>
    </row>
    <row r="196" spans="1:41" s="529" customFormat="1" ht="15.75">
      <c r="A196" s="516">
        <f t="shared" si="24"/>
        <v>0</v>
      </c>
      <c r="B196" s="610" t="str">
        <f>IF(AND($B$7=AN196,$B$5=J196),MAX($B$8:B195)+1,"")</f>
        <v/>
      </c>
      <c r="C196" s="493" t="str">
        <f t="shared" si="28"/>
        <v/>
      </c>
      <c r="D196" s="494" t="str">
        <f t="shared" si="20"/>
        <v/>
      </c>
      <c r="E196" s="493" t="str">
        <f t="shared" si="21"/>
        <v/>
      </c>
      <c r="F196" s="495" t="str">
        <f t="shared" si="22"/>
        <v/>
      </c>
      <c r="G196" s="496" t="str">
        <f>IF($G$6=N196,MAX($G$8:G195)+1,"")</f>
        <v/>
      </c>
      <c r="H196" s="496" t="str">
        <f>IF($H$6=J196,MAX($H$8:H195)+1,"")</f>
        <v/>
      </c>
      <c r="I196" s="172" t="str">
        <f>IF(L196&lt;&gt;"",COUNTA($L$9:L196),"")</f>
        <v/>
      </c>
      <c r="J196" s="517"/>
      <c r="K196" s="172"/>
      <c r="L196" s="136"/>
      <c r="M196" s="136"/>
      <c r="N196" s="225"/>
      <c r="O196" s="328" t="str">
        <f t="shared" si="23"/>
        <v>-</v>
      </c>
      <c r="P196" s="528"/>
      <c r="Q196" s="482"/>
      <c r="R196" s="528"/>
      <c r="S196" s="499"/>
      <c r="T196" s="518"/>
      <c r="U196" s="499"/>
      <c r="V196" s="502"/>
      <c r="W196" s="519"/>
      <c r="X196" s="502"/>
      <c r="Y196" s="499"/>
      <c r="Z196" s="518"/>
      <c r="AA196" s="499"/>
      <c r="AB196" s="505"/>
      <c r="AC196" s="520"/>
      <c r="AD196" s="505"/>
      <c r="AE196" s="508"/>
      <c r="AF196" s="521"/>
      <c r="AG196" s="508"/>
      <c r="AH196" s="511"/>
      <c r="AI196" s="522"/>
      <c r="AJ196" s="511"/>
      <c r="AK196" s="514">
        <f t="shared" si="26"/>
        <v>0</v>
      </c>
      <c r="AL196" s="523"/>
      <c r="AM196" s="525"/>
      <c r="AN196" s="329" t="str">
        <f t="shared" si="27"/>
        <v/>
      </c>
      <c r="AO196" s="691"/>
    </row>
    <row r="197" spans="1:41" s="529" customFormat="1" ht="15.75">
      <c r="A197" s="516">
        <f t="shared" si="24"/>
        <v>0</v>
      </c>
      <c r="B197" s="610" t="str">
        <f>IF(AND($B$7=AN197,$B$5=J197),MAX($B$8:B196)+1,"")</f>
        <v/>
      </c>
      <c r="C197" s="493" t="str">
        <f t="shared" si="28"/>
        <v/>
      </c>
      <c r="D197" s="494" t="str">
        <f t="shared" si="20"/>
        <v/>
      </c>
      <c r="E197" s="493" t="str">
        <f t="shared" si="21"/>
        <v/>
      </c>
      <c r="F197" s="495" t="str">
        <f t="shared" si="22"/>
        <v/>
      </c>
      <c r="G197" s="496" t="str">
        <f>IF($G$6=N197,MAX($G$8:G196)+1,"")</f>
        <v/>
      </c>
      <c r="H197" s="496" t="str">
        <f>IF($H$6=J197,MAX($H$8:H196)+1,"")</f>
        <v/>
      </c>
      <c r="I197" s="172" t="str">
        <f>IF(L197&lt;&gt;"",COUNTA($L$9:L197),"")</f>
        <v/>
      </c>
      <c r="J197" s="517"/>
      <c r="K197" s="172"/>
      <c r="L197" s="136"/>
      <c r="M197" s="136"/>
      <c r="N197" s="225"/>
      <c r="O197" s="328" t="str">
        <f t="shared" si="23"/>
        <v>-</v>
      </c>
      <c r="P197" s="528"/>
      <c r="Q197" s="482"/>
      <c r="R197" s="528"/>
      <c r="S197" s="499"/>
      <c r="T197" s="518"/>
      <c r="U197" s="499"/>
      <c r="V197" s="502"/>
      <c r="W197" s="519"/>
      <c r="X197" s="502"/>
      <c r="Y197" s="499"/>
      <c r="Z197" s="518"/>
      <c r="AA197" s="499"/>
      <c r="AB197" s="505"/>
      <c r="AC197" s="520"/>
      <c r="AD197" s="505"/>
      <c r="AE197" s="508"/>
      <c r="AF197" s="521"/>
      <c r="AG197" s="508"/>
      <c r="AH197" s="511"/>
      <c r="AI197" s="522"/>
      <c r="AJ197" s="511"/>
      <c r="AK197" s="514">
        <f t="shared" si="26"/>
        <v>0</v>
      </c>
      <c r="AL197" s="523"/>
      <c r="AM197" s="525"/>
      <c r="AN197" s="329" t="str">
        <f t="shared" si="27"/>
        <v/>
      </c>
      <c r="AO197" s="691"/>
    </row>
    <row r="198" spans="1:41" s="529" customFormat="1" ht="15.75">
      <c r="A198" s="516">
        <f t="shared" si="24"/>
        <v>0</v>
      </c>
      <c r="B198" s="610" t="str">
        <f>IF(AND($B$7=AN198,$B$5=J198),MAX($B$8:B197)+1,"")</f>
        <v/>
      </c>
      <c r="C198" s="493" t="str">
        <f t="shared" si="28"/>
        <v/>
      </c>
      <c r="D198" s="494" t="str">
        <f t="shared" si="20"/>
        <v/>
      </c>
      <c r="E198" s="493" t="str">
        <f t="shared" si="21"/>
        <v/>
      </c>
      <c r="F198" s="495" t="str">
        <f t="shared" si="22"/>
        <v/>
      </c>
      <c r="G198" s="496" t="str">
        <f>IF($G$6=N198,MAX($G$8:G197)+1,"")</f>
        <v/>
      </c>
      <c r="H198" s="496" t="str">
        <f>IF($H$6=J198,MAX($H$8:H197)+1,"")</f>
        <v/>
      </c>
      <c r="I198" s="172" t="str">
        <f>IF(L198&lt;&gt;"",COUNTA($L$9:L198),"")</f>
        <v/>
      </c>
      <c r="J198" s="517"/>
      <c r="K198" s="172"/>
      <c r="L198" s="136"/>
      <c r="M198" s="136"/>
      <c r="N198" s="225"/>
      <c r="O198" s="328" t="str">
        <f t="shared" si="23"/>
        <v>-</v>
      </c>
      <c r="P198" s="528"/>
      <c r="Q198" s="482"/>
      <c r="R198" s="528"/>
      <c r="S198" s="499"/>
      <c r="T198" s="518"/>
      <c r="U198" s="499"/>
      <c r="V198" s="502"/>
      <c r="W198" s="519"/>
      <c r="X198" s="502"/>
      <c r="Y198" s="499"/>
      <c r="Z198" s="518"/>
      <c r="AA198" s="499"/>
      <c r="AB198" s="505"/>
      <c r="AC198" s="520"/>
      <c r="AD198" s="505"/>
      <c r="AE198" s="508"/>
      <c r="AF198" s="521"/>
      <c r="AG198" s="508"/>
      <c r="AH198" s="511"/>
      <c r="AI198" s="522"/>
      <c r="AJ198" s="511"/>
      <c r="AK198" s="514">
        <f t="shared" si="26"/>
        <v>0</v>
      </c>
      <c r="AL198" s="523"/>
      <c r="AM198" s="525"/>
      <c r="AN198" s="329" t="str">
        <f t="shared" si="27"/>
        <v/>
      </c>
      <c r="AO198" s="691"/>
    </row>
    <row r="199" spans="1:41" s="529" customFormat="1" ht="15.75">
      <c r="A199" s="516">
        <f t="shared" si="24"/>
        <v>0</v>
      </c>
      <c r="B199" s="610" t="str">
        <f>IF(AND($B$7=AN199,$B$5=J199),MAX($B$8:B198)+1,"")</f>
        <v/>
      </c>
      <c r="C199" s="493" t="str">
        <f t="shared" si="28"/>
        <v/>
      </c>
      <c r="D199" s="494" t="str">
        <f t="shared" si="20"/>
        <v/>
      </c>
      <c r="E199" s="493" t="str">
        <f t="shared" si="21"/>
        <v/>
      </c>
      <c r="F199" s="495" t="str">
        <f t="shared" si="22"/>
        <v/>
      </c>
      <c r="G199" s="496" t="str">
        <f>IF($G$6=N199,MAX($G$8:G198)+1,"")</f>
        <v/>
      </c>
      <c r="H199" s="496" t="str">
        <f>IF($H$6=J199,MAX($H$8:H198)+1,"")</f>
        <v/>
      </c>
      <c r="I199" s="172" t="str">
        <f>IF(L199&lt;&gt;"",COUNTA($L$9:L199),"")</f>
        <v/>
      </c>
      <c r="J199" s="517"/>
      <c r="K199" s="172"/>
      <c r="L199" s="136"/>
      <c r="M199" s="136"/>
      <c r="N199" s="225"/>
      <c r="O199" s="328" t="str">
        <f t="shared" si="23"/>
        <v>-</v>
      </c>
      <c r="P199" s="528"/>
      <c r="Q199" s="482"/>
      <c r="R199" s="528"/>
      <c r="S199" s="499"/>
      <c r="T199" s="518"/>
      <c r="U199" s="499"/>
      <c r="V199" s="502"/>
      <c r="W199" s="519"/>
      <c r="X199" s="502"/>
      <c r="Y199" s="499"/>
      <c r="Z199" s="518"/>
      <c r="AA199" s="499"/>
      <c r="AB199" s="505"/>
      <c r="AC199" s="520"/>
      <c r="AD199" s="505"/>
      <c r="AE199" s="508"/>
      <c r="AF199" s="521"/>
      <c r="AG199" s="508"/>
      <c r="AH199" s="511"/>
      <c r="AI199" s="522"/>
      <c r="AJ199" s="511"/>
      <c r="AK199" s="514">
        <f t="shared" si="26"/>
        <v>0</v>
      </c>
      <c r="AL199" s="523"/>
      <c r="AM199" s="525"/>
      <c r="AN199" s="329" t="str">
        <f t="shared" si="27"/>
        <v/>
      </c>
      <c r="AO199" s="691"/>
    </row>
    <row r="200" spans="1:41" s="529" customFormat="1" ht="15.75">
      <c r="A200" s="516">
        <f t="shared" si="24"/>
        <v>0</v>
      </c>
      <c r="B200" s="610" t="str">
        <f>IF(AND($B$7=AN200,$B$5=J200),MAX($B$8:B199)+1,"")</f>
        <v/>
      </c>
      <c r="C200" s="493" t="str">
        <f t="shared" si="28"/>
        <v/>
      </c>
      <c r="D200" s="494" t="str">
        <f t="shared" si="20"/>
        <v/>
      </c>
      <c r="E200" s="493" t="str">
        <f t="shared" si="21"/>
        <v/>
      </c>
      <c r="F200" s="495" t="str">
        <f t="shared" si="22"/>
        <v/>
      </c>
      <c r="G200" s="496" t="str">
        <f>IF($G$6=N200,MAX($G$8:G199)+1,"")</f>
        <v/>
      </c>
      <c r="H200" s="496" t="str">
        <f>IF($H$6=J200,MAX($H$8:H199)+1,"")</f>
        <v/>
      </c>
      <c r="I200" s="172" t="str">
        <f>IF(L200&lt;&gt;"",COUNTA($L$9:L200),"")</f>
        <v/>
      </c>
      <c r="J200" s="517"/>
      <c r="K200" s="172"/>
      <c r="L200" s="136"/>
      <c r="M200" s="136"/>
      <c r="N200" s="225"/>
      <c r="O200" s="328" t="str">
        <f t="shared" si="23"/>
        <v>-</v>
      </c>
      <c r="P200" s="528"/>
      <c r="Q200" s="482"/>
      <c r="R200" s="528"/>
      <c r="S200" s="499"/>
      <c r="T200" s="518"/>
      <c r="U200" s="499"/>
      <c r="V200" s="502"/>
      <c r="W200" s="519"/>
      <c r="X200" s="502"/>
      <c r="Y200" s="499"/>
      <c r="Z200" s="518"/>
      <c r="AA200" s="499"/>
      <c r="AB200" s="505"/>
      <c r="AC200" s="520"/>
      <c r="AD200" s="505"/>
      <c r="AE200" s="508"/>
      <c r="AF200" s="521"/>
      <c r="AG200" s="508"/>
      <c r="AH200" s="511"/>
      <c r="AI200" s="522"/>
      <c r="AJ200" s="511"/>
      <c r="AK200" s="514">
        <f t="shared" si="26"/>
        <v>0</v>
      </c>
      <c r="AL200" s="523"/>
      <c r="AM200" s="525"/>
      <c r="AN200" s="329" t="str">
        <f t="shared" si="27"/>
        <v/>
      </c>
      <c r="AO200" s="691"/>
    </row>
    <row r="201" spans="1:41" s="530" customFormat="1" ht="15.75">
      <c r="A201" s="516">
        <f t="shared" si="24"/>
        <v>0</v>
      </c>
      <c r="B201" s="610" t="str">
        <f>IF(AND($B$7=AN201,$B$5=J201),MAX($B$8:B200)+1,"")</f>
        <v/>
      </c>
      <c r="C201" s="493" t="str">
        <f t="shared" si="28"/>
        <v/>
      </c>
      <c r="D201" s="494" t="str">
        <f t="shared" ref="D201" si="29">IF($M201="","",IF(OR($M201&lt;=D$2,$M201&gt;=D$5),"",M1L))</f>
        <v/>
      </c>
      <c r="E201" s="493" t="str">
        <f t="shared" ref="E201" si="30">IF($M201="","",IF(OR($M201&lt;=E$2,$M201&gt;=E$5),"",M2K))</f>
        <v/>
      </c>
      <c r="F201" s="495" t="str">
        <f t="shared" ref="F201" si="31">IF($M201="","",IF(OR($M201&lt;=F$2,$M201&gt;=F$5),"",M2L))</f>
        <v/>
      </c>
      <c r="G201" s="496" t="str">
        <f>IF($G$6=N201,MAX($G$8:G200)+1,"")</f>
        <v/>
      </c>
      <c r="H201" s="496" t="str">
        <f>IF($H$6=J201,MAX($H$8:H200)+1,"")</f>
        <v/>
      </c>
      <c r="I201" s="172" t="str">
        <f>IF(L201&lt;&gt;"",COUNTA($L$9:L201),"")</f>
        <v/>
      </c>
      <c r="J201" s="517"/>
      <c r="K201" s="172"/>
      <c r="L201" s="136"/>
      <c r="M201" s="136"/>
      <c r="N201" s="225"/>
      <c r="O201" s="328" t="str">
        <f t="shared" ref="O201" si="32">TRIM(Q201&amp;IF(T201="","","; "&amp;T201)&amp;IF(W201="","","; "&amp;W201)&amp;IF(Z201="","","; "&amp;Z201)&amp;IF(AC201="","","; "&amp;AC201)&amp;IF(AF201="","","; "&amp;AF201)&amp;IF(AI201="","","; "&amp;AI201)&amp;" - "&amp;N201)</f>
        <v>-</v>
      </c>
      <c r="P201" s="528"/>
      <c r="Q201" s="482"/>
      <c r="R201" s="528"/>
      <c r="S201" s="499"/>
      <c r="T201" s="518"/>
      <c r="U201" s="499"/>
      <c r="V201" s="502"/>
      <c r="W201" s="519"/>
      <c r="X201" s="502"/>
      <c r="Y201" s="499"/>
      <c r="Z201" s="518"/>
      <c r="AA201" s="499"/>
      <c r="AB201" s="505"/>
      <c r="AC201" s="520"/>
      <c r="AD201" s="505"/>
      <c r="AE201" s="508"/>
      <c r="AF201" s="521"/>
      <c r="AG201" s="508"/>
      <c r="AH201" s="511"/>
      <c r="AI201" s="522"/>
      <c r="AJ201" s="511"/>
      <c r="AK201" s="514">
        <f t="shared" si="26"/>
        <v>0</v>
      </c>
      <c r="AL201" s="523"/>
      <c r="AM201" s="525"/>
      <c r="AN201" s="329" t="str">
        <f t="shared" si="27"/>
        <v/>
      </c>
      <c r="AO201" s="691"/>
    </row>
    <row r="202" spans="1:41">
      <c r="Q202" s="301"/>
      <c r="T202" s="302"/>
      <c r="W202" s="303"/>
      <c r="Z202" s="302"/>
      <c r="AC202" s="304"/>
      <c r="AE202" s="466"/>
      <c r="AF202" s="467"/>
      <c r="AG202" s="466"/>
      <c r="AH202" s="468"/>
      <c r="AI202" s="469"/>
      <c r="AJ202" s="468"/>
      <c r="AK202" s="226"/>
      <c r="AL202" s="189"/>
      <c r="AM202" s="189"/>
      <c r="AN202" s="330"/>
      <c r="AO202" s="692"/>
    </row>
    <row r="203" spans="1:41">
      <c r="W203" s="303"/>
      <c r="AC203" s="304"/>
      <c r="AE203" s="466"/>
      <c r="AF203" s="466"/>
      <c r="AG203" s="466"/>
      <c r="AH203" s="468"/>
      <c r="AI203" s="469"/>
      <c r="AJ203" s="468"/>
      <c r="AL203" s="189"/>
      <c r="AM203" s="189"/>
      <c r="AN203" s="330"/>
      <c r="AO203" s="692"/>
    </row>
    <row r="204" spans="1:41">
      <c r="W204" s="303"/>
      <c r="AE204" s="466"/>
      <c r="AF204" s="466"/>
      <c r="AG204" s="466"/>
      <c r="AH204" s="468"/>
      <c r="AI204" s="468"/>
      <c r="AJ204" s="468"/>
      <c r="AL204" s="189"/>
      <c r="AM204" s="189"/>
    </row>
    <row r="205" spans="1:41">
      <c r="AE205" s="466"/>
      <c r="AF205" s="466"/>
      <c r="AG205" s="466"/>
      <c r="AH205" s="468"/>
      <c r="AI205" s="468"/>
      <c r="AJ205" s="468"/>
      <c r="AL205" s="189"/>
      <c r="AM205" s="189"/>
    </row>
    <row r="206" spans="1:41">
      <c r="AE206" s="466"/>
      <c r="AF206" s="466"/>
      <c r="AG206" s="466"/>
      <c r="AH206" s="468"/>
      <c r="AI206" s="468"/>
      <c r="AJ206" s="468"/>
      <c r="AL206" s="189"/>
      <c r="AM206" s="189"/>
    </row>
    <row r="207" spans="1:41">
      <c r="AE207" s="466"/>
      <c r="AF207" s="466"/>
      <c r="AG207" s="466"/>
      <c r="AH207" s="468"/>
      <c r="AI207" s="468"/>
      <c r="AJ207" s="468"/>
      <c r="AL207" s="189"/>
      <c r="AM207" s="189"/>
    </row>
    <row r="208" spans="1:41">
      <c r="AE208" s="466"/>
      <c r="AF208" s="466"/>
      <c r="AG208" s="466"/>
      <c r="AH208" s="468"/>
      <c r="AI208" s="468"/>
      <c r="AJ208" s="468"/>
      <c r="AL208" s="189"/>
      <c r="AM208" s="189"/>
    </row>
    <row r="209" spans="31:39">
      <c r="AE209" s="466"/>
      <c r="AF209" s="466"/>
      <c r="AG209" s="466"/>
      <c r="AH209" s="468"/>
      <c r="AI209" s="468"/>
      <c r="AJ209" s="468"/>
      <c r="AL209" s="189"/>
      <c r="AM209" s="189"/>
    </row>
    <row r="210" spans="31:39">
      <c r="AE210" s="466"/>
      <c r="AF210" s="466"/>
      <c r="AG210" s="466"/>
      <c r="AH210" s="468"/>
      <c r="AI210" s="468"/>
      <c r="AJ210" s="468"/>
    </row>
    <row r="211" spans="31:39">
      <c r="AE211" s="466"/>
      <c r="AF211" s="466"/>
      <c r="AG211" s="466"/>
    </row>
    <row r="212" spans="31:39">
      <c r="AE212" s="466"/>
      <c r="AF212" s="466"/>
      <c r="AG212" s="466"/>
    </row>
    <row r="213" spans="31:39">
      <c r="AE213" s="466"/>
      <c r="AF213" s="466"/>
      <c r="AG213" s="466"/>
    </row>
    <row r="214" spans="31:39">
      <c r="AE214" s="466"/>
      <c r="AF214" s="466"/>
      <c r="AG214" s="466"/>
    </row>
    <row r="215" spans="31:39">
      <c r="AE215" s="466"/>
      <c r="AF215" s="466"/>
      <c r="AG215" s="466"/>
    </row>
    <row r="216" spans="31:39">
      <c r="AE216" s="466"/>
      <c r="AF216" s="466"/>
      <c r="AG216" s="466"/>
    </row>
    <row r="217" spans="31:39">
      <c r="AE217" s="466"/>
      <c r="AF217" s="466"/>
      <c r="AG217" s="466"/>
    </row>
    <row r="218" spans="31:39">
      <c r="AE218" s="466"/>
      <c r="AF218" s="466"/>
      <c r="AG218" s="466"/>
    </row>
    <row r="219" spans="31:39">
      <c r="AE219" s="466"/>
      <c r="AF219" s="466"/>
      <c r="AG219" s="466"/>
    </row>
    <row r="220" spans="31:39">
      <c r="AE220" s="466"/>
      <c r="AF220" s="466"/>
      <c r="AG220" s="466"/>
    </row>
    <row r="221" spans="31:39">
      <c r="AE221" s="466"/>
      <c r="AF221" s="466"/>
      <c r="AG221" s="466"/>
    </row>
  </sheetData>
  <sheetProtection formatCells="0" formatColumns="0" formatRows="0" insertColumns="0" insertRows="0" sort="0"/>
  <mergeCells count="24">
    <mergeCell ref="N2:Q2"/>
    <mergeCell ref="G1:H1"/>
    <mergeCell ref="I5:I7"/>
    <mergeCell ref="J5:J7"/>
    <mergeCell ref="O5:O7"/>
    <mergeCell ref="N5:N7"/>
    <mergeCell ref="K5:L5"/>
    <mergeCell ref="K6:K7"/>
    <mergeCell ref="L6:L7"/>
    <mergeCell ref="M6:M7"/>
    <mergeCell ref="P5:AK5"/>
    <mergeCell ref="P6:R6"/>
    <mergeCell ref="S6:U6"/>
    <mergeCell ref="V6:X6"/>
    <mergeCell ref="AE6:AG6"/>
    <mergeCell ref="Y6:AA6"/>
    <mergeCell ref="AB6:AD6"/>
    <mergeCell ref="AH6:AJ6"/>
    <mergeCell ref="AO5:AO7"/>
    <mergeCell ref="AN5:AN7"/>
    <mergeCell ref="AK6:AK7"/>
    <mergeCell ref="AL6:AL7"/>
    <mergeCell ref="AM6:AM7"/>
    <mergeCell ref="AL5:AM5"/>
  </mergeCells>
  <phoneticPr fontId="1" type="noConversion"/>
  <dataValidations xWindow="1017" yWindow="628" count="6">
    <dataValidation type="list" allowBlank="1" showInputMessage="1" showErrorMessage="1" promptTitle="CHỌN" prompt="Em hãy chọn một mã NDKT nhé" sqref="P9:P44 V9:V201 Y9:Y201 AB9:AB201 AE9:AE201 S9:S201 AH9:AH201 P46:P201">
      <formula1>NDKT</formula1>
    </dataValidation>
    <dataValidation type="list" allowBlank="1" showInputMessage="1" showErrorMessage="1" error="gyghghgghghg" promptTitle="CHỌN" prompt="Em hãy chọn một mã NDKT nhé" sqref="P45">
      <formula1>NDKT</formula1>
    </dataValidation>
    <dataValidation type="list" allowBlank="1" showInputMessage="1" showErrorMessage="1" sqref="J9:J201">
      <formula1>MaNV</formula1>
    </dataValidation>
    <dataValidation type="list" allowBlank="1" showInputMessage="1" showErrorMessage="1" promptTitle="CHỌN" prompt="Em hãy chọn đơn vị hưởng thụ nhé" sqref="AL9:AL201">
      <formula1>DVHT</formula1>
    </dataValidation>
    <dataValidation type="list" allowBlank="1" showInputMessage="1" showErrorMessage="1" promptTitle="CHỌN" prompt="Nếu rút tiền mặt thì em mới chọn NGƯỜ NHẬN TIỀN nhé" sqref="AM9:AM201">
      <formula1>NNT</formula1>
    </dataValidation>
    <dataValidation type="list" allowBlank="1" showInputMessage="1" showErrorMessage="1" errorTitle="Thông báo" error="Chỉ cho phép lựa chọn từ danh sách!" promptTitle="CHỌN" prompt="Em hãy chọn một dự án hoặc nguồn trong danh sách" sqref="N9:N201">
      <formula1>DSCT</formula1>
    </dataValidation>
  </dataValidations>
  <pageMargins left="0.36" right="0.28999999999999998" top="1" bottom="1" header="0.5" footer="0.5"/>
  <pageSetup paperSize="256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5309" r:id="rId4" name="ComboBox1">
          <controlPr defaultSize="0" print="0" autoLine="0" linkedCell="J2" listFillRange="GRDT" r:id="rId5">
            <anchor moveWithCells="1">
              <from>
                <xdr:col>0</xdr:col>
                <xdr:colOff>0</xdr:colOff>
                <xdr:row>1</xdr:row>
                <xdr:rowOff>38100</xdr:rowOff>
              </from>
              <to>
                <xdr:col>10</xdr:col>
                <xdr:colOff>666750</xdr:colOff>
                <xdr:row>1</xdr:row>
                <xdr:rowOff>333375</xdr:rowOff>
              </to>
            </anchor>
          </controlPr>
        </control>
      </mc:Choice>
      <mc:Fallback>
        <control shapeId="25309" r:id="rId4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  <pageSetUpPr fitToPage="1"/>
  </sheetPr>
  <dimension ref="A1:V45"/>
  <sheetViews>
    <sheetView topLeftCell="B20" zoomScaleNormal="100" workbookViewId="0">
      <selection activeCell="D26" sqref="D26"/>
    </sheetView>
  </sheetViews>
  <sheetFormatPr defaultRowHeight="15.75"/>
  <cols>
    <col min="1" max="1" width="48.7109375" style="228" hidden="1" customWidth="1"/>
    <col min="2" max="2" width="2.28515625" style="228" customWidth="1"/>
    <col min="3" max="3" width="14.7109375" style="228" customWidth="1"/>
    <col min="4" max="4" width="4.85546875" style="228" customWidth="1"/>
    <col min="5" max="5" width="8.42578125" style="228" customWidth="1"/>
    <col min="6" max="6" width="8.85546875" style="228" customWidth="1"/>
    <col min="7" max="7" width="8.5703125" style="228" customWidth="1"/>
    <col min="8" max="8" width="5.42578125" style="228" customWidth="1"/>
    <col min="9" max="9" width="6.42578125" style="228" customWidth="1"/>
    <col min="10" max="10" width="6.85546875" style="228" customWidth="1"/>
    <col min="11" max="11" width="3.28515625" style="228" customWidth="1"/>
    <col min="12" max="12" width="6.28515625" style="228" customWidth="1"/>
    <col min="13" max="13" width="4.28515625" style="228" customWidth="1"/>
    <col min="14" max="14" width="3.7109375" style="228" customWidth="1"/>
    <col min="15" max="15" width="7" style="228" customWidth="1"/>
    <col min="16" max="16" width="5.140625" style="228" customWidth="1"/>
    <col min="17" max="17" width="10" style="228" customWidth="1"/>
    <col min="18" max="18" width="7.85546875" style="228" customWidth="1"/>
    <col min="19" max="19" width="10.5703125" style="228" customWidth="1"/>
    <col min="20" max="22" width="10.42578125" style="228" customWidth="1"/>
    <col min="23" max="23" width="13.42578125" style="228" customWidth="1"/>
    <col min="24" max="24" width="13.7109375" style="228" customWidth="1"/>
    <col min="25" max="16384" width="9.140625" style="228"/>
  </cols>
  <sheetData>
    <row r="1" spans="1:22" ht="18.75" customHeight="1">
      <c r="A1" s="738"/>
      <c r="B1" s="722"/>
      <c r="C1" s="907" t="s">
        <v>111</v>
      </c>
      <c r="D1" s="908"/>
      <c r="E1" s="723"/>
      <c r="F1" s="722"/>
      <c r="G1" s="722"/>
      <c r="H1" s="724"/>
      <c r="I1" s="724"/>
      <c r="J1" s="722"/>
      <c r="K1" s="722"/>
      <c r="L1" s="722"/>
      <c r="M1" s="722"/>
      <c r="N1" s="919" t="s">
        <v>638</v>
      </c>
      <c r="O1" s="919"/>
      <c r="P1" s="919"/>
      <c r="Q1" s="919"/>
    </row>
    <row r="2" spans="1:22" ht="27" customHeight="1">
      <c r="A2" s="722"/>
      <c r="B2" s="722"/>
      <c r="C2" s="909"/>
      <c r="D2" s="910"/>
      <c r="E2" s="723"/>
      <c r="F2" s="918" t="s">
        <v>112</v>
      </c>
      <c r="G2" s="918"/>
      <c r="H2" s="918"/>
      <c r="I2" s="918"/>
      <c r="J2" s="918"/>
      <c r="K2" s="918"/>
      <c r="L2" s="918"/>
      <c r="M2" s="918"/>
      <c r="N2" s="919"/>
      <c r="O2" s="919"/>
      <c r="P2" s="919"/>
      <c r="Q2" s="919"/>
    </row>
    <row r="3" spans="1:22" ht="18.75" customHeight="1">
      <c r="A3" s="722"/>
      <c r="B3" s="722"/>
      <c r="C3" s="725"/>
      <c r="D3" s="726"/>
      <c r="E3" s="726"/>
      <c r="F3" s="727" t="s">
        <v>113</v>
      </c>
      <c r="G3" s="728" t="s">
        <v>351</v>
      </c>
      <c r="H3" s="727" t="s">
        <v>114</v>
      </c>
      <c r="I3" s="728"/>
      <c r="J3" s="728" t="s">
        <v>352</v>
      </c>
      <c r="K3" s="727" t="s">
        <v>456</v>
      </c>
      <c r="L3" s="722"/>
      <c r="M3" s="729"/>
      <c r="N3" s="730" t="str">
        <f>IF(AND(VLOOKUP($Q$4,Danhsach,30,0)="",VLOOKUP($Q$4,Danhsach,31,0)=""),"S","£")</f>
        <v>S</v>
      </c>
      <c r="O3" s="722"/>
      <c r="P3" s="731"/>
      <c r="Q3" s="722"/>
    </row>
    <row r="4" spans="1:22" ht="18.75" customHeight="1">
      <c r="A4" s="722"/>
      <c r="B4" s="722"/>
      <c r="C4" s="732"/>
      <c r="D4" s="733"/>
      <c r="E4" s="733"/>
      <c r="F4" s="734" t="s">
        <v>115</v>
      </c>
      <c r="G4" s="722"/>
      <c r="H4" s="722"/>
      <c r="I4" s="722"/>
      <c r="J4" s="728" t="s">
        <v>352</v>
      </c>
      <c r="K4" s="727" t="s">
        <v>604</v>
      </c>
      <c r="L4" s="722"/>
      <c r="M4" s="731"/>
      <c r="N4" s="730" t="str">
        <f>IF(VLOOKUP($Q$4,Danhsach,30,0)&lt;&gt;"","S","£")</f>
        <v>£</v>
      </c>
      <c r="O4" s="883" t="s">
        <v>125</v>
      </c>
      <c r="P4" s="883"/>
      <c r="Q4" s="735" t="str">
        <f>'Nhap lieu'!J2</f>
        <v>GRDT01</v>
      </c>
    </row>
    <row r="5" spans="1:22" ht="18.75" customHeight="1">
      <c r="A5" s="722"/>
      <c r="B5" s="722"/>
      <c r="C5" s="736"/>
      <c r="D5" s="737"/>
      <c r="E5" s="737"/>
      <c r="F5" s="734" t="s">
        <v>116</v>
      </c>
      <c r="G5" s="722"/>
      <c r="H5" s="722"/>
      <c r="I5" s="722"/>
      <c r="J5" s="728" t="s">
        <v>352</v>
      </c>
      <c r="K5" s="727" t="s">
        <v>605</v>
      </c>
      <c r="L5" s="722"/>
      <c r="M5" s="731"/>
      <c r="N5" s="730" t="str">
        <f>IF(VLOOKUP($Q$4,Danhsach,31,0)&lt;&gt;"","S","£")</f>
        <v>£</v>
      </c>
      <c r="O5" s="883" t="s">
        <v>602</v>
      </c>
      <c r="P5" s="883"/>
      <c r="Q5" s="823">
        <f>Menu!K4</f>
        <v>2017</v>
      </c>
    </row>
    <row r="6" spans="1:22" ht="11.25" customHeight="1">
      <c r="A6" s="722"/>
      <c r="B6" s="722"/>
      <c r="C6" s="737"/>
      <c r="D6" s="737"/>
      <c r="E6" s="737"/>
      <c r="F6" s="737"/>
      <c r="G6" s="737"/>
      <c r="H6" s="737"/>
      <c r="I6" s="737"/>
      <c r="J6" s="737"/>
      <c r="K6" s="738"/>
      <c r="L6" s="737"/>
      <c r="M6" s="737"/>
      <c r="N6" s="739"/>
      <c r="O6" s="740"/>
      <c r="P6" s="722"/>
      <c r="Q6" s="722"/>
    </row>
    <row r="7" spans="1:22" s="231" customFormat="1" ht="18.75" customHeight="1">
      <c r="A7" s="741"/>
      <c r="B7" s="741"/>
      <c r="C7" s="742" t="s">
        <v>612</v>
      </c>
      <c r="D7" s="743"/>
      <c r="E7" s="743"/>
      <c r="F7" s="743"/>
      <c r="G7" s="743"/>
      <c r="H7" s="743"/>
      <c r="I7" s="743"/>
      <c r="J7" s="743"/>
      <c r="K7" s="743"/>
      <c r="L7" s="743"/>
      <c r="M7" s="743"/>
      <c r="N7" s="743"/>
      <c r="O7" s="743"/>
      <c r="P7" s="744"/>
      <c r="Q7" s="745"/>
      <c r="R7" s="232"/>
      <c r="S7" s="232"/>
      <c r="V7" s="228"/>
    </row>
    <row r="8" spans="1:22" s="231" customFormat="1" ht="18.75" customHeight="1">
      <c r="A8" s="741"/>
      <c r="B8" s="741"/>
      <c r="C8" s="745"/>
      <c r="D8" s="745"/>
      <c r="E8" s="745"/>
      <c r="F8" s="745"/>
      <c r="G8" s="745"/>
      <c r="H8" s="727" t="s">
        <v>613</v>
      </c>
      <c r="I8" s="727"/>
      <c r="J8" s="743"/>
      <c r="K8" s="743"/>
      <c r="L8" s="743"/>
      <c r="M8" s="743"/>
      <c r="N8" s="746"/>
      <c r="O8" s="746"/>
      <c r="P8" s="745"/>
      <c r="Q8" s="744"/>
      <c r="R8" s="228"/>
      <c r="S8" s="228"/>
    </row>
    <row r="9" spans="1:22" s="231" customFormat="1" ht="18.75" customHeight="1">
      <c r="A9" s="741"/>
      <c r="B9" s="741"/>
      <c r="C9" s="747" t="s">
        <v>458</v>
      </c>
      <c r="D9" s="747" t="str">
        <f>IF(VLOOKUP(Q4,Danhsach,4,0)="","……………………………………..………………..…………………….",VLOOKUP(Q4,Danhsach,4,0))</f>
        <v>Đường ĐH.95 Thụy Dân - Thụy Ninh</v>
      </c>
      <c r="E9" s="745"/>
      <c r="F9" s="745"/>
      <c r="G9" s="745"/>
      <c r="H9" s="748"/>
      <c r="I9" s="748"/>
      <c r="J9" s="747"/>
      <c r="K9" s="747"/>
      <c r="L9" s="745"/>
      <c r="M9" s="745"/>
      <c r="N9" s="745"/>
      <c r="O9" s="745"/>
      <c r="P9" s="745"/>
      <c r="Q9" s="745"/>
      <c r="R9" s="232"/>
      <c r="S9" s="232"/>
      <c r="T9" s="233"/>
    </row>
    <row r="10" spans="1:22" s="231" customFormat="1" ht="18.75" customHeight="1">
      <c r="A10" s="741"/>
      <c r="B10" s="741"/>
      <c r="C10" s="749" t="s">
        <v>634</v>
      </c>
      <c r="D10" s="750"/>
      <c r="E10" s="750"/>
      <c r="F10" s="750"/>
      <c r="G10" s="750"/>
      <c r="H10" s="743"/>
      <c r="I10" s="743"/>
      <c r="J10" s="743"/>
      <c r="K10" s="743"/>
      <c r="L10" s="747" t="e">
        <f>IF(D9="……………………………………..………………..…………………….","Mã CTMT, DA:…………….","Mã CTMT, DA: "&amp;VLOOKUP(D9,DMDA,2,0))</f>
        <v>#N/A</v>
      </c>
      <c r="M10" s="741"/>
      <c r="N10" s="743"/>
      <c r="O10" s="748"/>
      <c r="P10" s="748"/>
      <c r="Q10" s="751"/>
      <c r="R10" s="234"/>
      <c r="S10" s="234"/>
    </row>
    <row r="11" spans="1:22" s="231" customFormat="1" ht="18.75" customHeight="1">
      <c r="A11" s="741"/>
      <c r="B11" s="741"/>
      <c r="C11" s="752" t="s">
        <v>603</v>
      </c>
      <c r="D11" s="750"/>
      <c r="E11" s="750"/>
      <c r="F11" s="750"/>
      <c r="G11" s="750"/>
      <c r="H11" s="748"/>
      <c r="I11" s="748"/>
      <c r="J11" s="743"/>
      <c r="K11" s="743"/>
      <c r="L11" s="753" t="s">
        <v>635</v>
      </c>
      <c r="M11" s="743"/>
      <c r="N11" s="748"/>
      <c r="O11" s="746"/>
      <c r="P11" s="744"/>
      <c r="Q11" s="744"/>
      <c r="R11" s="228"/>
      <c r="S11" s="228"/>
    </row>
    <row r="12" spans="1:22" ht="7.5" customHeight="1">
      <c r="A12" s="722"/>
      <c r="B12" s="754"/>
      <c r="C12" s="755"/>
      <c r="D12" s="755"/>
      <c r="E12" s="755"/>
      <c r="F12" s="755"/>
      <c r="G12" s="755"/>
      <c r="H12" s="756"/>
      <c r="I12" s="756"/>
      <c r="J12" s="755"/>
      <c r="K12" s="755"/>
      <c r="L12" s="755"/>
      <c r="M12" s="755"/>
      <c r="N12" s="755"/>
      <c r="O12" s="757"/>
      <c r="P12" s="754"/>
      <c r="Q12" s="754"/>
      <c r="T12" s="231"/>
      <c r="U12" s="231"/>
      <c r="V12" s="231"/>
    </row>
    <row r="13" spans="1:22" s="236" customFormat="1" ht="18.75" hidden="1" customHeight="1">
      <c r="A13" s="758"/>
      <c r="B13" s="911" t="s">
        <v>81</v>
      </c>
      <c r="C13" s="912"/>
      <c r="D13" s="912"/>
      <c r="E13" s="912"/>
      <c r="F13" s="912"/>
      <c r="G13" s="913"/>
      <c r="H13" s="929" t="s">
        <v>124</v>
      </c>
      <c r="I13" s="930"/>
      <c r="J13" s="924" t="s">
        <v>452</v>
      </c>
      <c r="K13" s="925"/>
      <c r="L13" s="759" t="s">
        <v>453</v>
      </c>
      <c r="M13" s="759"/>
      <c r="N13" s="922" t="s">
        <v>117</v>
      </c>
      <c r="O13" s="922"/>
      <c r="P13" s="760"/>
      <c r="Q13" s="760"/>
      <c r="R13" s="235"/>
      <c r="S13" s="228"/>
      <c r="T13" s="231"/>
      <c r="U13" s="231"/>
      <c r="V13" s="231"/>
    </row>
    <row r="14" spans="1:22" s="236" customFormat="1" ht="29.25" customHeight="1">
      <c r="A14" s="758"/>
      <c r="B14" s="914"/>
      <c r="C14" s="915"/>
      <c r="D14" s="915"/>
      <c r="E14" s="915"/>
      <c r="F14" s="915"/>
      <c r="G14" s="916"/>
      <c r="H14" s="931"/>
      <c r="I14" s="932"/>
      <c r="J14" s="926"/>
      <c r="K14" s="927"/>
      <c r="L14" s="888" t="s">
        <v>453</v>
      </c>
      <c r="M14" s="889"/>
      <c r="N14" s="922"/>
      <c r="O14" s="922"/>
      <c r="P14" s="920" t="s">
        <v>544</v>
      </c>
      <c r="Q14" s="920"/>
      <c r="R14" s="235"/>
      <c r="S14" s="228"/>
      <c r="T14" s="231"/>
      <c r="U14" s="231"/>
      <c r="V14" s="231"/>
    </row>
    <row r="15" spans="1:22" s="709" customFormat="1" ht="28.5">
      <c r="A15" s="791" t="str">
        <f>B15</f>
        <v>Thanh toán kinh phí XL đường ĐH.95 Thụy Dân-Thụy Ninh</v>
      </c>
      <c r="B15" s="917" t="str">
        <f>VLOOKUP($Q$4,Danhsach,7,0)</f>
        <v>Thanh toán kinh phí XL đường ĐH.95 Thụy Dân-Thụy Ninh</v>
      </c>
      <c r="C15" s="917"/>
      <c r="D15" s="917"/>
      <c r="E15" s="917"/>
      <c r="F15" s="917"/>
      <c r="G15" s="917"/>
      <c r="H15" s="897">
        <f>IF(VLOOKUP($Q$4,Danhsach,6,0)="","",VLOOKUP($Q$4,Danhsach,6,0))</f>
        <v>6501</v>
      </c>
      <c r="I15" s="897"/>
      <c r="J15" s="928">
        <v>620</v>
      </c>
      <c r="K15" s="928"/>
      <c r="L15" s="890">
        <f t="array" ref="L15">VLOOKUP($Q$4,CHOOSE({1,2},'Nhap lieu'!$K$9:$K$200,'Nhap lieu'!$J$9:$J$200),2,0)</f>
        <v>223</v>
      </c>
      <c r="M15" s="891"/>
      <c r="N15" s="923">
        <v>12</v>
      </c>
      <c r="O15" s="923"/>
      <c r="P15" s="921">
        <f>VLOOKUP($Q$4,Danhsach,8,0)</f>
        <v>5000000</v>
      </c>
      <c r="Q15" s="921"/>
      <c r="R15" s="708"/>
      <c r="T15" s="710"/>
      <c r="U15" s="710"/>
      <c r="V15" s="710"/>
    </row>
    <row r="16" spans="1:22">
      <c r="A16" s="791" t="str">
        <f t="shared" ref="A16:A21" si="0">B16</f>
        <v>Thanh toán tiền thẩm định</v>
      </c>
      <c r="B16" s="896" t="str">
        <f>IF(VLOOKUP($Q$4,Danhsach,10,0)="","",VLOOKUP($Q$4,Danhsach,10,0))</f>
        <v>Thanh toán tiền thẩm định</v>
      </c>
      <c r="C16" s="896"/>
      <c r="D16" s="896"/>
      <c r="E16" s="896"/>
      <c r="F16" s="896"/>
      <c r="G16" s="896"/>
      <c r="H16" s="895">
        <f>IF(VLOOKUP($Q$4,Danhsach,9,0)="","",VLOOKUP($Q$4,Danhsach,9,0))</f>
        <v>6922</v>
      </c>
      <c r="I16" s="895"/>
      <c r="J16" s="894">
        <f>IF(H16="","",$J$15)</f>
        <v>620</v>
      </c>
      <c r="K16" s="894"/>
      <c r="L16" s="892">
        <f>IF(H16="","",$L$15)</f>
        <v>223</v>
      </c>
      <c r="M16" s="893"/>
      <c r="N16" s="887">
        <f t="shared" ref="N16:N21" si="1">IF(H16="","",$N$15)</f>
        <v>12</v>
      </c>
      <c r="O16" s="887"/>
      <c r="P16" s="898">
        <f>IF(VLOOKUP($Q$4,Danhsach,11,0)="","",VLOOKUP($Q$4,Danhsach,11,0))</f>
        <v>30000</v>
      </c>
      <c r="Q16" s="898"/>
      <c r="R16" s="237"/>
      <c r="T16" s="231"/>
      <c r="U16" s="231"/>
      <c r="V16" s="231"/>
    </row>
    <row r="17" spans="1:22">
      <c r="A17" s="791" t="str">
        <f t="shared" si="0"/>
        <v>Thanh toán tiền VPP</v>
      </c>
      <c r="B17" s="896" t="str">
        <f>IF(VLOOKUP($Q$4,Danhsach,13,0)="","",VLOOKUP($Q$4,Danhsach,13,0))</f>
        <v>Thanh toán tiền VPP</v>
      </c>
      <c r="C17" s="896"/>
      <c r="D17" s="896"/>
      <c r="E17" s="896"/>
      <c r="F17" s="896"/>
      <c r="G17" s="896"/>
      <c r="H17" s="895">
        <f>IF(VLOOKUP($Q$4,Danhsach,12,0)="","",VLOOKUP($Q$4,Danhsach,12,0))</f>
        <v>6922</v>
      </c>
      <c r="I17" s="895"/>
      <c r="J17" s="894">
        <f>IF(H17="","",$J$15)</f>
        <v>620</v>
      </c>
      <c r="K17" s="894"/>
      <c r="L17" s="892">
        <f t="shared" ref="L17:L21" si="2">IF(H17="","",$L$15)</f>
        <v>223</v>
      </c>
      <c r="M17" s="893"/>
      <c r="N17" s="887">
        <f t="shared" si="1"/>
        <v>12</v>
      </c>
      <c r="O17" s="887"/>
      <c r="P17" s="898">
        <f>IF(VLOOKUP($Q$4,Danhsach,14,0)="","",VLOOKUP($Q$4,Danhsach,14,0))</f>
        <v>21000</v>
      </c>
      <c r="Q17" s="898"/>
      <c r="R17" s="237"/>
      <c r="T17" s="231"/>
      <c r="U17" s="231"/>
      <c r="V17" s="231"/>
    </row>
    <row r="18" spans="1:22">
      <c r="A18" s="791" t="str">
        <f t="shared" si="0"/>
        <v>Thanh toán tiền giám sát</v>
      </c>
      <c r="B18" s="896" t="str">
        <f>IF(VLOOKUP($Q$4,Danhsach,16,0)="","",VLOOKUP($Q$4,Danhsach,16,0))</f>
        <v>Thanh toán tiền giám sát</v>
      </c>
      <c r="C18" s="896"/>
      <c r="D18" s="896"/>
      <c r="E18" s="896"/>
      <c r="F18" s="896"/>
      <c r="G18" s="896"/>
      <c r="H18" s="895">
        <f>IF(VLOOKUP($Q$4,Danhsach,15,0)="","",VLOOKUP($Q$4,Danhsach,15,0))</f>
        <v>6922</v>
      </c>
      <c r="I18" s="895"/>
      <c r="J18" s="894">
        <f>IF(H18="","",$J$15)</f>
        <v>620</v>
      </c>
      <c r="K18" s="894"/>
      <c r="L18" s="892">
        <f t="shared" si="2"/>
        <v>223</v>
      </c>
      <c r="M18" s="893"/>
      <c r="N18" s="887">
        <f t="shared" si="1"/>
        <v>12</v>
      </c>
      <c r="O18" s="887"/>
      <c r="P18" s="898">
        <f>IF(VLOOKUP($Q$4,Danhsach,17,0)="","",VLOOKUP($Q$4,Danhsach,17,0))</f>
        <v>22500</v>
      </c>
      <c r="Q18" s="898"/>
      <c r="R18" s="237"/>
      <c r="T18" s="231"/>
      <c r="U18" s="231"/>
      <c r="V18" s="231"/>
    </row>
    <row r="19" spans="1:22">
      <c r="A19" s="791" t="str">
        <f t="shared" si="0"/>
        <v/>
      </c>
      <c r="B19" s="896" t="str">
        <f>IF(VLOOKUP($Q$4,Danhsach,19,0)="","",VLOOKUP($Q$4,Danhsach,19,0))</f>
        <v/>
      </c>
      <c r="C19" s="896"/>
      <c r="D19" s="896"/>
      <c r="E19" s="896"/>
      <c r="F19" s="896"/>
      <c r="G19" s="896"/>
      <c r="H19" s="895">
        <f>IF(VLOOKUP($Q$4,Danhsach,18,0)="","",VLOOKUP($Q$4,Danhsach,18,0))</f>
        <v>6922</v>
      </c>
      <c r="I19" s="895"/>
      <c r="J19" s="894">
        <f>IF(H19="","",$J$15)</f>
        <v>620</v>
      </c>
      <c r="K19" s="894"/>
      <c r="L19" s="892">
        <f t="shared" si="2"/>
        <v>223</v>
      </c>
      <c r="M19" s="893"/>
      <c r="N19" s="887">
        <f t="shared" si="1"/>
        <v>12</v>
      </c>
      <c r="O19" s="887"/>
      <c r="P19" s="898">
        <f>IF(VLOOKUP($Q$4,Danhsach,20,0)="","",VLOOKUP($Q$4,Danhsach,20,0))</f>
        <v>50000</v>
      </c>
      <c r="Q19" s="898"/>
      <c r="R19" s="237"/>
      <c r="T19" s="231"/>
      <c r="U19" s="231"/>
      <c r="V19" s="231"/>
    </row>
    <row r="20" spans="1:22">
      <c r="A20" s="791" t="str">
        <f t="shared" si="0"/>
        <v/>
      </c>
      <c r="B20" s="896" t="str">
        <f>IF(VLOOKUP($Q$4,Danhsach,22,0)="","",VLOOKUP($Q$4,Danhsach,22,0))</f>
        <v/>
      </c>
      <c r="C20" s="896"/>
      <c r="D20" s="896"/>
      <c r="E20" s="896"/>
      <c r="F20" s="896"/>
      <c r="G20" s="896"/>
      <c r="H20" s="895">
        <f>IF(VLOOKUP($Q$4,Danhsach,21,0)="","",VLOOKUP($Q$4,Danhsach,21,0))</f>
        <v>6922</v>
      </c>
      <c r="I20" s="895"/>
      <c r="J20" s="894">
        <f t="shared" ref="J20" si="3">IF(H20="","",$J$15)</f>
        <v>620</v>
      </c>
      <c r="K20" s="894"/>
      <c r="L20" s="892">
        <f t="shared" si="2"/>
        <v>223</v>
      </c>
      <c r="M20" s="893"/>
      <c r="N20" s="887">
        <f t="shared" si="1"/>
        <v>12</v>
      </c>
      <c r="O20" s="887"/>
      <c r="P20" s="898">
        <f>IF(VLOOKUP($Q$4,Danhsach,23,0)="","",VLOOKUP($Q$4,Danhsach,23,0))</f>
        <v>51000</v>
      </c>
      <c r="Q20" s="898"/>
      <c r="R20" s="237"/>
      <c r="T20" s="231"/>
      <c r="U20" s="231"/>
      <c r="V20" s="231"/>
    </row>
    <row r="21" spans="1:22">
      <c r="A21" s="791" t="str">
        <f t="shared" si="0"/>
        <v/>
      </c>
      <c r="B21" s="936" t="str">
        <f>IF(VLOOKUP($Q$4,Danhsach,25,0)="","",VLOOKUP($Q$4,Danhsach,25,0))</f>
        <v/>
      </c>
      <c r="C21" s="936"/>
      <c r="D21" s="936"/>
      <c r="E21" s="936"/>
      <c r="F21" s="936"/>
      <c r="G21" s="936"/>
      <c r="H21" s="937">
        <f>IF(VLOOKUP($Q$4,Danhsach,24,0)="","",VLOOKUP($Q$4,Danhsach,24,0))</f>
        <v>6922</v>
      </c>
      <c r="I21" s="937"/>
      <c r="J21" s="938">
        <f>IF(H21="","",$J$15)</f>
        <v>620</v>
      </c>
      <c r="K21" s="938"/>
      <c r="L21" s="892">
        <f t="shared" si="2"/>
        <v>223</v>
      </c>
      <c r="M21" s="893"/>
      <c r="N21" s="935">
        <f t="shared" si="1"/>
        <v>12</v>
      </c>
      <c r="O21" s="935"/>
      <c r="P21" s="906">
        <f>IF(VLOOKUP($Q$4,Danhsach,26,0)="","",VLOOKUP($Q$4,Danhsach,26,0))</f>
        <v>5255</v>
      </c>
      <c r="Q21" s="906"/>
      <c r="R21" s="237"/>
      <c r="T21" s="231"/>
      <c r="U21" s="231"/>
      <c r="V21" s="231"/>
    </row>
    <row r="22" spans="1:22" ht="28.5" customHeight="1">
      <c r="A22" s="735"/>
      <c r="B22" s="940" t="s">
        <v>118</v>
      </c>
      <c r="C22" s="941"/>
      <c r="D22" s="941"/>
      <c r="E22" s="941"/>
      <c r="F22" s="941"/>
      <c r="G22" s="941"/>
      <c r="H22" s="941"/>
      <c r="I22" s="941"/>
      <c r="J22" s="941"/>
      <c r="K22" s="941"/>
      <c r="L22" s="941"/>
      <c r="M22" s="941"/>
      <c r="N22" s="941"/>
      <c r="O22" s="941"/>
      <c r="P22" s="903">
        <f>SUM(P15:P21)</f>
        <v>5179755</v>
      </c>
      <c r="Q22" s="904"/>
      <c r="R22" s="238"/>
      <c r="T22" s="240"/>
      <c r="U22" s="231"/>
      <c r="V22" s="231"/>
    </row>
    <row r="23" spans="1:22" ht="6" customHeight="1">
      <c r="A23" s="722"/>
      <c r="B23" s="761"/>
      <c r="C23" s="761"/>
      <c r="D23" s="761"/>
      <c r="E23" s="761"/>
      <c r="F23" s="761"/>
      <c r="G23" s="761"/>
      <c r="H23" s="762"/>
      <c r="I23" s="762"/>
      <c r="J23" s="762"/>
      <c r="K23" s="762"/>
      <c r="L23" s="762"/>
      <c r="M23" s="762"/>
      <c r="N23" s="762"/>
      <c r="O23" s="763"/>
      <c r="P23" s="764"/>
      <c r="Q23" s="765"/>
      <c r="R23" s="241"/>
      <c r="S23" s="239"/>
      <c r="T23" s="240"/>
      <c r="U23" s="231"/>
      <c r="V23" s="231"/>
    </row>
    <row r="24" spans="1:22" s="230" customFormat="1" ht="18.75" customHeight="1">
      <c r="A24" s="736"/>
      <c r="B24" s="934" t="str">
        <f>"Tổng số tiền ghi bằng chữ: ("&amp;dso(P22)&amp;" đồng.)"</f>
        <v>Tổng số tiền ghi bằng chữ: (Năm triệu một trăm bảy mươi chín nghìn bảy trăm năm mươi lăm đồng.)</v>
      </c>
      <c r="C24" s="934"/>
      <c r="D24" s="934"/>
      <c r="E24" s="934"/>
      <c r="F24" s="934"/>
      <c r="G24" s="934"/>
      <c r="H24" s="934"/>
      <c r="I24" s="934"/>
      <c r="J24" s="934"/>
      <c r="K24" s="934"/>
      <c r="L24" s="934"/>
      <c r="M24" s="934"/>
      <c r="N24" s="934"/>
      <c r="O24" s="934"/>
      <c r="P24" s="934"/>
      <c r="Q24" s="934"/>
      <c r="R24" s="242"/>
      <c r="S24" s="243"/>
    </row>
    <row r="25" spans="1:22" ht="17.25" customHeight="1">
      <c r="A25" s="722"/>
      <c r="B25" s="744"/>
      <c r="C25" s="766"/>
      <c r="D25" s="766"/>
      <c r="E25" s="766"/>
      <c r="F25" s="767"/>
      <c r="G25" s="767"/>
      <c r="H25" s="767"/>
      <c r="I25" s="767"/>
      <c r="J25" s="767"/>
      <c r="K25" s="767"/>
      <c r="L25" s="767"/>
      <c r="M25" s="767"/>
      <c r="N25" s="767"/>
      <c r="O25" s="870" t="s">
        <v>119</v>
      </c>
      <c r="P25" s="871"/>
      <c r="Q25" s="872"/>
      <c r="R25" s="244"/>
      <c r="S25" s="229"/>
    </row>
    <row r="26" spans="1:22" ht="20.25" customHeight="1">
      <c r="A26" s="722"/>
      <c r="B26" s="744"/>
      <c r="C26" s="747" t="s">
        <v>454</v>
      </c>
      <c r="D26" s="747" t="str">
        <f>IF(VLOOKUP(Q4,Danhsach,28,0)="","……...............................................................……………………………………….",VLOOKUP(Q4,Danhsach,28,0))</f>
        <v xml:space="preserve">Công ty cổ phần </v>
      </c>
      <c r="E26" s="747"/>
      <c r="F26" s="745"/>
      <c r="G26" s="745"/>
      <c r="H26" s="745"/>
      <c r="I26" s="745"/>
      <c r="J26" s="745"/>
      <c r="K26" s="745"/>
      <c r="L26" s="745"/>
      <c r="M26" s="745"/>
      <c r="N26" s="745"/>
      <c r="O26" s="768" t="s">
        <v>631</v>
      </c>
      <c r="P26" s="769"/>
      <c r="Q26" s="770"/>
      <c r="R26" s="245"/>
      <c r="S26" s="245"/>
    </row>
    <row r="27" spans="1:22" ht="20.25" customHeight="1">
      <c r="A27" s="722"/>
      <c r="B27" s="744"/>
      <c r="C27" s="747" t="e">
        <f>IF(D26="……...............................................................……………………………………….","Địa chỉ: ……..........................................................................................……………………………….","Địa chỉ: "&amp;VLOOKUP($D$26,DSDVHT,2,0))</f>
        <v>#N/A</v>
      </c>
      <c r="D27" s="745"/>
      <c r="E27" s="745"/>
      <c r="F27" s="745"/>
      <c r="G27" s="745"/>
      <c r="H27" s="745"/>
      <c r="I27" s="745"/>
      <c r="J27" s="745"/>
      <c r="K27" s="745"/>
      <c r="L27" s="745"/>
      <c r="M27" s="745"/>
      <c r="N27" s="745"/>
      <c r="O27" s="768" t="s">
        <v>630</v>
      </c>
      <c r="P27" s="769"/>
      <c r="Q27" s="770"/>
      <c r="R27" s="245"/>
      <c r="S27" s="245"/>
    </row>
    <row r="28" spans="1:22" ht="20.25" customHeight="1">
      <c r="A28" s="722"/>
      <c r="B28" s="744"/>
      <c r="C28" s="747" t="e">
        <f>IF(D26="……...............................................................……………………………………….","Tài khoản:  ……..........................................................................................………..………………….","Tài khoản : "&amp;VLOOKUP($D$26,DSDVHT,5,0))</f>
        <v>#N/A</v>
      </c>
      <c r="D28" s="745"/>
      <c r="E28" s="745"/>
      <c r="F28" s="745"/>
      <c r="G28" s="745"/>
      <c r="H28" s="744"/>
      <c r="I28" s="744"/>
      <c r="J28" s="745"/>
      <c r="K28" s="745"/>
      <c r="L28" s="745"/>
      <c r="M28" s="745"/>
      <c r="N28" s="745"/>
      <c r="O28" s="768" t="s">
        <v>631</v>
      </c>
      <c r="P28" s="769"/>
      <c r="Q28" s="770"/>
      <c r="R28" s="245"/>
      <c r="S28" s="245"/>
    </row>
    <row r="29" spans="1:22" ht="20.25" customHeight="1">
      <c r="A29" s="722"/>
      <c r="B29" s="744"/>
      <c r="C29" s="747" t="e">
        <f>IF(D26="……...............................................................……………………………………….","Tại :  …………...........................................................................................................…………………","Tại: "&amp;VLOOKUP($D$26,DSDVHT,6,0))</f>
        <v>#N/A</v>
      </c>
      <c r="D29" s="745"/>
      <c r="E29" s="745"/>
      <c r="F29" s="745"/>
      <c r="G29" s="745"/>
      <c r="H29" s="727"/>
      <c r="I29" s="727"/>
      <c r="J29" s="745"/>
      <c r="K29" s="745"/>
      <c r="L29" s="745"/>
      <c r="M29" s="745"/>
      <c r="N29" s="745"/>
      <c r="O29" s="768" t="s">
        <v>630</v>
      </c>
      <c r="P29" s="769"/>
      <c r="Q29" s="770"/>
      <c r="R29" s="245"/>
      <c r="S29" s="245"/>
    </row>
    <row r="30" spans="1:22" ht="20.25" customHeight="1">
      <c r="A30" s="722"/>
      <c r="B30" s="744"/>
      <c r="C30" s="771" t="s">
        <v>455</v>
      </c>
      <c r="D30" s="744"/>
      <c r="E30" s="744" t="str">
        <f>IF(VLOOKUP(Q4,Danhsach,29,0)="",".......................................................................................",VLOOKUP(Q4,Danhsach,29,0))</f>
        <v>.......................................................................................</v>
      </c>
      <c r="F30" s="744"/>
      <c r="G30" s="744"/>
      <c r="H30" s="744"/>
      <c r="I30" s="744"/>
      <c r="J30" s="744"/>
      <c r="K30" s="744"/>
      <c r="L30" s="744"/>
      <c r="M30" s="744"/>
      <c r="N30" s="744"/>
      <c r="O30" s="768" t="s">
        <v>631</v>
      </c>
      <c r="P30" s="769"/>
      <c r="Q30" s="770"/>
      <c r="R30" s="245"/>
      <c r="S30" s="245"/>
    </row>
    <row r="31" spans="1:22" ht="20.25" customHeight="1">
      <c r="A31" s="722"/>
      <c r="B31" s="744"/>
      <c r="C31" s="747" t="str">
        <f>IF($E$30=".......................................................................................","Số CMND: .........................................................",IF(VLOOKUP($E$30,DSNNT,2,0)="","Số CMND: .........................................................","Số CMND: "&amp;VLOOKUP($E$30,DSNNT,2,0)))</f>
        <v>Số CMND: .........................................................</v>
      </c>
      <c r="D31" s="745"/>
      <c r="E31" s="745"/>
      <c r="F31" s="772" t="s">
        <v>633</v>
      </c>
      <c r="G31" s="939" t="str">
        <f>IF($E$30=".......................................................................................",".......................",IF(VLOOKUP($E$30,DSNNT,3,0)="",".......................",VLOOKUP($E$30,DSNNT,3,0)))</f>
        <v>.......................</v>
      </c>
      <c r="H31" s="939"/>
      <c r="I31" s="747" t="str">
        <f>IF($E$30=".......................................................................................","Nơi cấp:......................................",IF(VLOOKUP($E$30,DSNNT,4,0)="","Nơi cấp:......................................","Nơi cấp: "&amp;VLOOKUP($E$30,DSNNT,4,0)))</f>
        <v>Nơi cấp:......................................</v>
      </c>
      <c r="J31" s="744"/>
      <c r="K31" s="744"/>
      <c r="L31" s="744"/>
      <c r="M31" s="744"/>
      <c r="N31" s="745"/>
      <c r="O31" s="768" t="s">
        <v>630</v>
      </c>
      <c r="P31" s="769"/>
      <c r="Q31" s="770"/>
      <c r="R31" s="245"/>
      <c r="S31" s="245"/>
    </row>
    <row r="32" spans="1:22" ht="17.25" customHeight="1">
      <c r="A32" s="722"/>
      <c r="B32" s="744"/>
      <c r="C32" s="747"/>
      <c r="D32" s="745"/>
      <c r="E32" s="745"/>
      <c r="F32" s="772"/>
      <c r="G32" s="772"/>
      <c r="H32" s="899"/>
      <c r="I32" s="899"/>
      <c r="J32" s="899"/>
      <c r="K32" s="773"/>
      <c r="L32" s="747"/>
      <c r="M32" s="747"/>
      <c r="N32" s="745"/>
      <c r="O32" s="774" t="s">
        <v>632</v>
      </c>
      <c r="P32" s="769"/>
      <c r="Q32" s="770"/>
      <c r="R32" s="245"/>
      <c r="S32" s="245"/>
    </row>
    <row r="33" spans="1:19" ht="9" customHeight="1">
      <c r="A33" s="722"/>
      <c r="B33" s="744"/>
      <c r="C33" s="775"/>
      <c r="D33" s="775"/>
      <c r="E33" s="775"/>
      <c r="F33" s="775"/>
      <c r="G33" s="775"/>
      <c r="H33" s="775"/>
      <c r="I33" s="775"/>
      <c r="J33" s="775"/>
      <c r="K33" s="775"/>
      <c r="L33" s="775"/>
      <c r="M33" s="775"/>
      <c r="N33" s="775"/>
      <c r="O33" s="776"/>
      <c r="P33" s="777"/>
      <c r="Q33" s="778"/>
      <c r="R33" s="246"/>
      <c r="S33" s="246"/>
    </row>
    <row r="34" spans="1:19" s="231" customFormat="1" ht="20.25" customHeight="1">
      <c r="A34" s="741"/>
      <c r="B34" s="748"/>
      <c r="C34" s="884" t="s">
        <v>120</v>
      </c>
      <c r="D34" s="884"/>
      <c r="E34" s="884"/>
      <c r="F34" s="884"/>
      <c r="G34" s="884"/>
      <c r="H34" s="884"/>
      <c r="I34" s="886" t="s">
        <v>91</v>
      </c>
      <c r="J34" s="886"/>
      <c r="K34" s="886"/>
      <c r="L34" s="886"/>
      <c r="M34" s="886"/>
      <c r="N34" s="886"/>
      <c r="O34" s="886"/>
      <c r="P34" s="886"/>
      <c r="Q34" s="886"/>
      <c r="R34" s="247"/>
      <c r="S34" s="247"/>
    </row>
    <row r="35" spans="1:19" ht="18" customHeight="1">
      <c r="A35" s="722"/>
      <c r="B35" s="744"/>
      <c r="C35" s="885" t="str">
        <f ca="1">"Ngày       tháng       năm "&amp;YEAR(Menu!D4)</f>
        <v>Ngày       tháng       năm 2018</v>
      </c>
      <c r="D35" s="885"/>
      <c r="E35" s="885"/>
      <c r="F35" s="885"/>
      <c r="G35" s="885"/>
      <c r="H35" s="885"/>
      <c r="I35" s="885" t="str">
        <f>"Ngày "&amp;IF(DAY(VLOOKUP(Q4,Danhsach,2,0))&lt;10,"0"&amp;DAY(VLOOKUP(Q4,Danhsach,2,0)),DAY(VLOOKUP(Q4,Danhsach,2,0)))&amp;" tháng "&amp;IF(MONTH(VLOOKUP(Q4,Danhsach,2,0))&lt;=2,"0"&amp;MONTH(VLOOKUP(Q4,Danhsach,2,0)),MONTH(VLOOKUP(Q4,Danhsach,2,0)))&amp;" năm "&amp;YEAR(VLOOKUP(Q4,Danhsach,2,0))</f>
        <v>Ngày 24 tháng 6 năm 2017</v>
      </c>
      <c r="J35" s="885"/>
      <c r="K35" s="885"/>
      <c r="L35" s="885"/>
      <c r="M35" s="885"/>
      <c r="N35" s="885"/>
      <c r="O35" s="885"/>
      <c r="P35" s="885"/>
      <c r="Q35" s="885"/>
      <c r="R35" s="234"/>
      <c r="S35" s="234"/>
    </row>
    <row r="36" spans="1:19" s="231" customFormat="1" ht="18" customHeight="1">
      <c r="A36" s="741"/>
      <c r="B36" s="748"/>
      <c r="C36" s="933" t="s">
        <v>121</v>
      </c>
      <c r="D36" s="933"/>
      <c r="E36" s="779"/>
      <c r="F36" s="884" t="s">
        <v>122</v>
      </c>
      <c r="G36" s="884"/>
      <c r="H36" s="742"/>
      <c r="I36" s="868" t="s">
        <v>92</v>
      </c>
      <c r="J36" s="868"/>
      <c r="K36" s="868"/>
      <c r="L36" s="868"/>
      <c r="M36" s="868"/>
      <c r="N36" s="868" t="s">
        <v>93</v>
      </c>
      <c r="O36" s="868"/>
      <c r="P36" s="868"/>
      <c r="Q36" s="868"/>
      <c r="R36" s="247"/>
      <c r="S36" s="247"/>
    </row>
    <row r="37" spans="1:19" ht="18" customHeight="1">
      <c r="A37" s="722"/>
      <c r="B37" s="744"/>
      <c r="C37" s="745"/>
      <c r="D37" s="745"/>
      <c r="E37" s="745"/>
      <c r="F37" s="745"/>
      <c r="G37" s="745"/>
      <c r="H37" s="780"/>
      <c r="I37" s="780"/>
      <c r="J37" s="744"/>
      <c r="K37" s="744"/>
      <c r="L37" s="744"/>
      <c r="M37" s="744"/>
      <c r="N37" s="781"/>
      <c r="O37" s="744"/>
      <c r="P37" s="744"/>
      <c r="Q37" s="744"/>
    </row>
    <row r="38" spans="1:19" ht="24" customHeight="1">
      <c r="A38" s="722"/>
      <c r="B38" s="744"/>
      <c r="C38" s="745"/>
      <c r="D38" s="745"/>
      <c r="E38" s="745"/>
      <c r="F38" s="745"/>
      <c r="G38" s="745"/>
      <c r="H38" s="780"/>
      <c r="I38" s="780"/>
      <c r="J38" s="744"/>
      <c r="K38" s="744"/>
      <c r="L38" s="744"/>
      <c r="M38" s="744"/>
      <c r="N38" s="781"/>
      <c r="O38" s="744"/>
      <c r="P38" s="744"/>
      <c r="Q38" s="744"/>
    </row>
    <row r="39" spans="1:19" ht="21" customHeight="1">
      <c r="A39" s="722"/>
      <c r="B39" s="744"/>
      <c r="C39" s="745"/>
      <c r="D39" s="745"/>
      <c r="E39" s="745"/>
      <c r="F39" s="745"/>
      <c r="G39" s="745"/>
      <c r="H39" s="780"/>
      <c r="I39" s="780"/>
      <c r="J39" s="744"/>
      <c r="K39" s="744"/>
      <c r="L39" s="744"/>
      <c r="M39" s="744"/>
      <c r="N39" s="781"/>
      <c r="O39" s="744"/>
      <c r="P39" s="744"/>
      <c r="Q39" s="744"/>
    </row>
    <row r="40" spans="1:19" s="231" customFormat="1" ht="19.5" customHeight="1">
      <c r="A40" s="741"/>
      <c r="B40" s="748"/>
      <c r="C40" s="782"/>
      <c r="D40" s="782"/>
      <c r="E40" s="782"/>
      <c r="F40" s="782"/>
      <c r="G40" s="782"/>
      <c r="H40" s="783"/>
      <c r="I40" s="867"/>
      <c r="J40" s="867"/>
      <c r="K40" s="867"/>
      <c r="L40" s="867"/>
      <c r="M40" s="867"/>
      <c r="N40" s="867"/>
      <c r="O40" s="867"/>
      <c r="P40" s="867"/>
      <c r="Q40" s="867"/>
    </row>
    <row r="41" spans="1:19" s="231" customFormat="1" ht="14.25" customHeight="1">
      <c r="A41" s="741"/>
      <c r="B41" s="748"/>
      <c r="C41" s="782"/>
      <c r="D41" s="782"/>
      <c r="E41" s="782"/>
      <c r="F41" s="782"/>
      <c r="G41" s="782"/>
      <c r="H41" s="784"/>
      <c r="I41" s="784"/>
      <c r="J41" s="784"/>
      <c r="K41" s="784"/>
      <c r="L41" s="784"/>
      <c r="M41" s="784"/>
      <c r="N41" s="784"/>
      <c r="O41" s="784"/>
      <c r="P41" s="784"/>
      <c r="Q41" s="784"/>
      <c r="R41" s="248"/>
      <c r="S41" s="248"/>
    </row>
    <row r="42" spans="1:19" s="231" customFormat="1" ht="20.25" customHeight="1">
      <c r="A42" s="741"/>
      <c r="B42" s="878" t="s">
        <v>123</v>
      </c>
      <c r="C42" s="878"/>
      <c r="D42" s="905"/>
      <c r="E42" s="877" t="s">
        <v>606</v>
      </c>
      <c r="F42" s="878"/>
      <c r="G42" s="878"/>
      <c r="H42" s="878"/>
      <c r="I42" s="878"/>
      <c r="J42" s="878"/>
      <c r="K42" s="878"/>
      <c r="L42" s="879" t="s">
        <v>607</v>
      </c>
      <c r="M42" s="880"/>
      <c r="N42" s="880"/>
      <c r="O42" s="880"/>
      <c r="P42" s="880"/>
      <c r="Q42" s="880"/>
    </row>
    <row r="43" spans="1:19" ht="15" customHeight="1">
      <c r="A43" s="722"/>
      <c r="B43" s="876" t="str">
        <f ca="1">"Ngày     tháng    năm "&amp;YEAR(Menu!D4)</f>
        <v>Ngày     tháng    năm 2018</v>
      </c>
      <c r="C43" s="876"/>
      <c r="D43" s="902"/>
      <c r="E43" s="875" t="str">
        <f ca="1">"Thanh toán ngày       tháng       năm "&amp;YEAR(Menu!D4)</f>
        <v>Thanh toán ngày       tháng       năm 2018</v>
      </c>
      <c r="F43" s="876"/>
      <c r="G43" s="876"/>
      <c r="H43" s="876"/>
      <c r="I43" s="876"/>
      <c r="J43" s="876"/>
      <c r="K43" s="876"/>
      <c r="L43" s="881" t="str">
        <f ca="1">"Ngày       tháng       năm "&amp;YEAR(Menu!D4)</f>
        <v>Ngày       tháng       năm 2018</v>
      </c>
      <c r="M43" s="882"/>
      <c r="N43" s="882"/>
      <c r="O43" s="882"/>
      <c r="P43" s="882"/>
      <c r="Q43" s="882"/>
    </row>
    <row r="44" spans="1:19" ht="19.5" customHeight="1">
      <c r="A44" s="722"/>
      <c r="B44" s="900" t="s">
        <v>354</v>
      </c>
      <c r="C44" s="900"/>
      <c r="D44" s="901"/>
      <c r="E44" s="873" t="s">
        <v>636</v>
      </c>
      <c r="F44" s="874"/>
      <c r="G44" s="874"/>
      <c r="H44" s="874"/>
      <c r="I44" s="874"/>
      <c r="J44" s="874"/>
      <c r="K44" s="874"/>
      <c r="L44" s="869" t="s">
        <v>637</v>
      </c>
      <c r="M44" s="867"/>
      <c r="N44" s="867"/>
      <c r="O44" s="867"/>
      <c r="P44" s="867"/>
      <c r="Q44" s="867"/>
    </row>
    <row r="45" spans="1:19" ht="33" customHeight="1">
      <c r="A45" s="722"/>
      <c r="B45" s="769"/>
      <c r="C45" s="785"/>
      <c r="D45" s="786"/>
      <c r="E45" s="787"/>
      <c r="F45" s="785"/>
      <c r="G45" s="785"/>
      <c r="H45" s="788"/>
      <c r="I45" s="788"/>
      <c r="J45" s="788"/>
      <c r="K45" s="788"/>
      <c r="L45" s="789"/>
      <c r="M45" s="788"/>
      <c r="N45" s="788"/>
      <c r="O45" s="790"/>
      <c r="P45" s="790"/>
      <c r="Q45" s="790"/>
    </row>
  </sheetData>
  <sheetProtection formatCells="0" formatColumns="0" formatRows="0"/>
  <mergeCells count="78">
    <mergeCell ref="C36:D36"/>
    <mergeCell ref="B24:Q24"/>
    <mergeCell ref="N21:O21"/>
    <mergeCell ref="B21:G21"/>
    <mergeCell ref="H21:I21"/>
    <mergeCell ref="J21:K21"/>
    <mergeCell ref="G31:H31"/>
    <mergeCell ref="B22:O22"/>
    <mergeCell ref="F36:G36"/>
    <mergeCell ref="C1:D2"/>
    <mergeCell ref="N19:O19"/>
    <mergeCell ref="N16:O16"/>
    <mergeCell ref="N17:O17"/>
    <mergeCell ref="N18:O18"/>
    <mergeCell ref="B13:G14"/>
    <mergeCell ref="B15:G15"/>
    <mergeCell ref="F2:M2"/>
    <mergeCell ref="N1:Q2"/>
    <mergeCell ref="P14:Q14"/>
    <mergeCell ref="P15:Q15"/>
    <mergeCell ref="N13:O14"/>
    <mergeCell ref="N15:O15"/>
    <mergeCell ref="J13:K14"/>
    <mergeCell ref="J15:K15"/>
    <mergeCell ref="H13:I14"/>
    <mergeCell ref="P16:Q16"/>
    <mergeCell ref="L17:M17"/>
    <mergeCell ref="L18:M18"/>
    <mergeCell ref="H32:J32"/>
    <mergeCell ref="B44:D44"/>
    <mergeCell ref="L19:M19"/>
    <mergeCell ref="L20:M20"/>
    <mergeCell ref="L21:M21"/>
    <mergeCell ref="P17:Q17"/>
    <mergeCell ref="P18:Q18"/>
    <mergeCell ref="P19:Q19"/>
    <mergeCell ref="P20:Q20"/>
    <mergeCell ref="B43:D43"/>
    <mergeCell ref="P22:Q22"/>
    <mergeCell ref="B42:D42"/>
    <mergeCell ref="P21:Q21"/>
    <mergeCell ref="H15:I15"/>
    <mergeCell ref="H17:I17"/>
    <mergeCell ref="H18:I18"/>
    <mergeCell ref="H19:I19"/>
    <mergeCell ref="H20:I20"/>
    <mergeCell ref="B16:G16"/>
    <mergeCell ref="B17:G17"/>
    <mergeCell ref="B18:G18"/>
    <mergeCell ref="B19:G19"/>
    <mergeCell ref="B20:G20"/>
    <mergeCell ref="O4:P4"/>
    <mergeCell ref="O5:P5"/>
    <mergeCell ref="C34:H34"/>
    <mergeCell ref="C35:H35"/>
    <mergeCell ref="I34:Q34"/>
    <mergeCell ref="I35:Q35"/>
    <mergeCell ref="N20:O20"/>
    <mergeCell ref="L14:M14"/>
    <mergeCell ref="L15:M15"/>
    <mergeCell ref="L16:M16"/>
    <mergeCell ref="J16:K16"/>
    <mergeCell ref="J17:K17"/>
    <mergeCell ref="J18:K18"/>
    <mergeCell ref="J19:K19"/>
    <mergeCell ref="J20:K20"/>
    <mergeCell ref="H16:I16"/>
    <mergeCell ref="I40:M40"/>
    <mergeCell ref="N36:Q36"/>
    <mergeCell ref="N40:Q40"/>
    <mergeCell ref="L44:Q44"/>
    <mergeCell ref="O25:Q25"/>
    <mergeCell ref="I36:M36"/>
    <mergeCell ref="E44:K44"/>
    <mergeCell ref="E43:K43"/>
    <mergeCell ref="E42:K42"/>
    <mergeCell ref="L42:Q42"/>
    <mergeCell ref="L43:Q43"/>
  </mergeCells>
  <printOptions horizontalCentered="1"/>
  <pageMargins left="0.2" right="0.19685039370078741" top="0.31496062992125984" bottom="0.27559055118110237" header="0.19685039370078741" footer="0.23622047244094491"/>
  <pageSetup paperSize="9" scale="96" orientation="portrait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50"/>
  </sheetPr>
  <dimension ref="A1:AO135"/>
  <sheetViews>
    <sheetView showZeros="0" tabSelected="1" zoomScaleNormal="100" workbookViewId="0">
      <pane xSplit="5" ySplit="9" topLeftCell="W10" activePane="bottomRight" state="frozen"/>
      <selection activeCell="E6" sqref="E6"/>
      <selection pane="topRight" activeCell="E6" sqref="E6"/>
      <selection pane="bottomLeft" activeCell="E6" sqref="E6"/>
      <selection pane="bottomRight" activeCell="H113" sqref="H113"/>
    </sheetView>
  </sheetViews>
  <sheetFormatPr defaultRowHeight="12.75"/>
  <cols>
    <col min="1" max="1" width="4.28515625" style="258" customWidth="1"/>
    <col min="2" max="2" width="9.5703125" style="270" customWidth="1"/>
    <col min="3" max="3" width="10.140625" style="258" customWidth="1"/>
    <col min="4" max="4" width="10" style="262" customWidth="1"/>
    <col min="5" max="5" width="52.42578125" style="258" customWidth="1"/>
    <col min="6" max="7" width="13.42578125" style="263" customWidth="1"/>
    <col min="8" max="10" width="13.42578125" style="264" customWidth="1"/>
    <col min="11" max="13" width="13.42578125" style="265" customWidth="1"/>
    <col min="14" max="15" width="13.42578125" style="264" customWidth="1"/>
    <col min="16" max="17" width="13.42578125" style="266" customWidth="1"/>
    <col min="18" max="19" width="13.42578125" style="264" customWidth="1"/>
    <col min="20" max="23" width="13.42578125" style="266" customWidth="1"/>
    <col min="24" max="24" width="15.5703125" style="266" customWidth="1"/>
    <col min="25" max="37" width="13.42578125" style="266" customWidth="1"/>
    <col min="38" max="38" width="13" style="266" customWidth="1"/>
    <col min="39" max="39" width="14.5703125" style="267" customWidth="1"/>
    <col min="40" max="40" width="14.140625" style="258" customWidth="1"/>
    <col min="41" max="41" width="9.140625" style="258" customWidth="1"/>
    <col min="42" max="42" width="9.140625" style="258"/>
    <col min="43" max="43" width="21.85546875" style="258" customWidth="1"/>
    <col min="44" max="16384" width="9.140625" style="258"/>
  </cols>
  <sheetData>
    <row r="1" spans="1:41" ht="26.25" customHeight="1">
      <c r="C1"/>
      <c r="E1" s="943" t="s">
        <v>598</v>
      </c>
      <c r="F1" s="943"/>
      <c r="G1" s="943"/>
      <c r="H1" s="943"/>
      <c r="I1" s="943"/>
      <c r="J1" s="943"/>
      <c r="K1" s="943"/>
      <c r="L1" s="943"/>
      <c r="M1" s="943"/>
      <c r="N1" s="943"/>
      <c r="O1" s="943"/>
      <c r="P1" s="943"/>
      <c r="Q1" s="943"/>
      <c r="R1" s="943"/>
      <c r="S1" s="943"/>
      <c r="T1" s="943"/>
      <c r="U1" s="943"/>
      <c r="V1" s="943"/>
      <c r="W1" s="943"/>
      <c r="X1" s="943"/>
      <c r="Y1" s="943"/>
      <c r="Z1" s="943"/>
      <c r="AA1" s="943"/>
      <c r="AB1" s="943"/>
      <c r="AC1" s="943"/>
      <c r="AD1" s="943"/>
      <c r="AE1" s="943"/>
      <c r="AF1" s="943"/>
      <c r="AG1" s="943"/>
      <c r="AH1" s="943"/>
      <c r="AI1" s="943"/>
      <c r="AJ1" s="943"/>
      <c r="AK1" s="943"/>
      <c r="AL1" s="943"/>
      <c r="AM1" s="943"/>
      <c r="AN1" s="943"/>
    </row>
    <row r="2" spans="1:41" s="250" customFormat="1" ht="3" customHeight="1">
      <c r="A2" s="249">
        <f>IF(MAX('Nhap lieu'!H9:H200)=0,"",MAX('Nhap lieu'!H9:H200))</f>
        <v>1</v>
      </c>
      <c r="B2" s="268"/>
      <c r="C2" s="268"/>
      <c r="D2"/>
      <c r="E2" s="943"/>
      <c r="F2" s="943"/>
      <c r="G2" s="943"/>
      <c r="H2" s="943"/>
      <c r="I2" s="943"/>
      <c r="J2" s="943"/>
      <c r="K2" s="943"/>
      <c r="L2" s="943"/>
      <c r="M2" s="943"/>
      <c r="N2" s="943"/>
      <c r="O2" s="943"/>
      <c r="P2" s="943"/>
      <c r="Q2" s="943"/>
      <c r="R2" s="943"/>
      <c r="S2" s="943"/>
      <c r="T2" s="943"/>
      <c r="U2" s="943"/>
      <c r="V2" s="943"/>
      <c r="W2" s="943"/>
      <c r="X2" s="943"/>
      <c r="Y2" s="943"/>
      <c r="Z2" s="943"/>
      <c r="AA2" s="943"/>
      <c r="AB2" s="943"/>
      <c r="AC2" s="943"/>
      <c r="AD2" s="943"/>
      <c r="AE2" s="943"/>
      <c r="AF2" s="943"/>
      <c r="AG2" s="943"/>
      <c r="AH2" s="943"/>
      <c r="AI2" s="943"/>
      <c r="AJ2" s="943"/>
      <c r="AK2" s="943"/>
      <c r="AL2" s="943"/>
      <c r="AM2" s="943"/>
      <c r="AN2" s="943"/>
    </row>
    <row r="3" spans="1:41" s="250" customFormat="1" ht="19.5" customHeight="1">
      <c r="A3" s="546">
        <v>223</v>
      </c>
      <c r="B3" s="269"/>
      <c r="C3" s="269"/>
      <c r="D3" s="269"/>
      <c r="E3" s="706" t="str">
        <f>"Nguồn: "&amp;IF(Matonghop="","",IF(ISNA(VLOOKUP(Matonghop,Manguon,1,0)),"",VLOOKUP(Matonghop,Manguon,2,0)))&amp;IF(Matonghop="","   Năm ……………",IF(ISNA(VLOOKUP(Matonghop,Manguon,1,0)),"   Năm ……………"," năm "&amp;YEAR(MAX(D10:D99))))</f>
        <v>Nguồn: Sự nghiệp giao thông năm 2017</v>
      </c>
      <c r="F3" s="706"/>
      <c r="G3" s="706"/>
      <c r="H3" s="706"/>
      <c r="I3" s="706"/>
      <c r="J3" s="706"/>
      <c r="K3" s="706"/>
      <c r="L3" s="706"/>
      <c r="M3" s="706"/>
      <c r="N3" s="706"/>
      <c r="O3" s="706"/>
      <c r="P3" s="706"/>
      <c r="Q3" s="706"/>
      <c r="R3" s="706"/>
      <c r="S3" s="706"/>
      <c r="T3" s="706"/>
      <c r="U3" s="706"/>
      <c r="V3" s="706"/>
      <c r="W3" s="706"/>
      <c r="X3" s="706"/>
      <c r="Y3" s="706"/>
      <c r="Z3" s="706"/>
      <c r="AA3" s="706"/>
      <c r="AB3" s="706"/>
      <c r="AC3" s="706"/>
      <c r="AD3" s="706"/>
      <c r="AE3" s="706"/>
      <c r="AF3" s="706"/>
      <c r="AG3" s="706"/>
      <c r="AH3" s="706"/>
      <c r="AI3" s="706"/>
      <c r="AJ3" s="706"/>
      <c r="AK3" s="706"/>
      <c r="AL3" s="706"/>
      <c r="AM3" s="706"/>
      <c r="AN3" s="706"/>
    </row>
    <row r="4" spans="1:41" s="253" customFormat="1" ht="6" customHeight="1"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4"/>
      <c r="T4" s="254"/>
      <c r="U4" s="254"/>
      <c r="V4" s="254"/>
      <c r="W4" s="254"/>
      <c r="X4" s="254"/>
      <c r="Y4" s="254"/>
      <c r="Z4" s="254"/>
      <c r="AA4" s="254"/>
      <c r="AB4" s="254"/>
      <c r="AC4" s="254"/>
      <c r="AD4" s="254"/>
      <c r="AE4" s="254"/>
      <c r="AF4" s="254"/>
      <c r="AG4" s="254"/>
      <c r="AH4" s="254"/>
      <c r="AI4" s="254"/>
      <c r="AJ4" s="254"/>
      <c r="AK4" s="254"/>
      <c r="AL4" s="254"/>
      <c r="AM4" s="254"/>
      <c r="AN4" s="252" t="e">
        <f>IF(MAX('Nhap lieu'!#REF!)=0,"",MAX('Nhap lieu'!#REF!))</f>
        <v>#REF!</v>
      </c>
    </row>
    <row r="5" spans="1:41" ht="15.75" customHeight="1">
      <c r="A5" s="107" t="str">
        <f>"Chi tiết phát sinh từ ngày "&amp;IF(A2="","… tháng … năm … … đến ngày … tháng … năm … … ",DAY(MIN(D10:D99))&amp;" tháng "&amp;MONTH(MIN(D10:D99))&amp;" năm "&amp;YEAR(MIN(D10:D99)))&amp;" đến ngày "&amp;DAY(MAX(D10:D99))&amp;" tháng "&amp;MONTH(MAX(D10:D99))&amp;" năm "&amp;YEAR(MAX(D10:D99))</f>
        <v>Chi tiết phát sinh từ ngày 29 tháng 6 năm 2017 đến ngày 29 tháng 6 năm 2017</v>
      </c>
      <c r="B5" s="107"/>
      <c r="C5" s="107"/>
      <c r="D5" s="107"/>
      <c r="E5" s="107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O5" s="721"/>
    </row>
    <row r="6" spans="1:41" s="8" customFormat="1" ht="16.5" customHeight="1">
      <c r="A6" s="947" t="s">
        <v>96</v>
      </c>
      <c r="B6" s="949" t="s">
        <v>1</v>
      </c>
      <c r="C6" s="950"/>
      <c r="D6" s="951"/>
      <c r="E6" s="947" t="s">
        <v>2</v>
      </c>
      <c r="F6" s="944" t="s">
        <v>17</v>
      </c>
      <c r="G6" s="945"/>
      <c r="H6" s="945"/>
      <c r="I6" s="945"/>
      <c r="J6" s="945"/>
      <c r="K6" s="945"/>
      <c r="L6" s="945"/>
      <c r="M6" s="945"/>
      <c r="N6" s="945"/>
      <c r="O6" s="945"/>
      <c r="P6" s="945"/>
      <c r="Q6" s="945"/>
      <c r="R6" s="945"/>
      <c r="S6" s="945"/>
      <c r="T6" s="945"/>
      <c r="U6" s="945"/>
      <c r="V6" s="945"/>
      <c r="W6" s="945"/>
      <c r="X6" s="945"/>
      <c r="Y6" s="945"/>
      <c r="Z6" s="945"/>
      <c r="AA6" s="945"/>
      <c r="AB6" s="945"/>
      <c r="AC6" s="945"/>
      <c r="AD6" s="945"/>
      <c r="AE6" s="945"/>
      <c r="AF6" s="945"/>
      <c r="AG6" s="945"/>
      <c r="AH6" s="945"/>
      <c r="AI6" s="945"/>
      <c r="AJ6" s="945"/>
      <c r="AK6" s="945"/>
      <c r="AL6" s="945"/>
      <c r="AM6" s="946"/>
      <c r="AN6" s="947" t="s">
        <v>27</v>
      </c>
    </row>
    <row r="7" spans="1:41" s="8" customFormat="1" ht="16.5" customHeight="1">
      <c r="A7" s="948"/>
      <c r="B7" s="9" t="s">
        <v>97</v>
      </c>
      <c r="C7" s="7" t="s">
        <v>23</v>
      </c>
      <c r="D7" s="10" t="s">
        <v>520</v>
      </c>
      <c r="E7" s="948"/>
      <c r="F7" s="115">
        <v>6106</v>
      </c>
      <c r="G7" s="115">
        <v>6125</v>
      </c>
      <c r="H7" s="115">
        <v>6149</v>
      </c>
      <c r="I7" s="115">
        <v>6501</v>
      </c>
      <c r="J7" s="115">
        <v>6503</v>
      </c>
      <c r="K7" s="115">
        <v>6552</v>
      </c>
      <c r="L7" s="115">
        <v>6606</v>
      </c>
      <c r="M7" s="115">
        <v>6651</v>
      </c>
      <c r="N7" s="115">
        <v>6652</v>
      </c>
      <c r="O7" s="115">
        <v>6655</v>
      </c>
      <c r="P7" s="115">
        <v>6658</v>
      </c>
      <c r="Q7" s="115">
        <v>6699</v>
      </c>
      <c r="R7" s="115">
        <v>6701</v>
      </c>
      <c r="S7" s="115">
        <v>6702</v>
      </c>
      <c r="T7" s="115">
        <v>6703</v>
      </c>
      <c r="U7" s="115">
        <v>6749</v>
      </c>
      <c r="V7" s="115">
        <v>6751</v>
      </c>
      <c r="W7" s="115">
        <v>6799</v>
      </c>
      <c r="X7" s="115">
        <v>6922</v>
      </c>
      <c r="Y7" s="115">
        <v>6949</v>
      </c>
      <c r="Z7" s="115">
        <v>7001</v>
      </c>
      <c r="AA7" s="115">
        <v>7003</v>
      </c>
      <c r="AB7" s="115">
        <v>7012</v>
      </c>
      <c r="AC7" s="115">
        <v>7017</v>
      </c>
      <c r="AD7" s="115">
        <v>7049</v>
      </c>
      <c r="AE7" s="115">
        <v>7752</v>
      </c>
      <c r="AF7" s="115">
        <v>7758</v>
      </c>
      <c r="AG7" s="115">
        <v>7761</v>
      </c>
      <c r="AH7" s="115">
        <v>7799</v>
      </c>
      <c r="AI7" s="115">
        <v>8151</v>
      </c>
      <c r="AJ7" s="115">
        <v>8152</v>
      </c>
      <c r="AK7" s="115">
        <v>8153</v>
      </c>
      <c r="AL7" s="115">
        <v>8199</v>
      </c>
      <c r="AM7" s="544" t="s">
        <v>6</v>
      </c>
      <c r="AN7" s="948"/>
    </row>
    <row r="8" spans="1:41" s="17" customFormat="1" ht="18.75">
      <c r="A8" s="11"/>
      <c r="B8" s="12">
        <f>A3</f>
        <v>223</v>
      </c>
      <c r="C8" s="13"/>
      <c r="D8" s="14"/>
      <c r="E8" s="15" t="s">
        <v>94</v>
      </c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6">
        <f>IF(A3="","",VLOOKUP(A3,Manguon,3,0))</f>
        <v>11194000</v>
      </c>
    </row>
    <row r="9" spans="1:41" s="17" customFormat="1" ht="18.75">
      <c r="A9" s="11"/>
      <c r="B9" s="12">
        <f>A3</f>
        <v>223</v>
      </c>
      <c r="C9" s="13"/>
      <c r="D9" s="14"/>
      <c r="E9" s="15" t="s">
        <v>95</v>
      </c>
      <c r="F9" s="545">
        <f>SUM(F10:F110)</f>
        <v>0</v>
      </c>
      <c r="G9" s="545">
        <f t="shared" ref="G9:AM9" si="0">SUM(G10:G110)</f>
        <v>0</v>
      </c>
      <c r="H9" s="545">
        <f t="shared" si="0"/>
        <v>0</v>
      </c>
      <c r="I9" s="545">
        <f t="shared" si="0"/>
        <v>5000000</v>
      </c>
      <c r="J9" s="545">
        <f t="shared" si="0"/>
        <v>0</v>
      </c>
      <c r="K9" s="545">
        <f t="shared" si="0"/>
        <v>0</v>
      </c>
      <c r="L9" s="545">
        <f t="shared" si="0"/>
        <v>0</v>
      </c>
      <c r="M9" s="545">
        <f t="shared" si="0"/>
        <v>0</v>
      </c>
      <c r="N9" s="545">
        <f t="shared" si="0"/>
        <v>0</v>
      </c>
      <c r="O9" s="545">
        <f t="shared" si="0"/>
        <v>0</v>
      </c>
      <c r="P9" s="545">
        <f t="shared" si="0"/>
        <v>0</v>
      </c>
      <c r="Q9" s="545">
        <f t="shared" si="0"/>
        <v>0</v>
      </c>
      <c r="R9" s="545">
        <f t="shared" si="0"/>
        <v>0</v>
      </c>
      <c r="S9" s="545">
        <f t="shared" si="0"/>
        <v>0</v>
      </c>
      <c r="T9" s="545">
        <f t="shared" si="0"/>
        <v>0</v>
      </c>
      <c r="U9" s="545">
        <f t="shared" si="0"/>
        <v>0</v>
      </c>
      <c r="V9" s="545">
        <f t="shared" si="0"/>
        <v>0</v>
      </c>
      <c r="W9" s="545">
        <f t="shared" si="0"/>
        <v>0</v>
      </c>
      <c r="X9" s="545">
        <f>SUM(X10:X110)</f>
        <v>0</v>
      </c>
      <c r="Y9" s="545">
        <f t="shared" si="0"/>
        <v>0</v>
      </c>
      <c r="Z9" s="545">
        <f t="shared" si="0"/>
        <v>0</v>
      </c>
      <c r="AA9" s="545">
        <f t="shared" si="0"/>
        <v>0</v>
      </c>
      <c r="AB9" s="545">
        <f t="shared" si="0"/>
        <v>0</v>
      </c>
      <c r="AC9" s="545">
        <f t="shared" si="0"/>
        <v>0</v>
      </c>
      <c r="AD9" s="545">
        <f t="shared" si="0"/>
        <v>0</v>
      </c>
      <c r="AE9" s="545">
        <f t="shared" si="0"/>
        <v>0</v>
      </c>
      <c r="AF9" s="545">
        <f t="shared" si="0"/>
        <v>0</v>
      </c>
      <c r="AG9" s="545">
        <f t="shared" si="0"/>
        <v>0</v>
      </c>
      <c r="AH9" s="545">
        <f t="shared" si="0"/>
        <v>0</v>
      </c>
      <c r="AI9" s="545">
        <f t="shared" si="0"/>
        <v>0</v>
      </c>
      <c r="AJ9" s="545">
        <f t="shared" si="0"/>
        <v>0</v>
      </c>
      <c r="AK9" s="545">
        <f t="shared" si="0"/>
        <v>0</v>
      </c>
      <c r="AL9" s="545">
        <f t="shared" si="0"/>
        <v>0</v>
      </c>
      <c r="AM9" s="545">
        <f t="shared" si="0"/>
        <v>5000000</v>
      </c>
      <c r="AN9" s="98">
        <f>AN8-AM9</f>
        <v>6194000</v>
      </c>
    </row>
    <row r="10" spans="1:41" s="111" customFormat="1" ht="60">
      <c r="A10" s="19">
        <f>IF($A$2="","",IF(MAX($A$9:A9)+1&gt;$A$2,"",MAX($A$9:A9)+1))</f>
        <v>1</v>
      </c>
      <c r="B10" s="18">
        <f t="shared" ref="B10:B41" si="1">IF(A10="","",IF(VLOOKUP(A10,Bangke,3,0)="","",VLOOKUP(A10,Bangke,3,0)))</f>
        <v>223</v>
      </c>
      <c r="C10" s="19" t="str">
        <f t="shared" ref="C10:C41" si="2">IF(A10="","",IF(VLOOKUP(A10,Bangke,4,0)="","",VLOOKUP(A10,Bangke,4,0)))</f>
        <v>GRDT01</v>
      </c>
      <c r="D10" s="20">
        <f t="shared" ref="D10:D41" si="3">IF(A10="","",VLOOKUP(A10,Bangke,6,0))</f>
        <v>42915</v>
      </c>
      <c r="E10" s="77" t="str">
        <f t="shared" ref="E10:E41" si="4">IF(A10="","",VLOOKUP(A10,Bangke,8,0))</f>
        <v>Thanh toán kinh phí XL đường ĐH.95 Thụy Dân-Thụy Ninh; Thanh toán tiền thẩm định; Thanh toán tiền VPP; Thanh toán tiền giám sát - Đường ĐH.95 Thụy Dân - Thụy Ninh</v>
      </c>
      <c r="F10" s="138">
        <f t="shared" ref="F10:F73" si="5">IF($A10="","",(IF(VLOOKUP($A10,Bangke,9,0)=$F$7,VLOOKUP($A10,Bangke,11,0),IF(VLOOKUP($A10,Bangke,12,0)=$F$7,VLOOKUP($A10,Bangke,14,0),IF(VLOOKUP($A10,Bangke,15,0)=$F$7,VLOOKUP($A10,Bangke,17,0),IF(VLOOKUP($A10,Bangke,18,0)=$F$7,VLOOKUP($A10,Bangke,20,0),IF(VLOOKUP($A10,Bangke,21,0)=$F$7,VLOOKUP($A10,Bangke,23,0),IF(VLOOKUP($A10,Bangke,24,0)=$F$7,VLOOKUP($A10,Bangke,26,0),IF(VLOOKUP($A10,Bangke,27,0)=$F$7,VLOOKUP($A10,Bangke,29,0),0)))))))))</f>
        <v>0</v>
      </c>
      <c r="G10" s="138">
        <f t="shared" ref="G10:G73" si="6">IF($A10="","",(IF(VLOOKUP($A10,Bangke,9,0)=$G$7,VLOOKUP($A10,Bangke,11,0),IF(VLOOKUP($A10,Bangke,12,0)=$G$7,VLOOKUP($A10,Bangke,14,0),IF(VLOOKUP($A10,Bangke,15,0)=$G$7,VLOOKUP($A10,Bangke,17,0),IF(VLOOKUP($A10,Bangke,18,0)=$G$7,VLOOKUP($A10,Bangke,20,0),IF(VLOOKUP($A10,Bangke,21,0)=$G$7,VLOOKUP($A10,Bangke,23,0),IF(VLOOKUP($A10,Bangke,24,0)=$G$7,VLOOKUP($A10,Bangke,26,0),IF(VLOOKUP($A10,Bangke,27,0)=$G$7,VLOOKUP($A10,Bangke,29,0),0)))))))))</f>
        <v>0</v>
      </c>
      <c r="H10" s="138">
        <f t="shared" ref="H10:H73" si="7">IF($A10="","",(IF(VLOOKUP($A10,Bangke,9,0)=$H$7,VLOOKUP($A10,Bangke,11,0),IF(VLOOKUP($A10,Bangke,12,0)=$H$7,VLOOKUP($A10,Bangke,14,0),IF(VLOOKUP($A10,Bangke,15,0)=$H$7,VLOOKUP($A10,Bangke,17,0),IF(VLOOKUP($A10,Bangke,18,0)=$H$7,VLOOKUP($A10,Bangke,20,0),IF(VLOOKUP($A10,Bangke,21,0)=$H$7,VLOOKUP($A10,Bangke,23,0),IF(VLOOKUP($A10,Bangke,24,0)=$H$7,VLOOKUP($A10,Bangke,26,0),IF(VLOOKUP($A10,Bangke,27,0)=$H$7,VLOOKUP($A10,Bangke,29,0),0)))))))))</f>
        <v>0</v>
      </c>
      <c r="I10" s="138">
        <f t="shared" ref="I10:I73" si="8">IF($A10="","",(IF(VLOOKUP($A10,Bangke,9,0)=$I$7,VLOOKUP($A10,Bangke,11,0),IF(VLOOKUP($A10,Bangke,12,0)=$I$7,VLOOKUP($A10,Bangke,14,0),IF(VLOOKUP($A10,Bangke,15,0)=$I$7,VLOOKUP($A10,Bangke,17,0),IF(VLOOKUP($A10,Bangke,18,0)=$I$7,VLOOKUP($A10,Bangke,20,0),IF(VLOOKUP($A10,Bangke,21,0)=$I$7,VLOOKUP($A10,Bangke,23,0),IF(VLOOKUP($A10,Bangke,24,0)=$I$7,VLOOKUP($A10,Bangke,26,0),IF(VLOOKUP($A10,Bangke,27,0)=$I$7,VLOOKUP($A10,Bangke,29,0),0)))))))))</f>
        <v>5000000</v>
      </c>
      <c r="J10" s="138">
        <f t="shared" ref="J10:J73" si="9">IF($A10="","",(IF(VLOOKUP($A10,Bangke,9,0)=$J$7,VLOOKUP($A10,Bangke,11,0),IF(VLOOKUP($A10,Bangke,12,0)=$J$7,VLOOKUP($A10,Bangke,14,0),IF(VLOOKUP($A10,Bangke,15,0)=$J$7,VLOOKUP($A10,Bangke,17,0),IF(VLOOKUP($A10,Bangke,18,0)=$J$7,VLOOKUP($A10,Bangke,20,0),IF(VLOOKUP($A10,Bangke,21,0)=$J$7,VLOOKUP($A10,Bangke,23,0),IF(VLOOKUP($A10,Bangke,24,0)=$J$7,VLOOKUP($A10,Bangke,26,0),IF(VLOOKUP($A10,Bangke,27,0)=$J$7,VLOOKUP($A10,Bangke,29,0),0)))))))))</f>
        <v>0</v>
      </c>
      <c r="K10" s="138">
        <f t="shared" ref="K10:K73" si="10">IF($A10="","",(IF(VLOOKUP($A10,Bangke,9,0)=$K$7,VLOOKUP($A10,Bangke,11,0),IF(VLOOKUP($A10,Bangke,12,0)=$K$7,VLOOKUP($A10,Bangke,14,0),IF(VLOOKUP($A10,Bangke,15,0)=$K$7,VLOOKUP($A10,Bangke,17,0),IF(VLOOKUP($A10,Bangke,18,0)=$K$7,VLOOKUP($A10,Bangke,20,0),IF(VLOOKUP($A10,Bangke,21,0)=$K$7,VLOOKUP($A10,Bangke,23,0),IF(VLOOKUP($A10,Bangke,24,0)=$K$7,VLOOKUP($A10,Bangke,26,0),IF(VLOOKUP($A10,Bangke,27,0)=$K$7,VLOOKUP($A10,Bangke,29,0),0)))))))))</f>
        <v>0</v>
      </c>
      <c r="L10" s="138">
        <f t="shared" ref="L10:L73" si="11">IF($A10="","",(IF(VLOOKUP($A10,Bangke,9,0)=$L$7,VLOOKUP($A10,Bangke,11,0),IF(VLOOKUP($A10,Bangke,12,0)=$L$7,VLOOKUP($A10,Bangke,14,0),IF(VLOOKUP($A10,Bangke,15,0)=$L$7,VLOOKUP($A10,Bangke,17,0),IF(VLOOKUP($A10,Bangke,18,0)=$L$7,VLOOKUP($A10,Bangke,20,0),IF(VLOOKUP($A10,Bangke,21,0)=$L$7,VLOOKUP($A10,Bangke,23,0),IF(VLOOKUP($A10,Bangke,24,0)=$L$7,VLOOKUP($A10,Bangke,26,0),IF(VLOOKUP($A10,Bangke,27,0)=$L$7,VLOOKUP($A10,Bangke,29,0),0)))))))))</f>
        <v>0</v>
      </c>
      <c r="M10" s="138">
        <f t="shared" ref="M10:M73" si="12">IF($A10="","",(IF(VLOOKUP($A10,Bangke,9,0)=$M$7,VLOOKUP($A10,Bangke,11,0),IF(VLOOKUP($A10,Bangke,12,0)=$M$7,VLOOKUP($A10,Bangke,14,0),IF(VLOOKUP($A10,Bangke,15,0)=$M$7,VLOOKUP($A10,Bangke,17,0),IF(VLOOKUP($A10,Bangke,18,0)=$M$7,VLOOKUP($A10,Bangke,20,0),IF(VLOOKUP($A10,Bangke,21,0)=$M$7,VLOOKUP($A10,Bangke,23,0),IF(VLOOKUP($A10,Bangke,24,0)=$M$7,VLOOKUP($A10,Bangke,26,0),IF(VLOOKUP($A10,Bangke,27,0)=$M$7,VLOOKUP($A10,Bangke,29,0),0)))))))))</f>
        <v>0</v>
      </c>
      <c r="N10" s="138">
        <f t="shared" ref="N10:N73" si="13">IF($A10="","",(IF(VLOOKUP($A10,Bangke,9,0)=$N$7,VLOOKUP($A10,Bangke,11,0),IF(VLOOKUP($A10,Bangke,12,0)=$N$7,VLOOKUP($A10,Bangke,14,0),IF(VLOOKUP($A10,Bangke,15,0)=$N$7,VLOOKUP($A10,Bangke,17,0),IF(VLOOKUP($A10,Bangke,18,0)=$N$7,VLOOKUP($A10,Bangke,20,0),IF(VLOOKUP($A10,Bangke,21,0)=$N$7,VLOOKUP($A10,Bangke,23,0),IF(VLOOKUP($A10,Bangke,24,0)=$N$7,VLOOKUP($A10,Bangke,26,0),IF(VLOOKUP($A10,Bangke,27,0)=$N$7,VLOOKUP($A10,Bangke,29,0),0)))))))))</f>
        <v>0</v>
      </c>
      <c r="O10" s="138">
        <f t="shared" ref="O10:O73" si="14">IF($A10="","",(IF(VLOOKUP($A10,Bangke,9,0)=$O$7,VLOOKUP($A10,Bangke,11,0),IF(VLOOKUP($A10,Bangke,12,0)=$O$7,VLOOKUP($A10,Bangke,14,0),IF(VLOOKUP($A10,Bangke,15,0)=$O$7,VLOOKUP($A10,Bangke,17,0),IF(VLOOKUP($A10,Bangke,18,0)=$O$7,VLOOKUP($A10,Bangke,20,0),IF(VLOOKUP($A10,Bangke,21,0)=$O$7,VLOOKUP($A10,Bangke,23,0),IF(VLOOKUP($A10,Bangke,24,0)=$O$7,VLOOKUP($A10,Bangke,26,0),IF(VLOOKUP($A10,Bangke,27,0)=$O$7,VLOOKUP($A10,Bangke,29,0),0)))))))))</f>
        <v>0</v>
      </c>
      <c r="P10" s="138">
        <f t="shared" ref="P10:P73" si="15">IF($A10="","",(IF(VLOOKUP($A10,Bangke,9,0)=$P$7,VLOOKUP($A10,Bangke,11,0),IF(VLOOKUP($A10,Bangke,12,0)=$P$7,VLOOKUP($A10,Bangke,14,0),IF(VLOOKUP($A10,Bangke,15,0)=$P$7,VLOOKUP($A10,Bangke,17,0),IF(VLOOKUP($A10,Bangke,18,0)=$P$7,VLOOKUP($A10,Bangke,20,0),IF(VLOOKUP($A10,Bangke,21,0)=$P$7,VLOOKUP($A10,Bangke,23,0),IF(VLOOKUP($A10,Bangke,24,0)=$P$7,VLOOKUP($A10,Bangke,26,0),IF(VLOOKUP($A10,Bangke,27,0)=$P$7,VLOOKUP($A10,Bangke,29,0),0)))))))))</f>
        <v>0</v>
      </c>
      <c r="Q10" s="138">
        <f t="shared" ref="Q10:Q73" si="16">IF($A10="","",(IF(VLOOKUP($A10,Bangke,9,0)=$Q$7,VLOOKUP($A10,Bangke,11,0),IF(VLOOKUP($A10,Bangke,12,0)=$Q$7,VLOOKUP($A10,Bangke,14,0),IF(VLOOKUP($A10,Bangke,15,0)=$Q$7,VLOOKUP($A10,Bangke,17,0),IF(VLOOKUP($A10,Bangke,18,0)=$Q$7,VLOOKUP($A10,Bangke,20,0),IF(VLOOKUP($A10,Bangke,21,0)=$Q$7,VLOOKUP($A10,Bangke,23,0),IF(VLOOKUP($A10,Bangke,24,0)=$Q$7,VLOOKUP($A10,Bangke,26,0),IF(VLOOKUP($A10,Bangke,27,0)=$Q$7,VLOOKUP($A10,Bangke,29,0),0)))))))))</f>
        <v>0</v>
      </c>
      <c r="R10" s="138">
        <f t="shared" ref="R10:R73" si="17">IF($A10="","",(IF(VLOOKUP($A10,Bangke,9,0)=$R$7,VLOOKUP($A10,Bangke,11,0),IF(VLOOKUP($A10,Bangke,12,0)=$R$7,VLOOKUP($A10,Bangke,14,0),IF(VLOOKUP($A10,Bangke,15,0)=$R$7,VLOOKUP($A10,Bangke,17,0),IF(VLOOKUP($A10,Bangke,18,0)=$R$7,VLOOKUP($A10,Bangke,20,0),IF(VLOOKUP($A10,Bangke,21,0)=$R$7,VLOOKUP($A10,Bangke,23,0),IF(VLOOKUP($A10,Bangke,24,0)=$R$7,VLOOKUP($A10,Bangke,26,0),IF(VLOOKUP($A10,Bangke,27,0)=$R$7,VLOOKUP($A10,Bangke,29,0),0)))))))))</f>
        <v>0</v>
      </c>
      <c r="S10" s="138">
        <f t="shared" ref="S10:S73" si="18">IF($A10="","",(IF(VLOOKUP($A10,Bangke,9,0)=$S$7,VLOOKUP($A10,Bangke,11,0),IF(VLOOKUP($A10,Bangke,12,0)=$S$7,VLOOKUP($A10,Bangke,14,0),IF(VLOOKUP($A10,Bangke,15,0)=$S$7,VLOOKUP($A10,Bangke,17,0),IF(VLOOKUP($A10,Bangke,18,0)=$S$7,VLOOKUP($A10,Bangke,20,0),IF(VLOOKUP($A10,Bangke,21,0)=$S$7,VLOOKUP($A10,Bangke,23,0),IF(VLOOKUP($A10,Bangke,24,0)=$S$7,VLOOKUP($A10,Bangke,26,0),IF(VLOOKUP($A10,Bangke,27,0)=$S$7,VLOOKUP($A10,Bangke,29,0),0)))))))))</f>
        <v>0</v>
      </c>
      <c r="T10" s="138">
        <f t="shared" ref="T10:T73" si="19">IF($A10="","",(IF(VLOOKUP($A10,Bangke,9,0)=$T$7,VLOOKUP($A10,Bangke,11,0),IF(VLOOKUP($A10,Bangke,12,0)=$T$7,VLOOKUP($A10,Bangke,14,0),IF(VLOOKUP($A10,Bangke,15,0)=$T$7,VLOOKUP($A10,Bangke,17,0),IF(VLOOKUP($A10,Bangke,18,0)=$T$7,VLOOKUP($A10,Bangke,20,0),IF(VLOOKUP($A10,Bangke,21,0)=$T$7,VLOOKUP($A10,Bangke,23,0),IF(VLOOKUP($A10,Bangke,24,0)=$T$7,VLOOKUP($A10,Bangke,26,0),IF(VLOOKUP($A10,Bangke,27,0)=$T$7,VLOOKUP($A10,Bangke,29,0),0)))))))))</f>
        <v>0</v>
      </c>
      <c r="U10" s="138">
        <f t="shared" ref="U10:U73" si="20">IF($A10="","",(IF(VLOOKUP($A10,Bangke,9,0)=$U$7,VLOOKUP($A10,Bangke,11,0),IF(VLOOKUP($A10,Bangke,12,0)=$U$7,VLOOKUP($A10,Bangke,14,0),IF(VLOOKUP($A10,Bangke,15,0)=$U$7,VLOOKUP($A10,Bangke,17,0),IF(VLOOKUP($A10,Bangke,18,0)=$U$7,VLOOKUP($A10,Bangke,20,0),IF(VLOOKUP($A10,Bangke,21,0)=$U$7,VLOOKUP($A10,Bangke,23,0),IF(VLOOKUP($A10,Bangke,24,0)=$U$7,VLOOKUP($A10,Bangke,26,0),IF(VLOOKUP($A10,Bangke,27,0)=$U$7,VLOOKUP($A10,Bangke,29,0),0)))))))))</f>
        <v>0</v>
      </c>
      <c r="V10" s="138">
        <f t="shared" ref="V10:V73" si="21">IF($A10="","",(IF(VLOOKUP($A10,Bangke,9,0)=$V$7,VLOOKUP($A10,Bangke,11,0),IF(VLOOKUP($A10,Bangke,12,0)=$V$7,VLOOKUP($A10,Bangke,14,0),IF(VLOOKUP($A10,Bangke,15,0)=$V$7,VLOOKUP($A10,Bangke,17,0),IF(VLOOKUP($A10,Bangke,18,0)=$V$7,VLOOKUP($A10,Bangke,20,0),IF(VLOOKUP($A10,Bangke,21,0)=$V$7,VLOOKUP($A10,Bangke,23,0),IF(VLOOKUP($A10,Bangke,24,0)=$V$7,VLOOKUP($A10,Bangke,26,0),IF(VLOOKUP($A10,Bangke,27,0)=$V$7,VLOOKUP($A10,Bangke,29,0),0)))))))))</f>
        <v>0</v>
      </c>
      <c r="W10" s="138">
        <f t="shared" ref="W10:W73" si="22">IF($A10="","",(IF(VLOOKUP($A10,Bangke,9,0)=$W$7,VLOOKUP($A10,Bangke,11,0),IF(VLOOKUP($A10,Bangke,12,0)=$W$7,VLOOKUP($A10,Bangke,14,0),IF(VLOOKUP($A10,Bangke,15,0)=$W$7,VLOOKUP($A10,Bangke,17,0),IF(VLOOKUP($A10,Bangke,18,0)=$W$7,VLOOKUP($A10,Bangke,20,0),IF(VLOOKUP($A10,Bangke,21,0)=$W$7,VLOOKUP($A10,Bangke,23,0),IF(VLOOKUP($A10,Bangke,24,0)=$W$7,VLOOKUP($A10,Bangke,26,0),IF(VLOOKUP($A10,Bangke,27,0)=$W$7,VLOOKUP($A10,Bangke,29,0),0)))))))))</f>
        <v>0</v>
      </c>
      <c r="X10" s="138" t="b">
        <f>IF($A10="","",(IF(VLOOKUP($A10,Bangke,9,0)=$X$7,VLOOKUP($A10,Bangke,11,0)+IF(VLOOKUP($A10,Bangke,12,0)=$X$7,VLOOKUP($A10,Bangke,14,0)+IF(VLOOKUP($A10,Bangke,15,0)=$X$7,VLOOKUP($A10,Bangke,17,0)+IF(VLOOKUP($A10,Bangke,18,0)=$X$7,VLOOKUP($A10,Bangke,20,0)+IF(VLOOKUP($A10,Bangke,21,0)=$X$7,VLOOKUP($A10,Bangke,23,0)+IF(VLOOKUP($A10,Bangke,24,0)=$X$7,VLOOKUP($A10,Bangke,26,0)+IF(VLOOKUP($A10,Bangke,27,0)=$X$7,VLOOKUP($A10,Bangke,29,0),0)))))))))</f>
        <v>0</v>
      </c>
      <c r="Y10" s="138">
        <f t="shared" ref="Y10:Y73" si="23">IF($A10="","",(IF(VLOOKUP($A10,Bangke,9,0)=$Y$7,VLOOKUP($A10,Bangke,11,0),IF(VLOOKUP($A10,Bangke,12,0)=$Y$7,VLOOKUP($A10,Bangke,14,0),IF(VLOOKUP($A10,Bangke,15,0)=$Y$7,VLOOKUP($A10,Bangke,17,0),IF(VLOOKUP($A10,Bangke,18,0)=$Y$7,VLOOKUP($A10,Bangke,20,0),IF(VLOOKUP($A10,Bangke,21,0)=$Y$7,VLOOKUP($A10,Bangke,23,0),IF(VLOOKUP($A10,Bangke,24,0)=$Y$7,VLOOKUP($A10,Bangke,26,0),IF(VLOOKUP($A10,Bangke,27,0)=$Y$7,VLOOKUP($A10,Bangke,29,0),0)))))))))</f>
        <v>0</v>
      </c>
      <c r="Z10" s="138">
        <f t="shared" ref="Z10:Z73" si="24">IF($A10="","",(IF(VLOOKUP($A10,Bangke,9,0)=$Z$7,VLOOKUP($A10,Bangke,11,0),IF(VLOOKUP($A10,Bangke,12,0)=$Z$7,VLOOKUP($A10,Bangke,14,0),IF(VLOOKUP($A10,Bangke,15,0)=$Z$7,VLOOKUP($A10,Bangke,17,0),IF(VLOOKUP($A10,Bangke,18,0)=$Z$7,VLOOKUP($A10,Bangke,20,0),IF(VLOOKUP($A10,Bangke,21,0)=$Z$7,VLOOKUP($A10,Bangke,23,0),IF(VLOOKUP($A10,Bangke,24,0)=$Z$7,VLOOKUP($A10,Bangke,26,0),IF(VLOOKUP($A10,Bangke,27,0)=$Z$7,VLOOKUP($A10,Bangke,29,0),0)))))))))</f>
        <v>0</v>
      </c>
      <c r="AA10" s="138">
        <f t="shared" ref="AA10:AA73" si="25">IF($A10="","",(IF(VLOOKUP($A10,Bangke,9,0)=$AA$7,VLOOKUP($A10,Bangke,11,0),IF(VLOOKUP($A10,Bangke,12,0)=$AA$7,VLOOKUP($A10,Bangke,14,0),IF(VLOOKUP($A10,Bangke,15,0)=$AA$7,VLOOKUP($A10,Bangke,17,0),IF(VLOOKUP($A10,Bangke,18,0)=$AA$7,VLOOKUP($A10,Bangke,20,0),IF(VLOOKUP($A10,Bangke,21,0)=$AA$7,VLOOKUP($A10,Bangke,23,0),IF(VLOOKUP($A10,Bangke,24,0)=$AA$7,VLOOKUP($A10,Bangke,26,0),IF(VLOOKUP($A10,Bangke,27,0)=$AA$7,VLOOKUP($A10,Bangke,29,0),0)))))))))</f>
        <v>0</v>
      </c>
      <c r="AB10" s="138">
        <f t="shared" ref="AB10:AB73" si="26">IF($A10="","",(IF(VLOOKUP($A10,Bangke,9,0)=$AB$7,VLOOKUP($A10,Bangke,11,0),IF(VLOOKUP($A10,Bangke,12,0)=$AB$7,VLOOKUP($A10,Bangke,14,0),IF(VLOOKUP($A10,Bangke,15,0)=$AB$7,VLOOKUP($A10,Bangke,17,0),IF(VLOOKUP($A10,Bangke,18,0)=$AB$7,VLOOKUP($A10,Bangke,20,0),IF(VLOOKUP($A10,Bangke,21,0)=$AB$7,VLOOKUP($A10,Bangke,23,0),IF(VLOOKUP($A10,Bangke,24,0)=$AB$7,VLOOKUP($A10,Bangke,26,0),IF(VLOOKUP($A10,Bangke,27,0)=$AB$7,VLOOKUP($A10,Bangke,29,0),0)))))))))</f>
        <v>0</v>
      </c>
      <c r="AC10" s="138">
        <f t="shared" ref="AC10:AC73" si="27">IF($A10="","",(IF(VLOOKUP($A10,Bangke,9,0)=$AC$7,VLOOKUP($A10,Bangke,11,0),IF(VLOOKUP($A10,Bangke,12,0)=$AC$7,VLOOKUP($A10,Bangke,14,0),IF(VLOOKUP($A10,Bangke,15,0)=$AC$7,VLOOKUP($A10,Bangke,17,0),IF(VLOOKUP($A10,Bangke,18,0)=$AC$7,VLOOKUP($A10,Bangke,20,0),IF(VLOOKUP($A10,Bangke,21,0)=$AC$7,VLOOKUP($A10,Bangke,23,0),IF(VLOOKUP($A10,Bangke,24,0)=$AC$7,VLOOKUP($A10,Bangke,26,0),IF(VLOOKUP($A10,Bangke,27,0)=$AC$7,VLOOKUP($A10,Bangke,29,0),0)))))))))</f>
        <v>0</v>
      </c>
      <c r="AD10" s="138">
        <f t="shared" ref="AD10:AD73" si="28">IF($A10="","",(IF(VLOOKUP($A10,Bangke,9,0)=$AD$7,VLOOKUP($A10,Bangke,11,0),IF(VLOOKUP($A10,Bangke,12,0)=$AD$7,VLOOKUP($A10,Bangke,14,0),IF(VLOOKUP($A10,Bangke,15,0)=$AD$7,VLOOKUP($A10,Bangke,17,0),IF(VLOOKUP($A10,Bangke,18,0)=$AD$7,VLOOKUP($A10,Bangke,20,0),IF(VLOOKUP($A10,Bangke,21,0)=$AD$7,VLOOKUP($A10,Bangke,23,0),IF(VLOOKUP($A10,Bangke,24,0)=$AD$7,VLOOKUP($A10,Bangke,26,0),IF(VLOOKUP($A10,Bangke,27,0)=$AD$7,VLOOKUP($A10,Bangke,29,0),0)))))))))</f>
        <v>0</v>
      </c>
      <c r="AE10" s="138">
        <f t="shared" ref="AE10:AE73" si="29">IF($A10="","",(IF(VLOOKUP($A10,Bangke,9,0)=$AE$7,VLOOKUP($A10,Bangke,11,0),IF(VLOOKUP($A10,Bangke,12,0)=$AE$7,VLOOKUP($A10,Bangke,14,0),IF(VLOOKUP($A10,Bangke,15,0)=$AE$7,VLOOKUP($A10,Bangke,17,0),IF(VLOOKUP($A10,Bangke,18,0)=$AE$7,VLOOKUP($A10,Bangke,20,0),IF(VLOOKUP($A10,Bangke,21,0)=$AE$7,VLOOKUP($A10,Bangke,23,0),IF(VLOOKUP($A10,Bangke,24,0)=$AE$7,VLOOKUP($A10,Bangke,26,0),IF(VLOOKUP($A10,Bangke,27,0)=$AE$7,VLOOKUP($A10,Bangke,29,0),0)))))))))</f>
        <v>0</v>
      </c>
      <c r="AF10" s="138">
        <f t="shared" ref="AF10:AF73" si="30">IF($A10="","",(IF(VLOOKUP($A10,Bangke,9,0)=$AF$7,VLOOKUP($A10,Bangke,11,0),IF(VLOOKUP($A10,Bangke,12,0)=$AF$7,VLOOKUP($A10,Bangke,14,0),IF(VLOOKUP($A10,Bangke,15,0)=$AF$7,VLOOKUP($A10,Bangke,17,0),IF(VLOOKUP($A10,Bangke,18,0)=$AF$7,VLOOKUP($A10,Bangke,20,0),IF(VLOOKUP($A10,Bangke,21,0)=$AF$7,VLOOKUP($A10,Bangke,23,0),IF(VLOOKUP($A10,Bangke,24,0)=$AF$7,VLOOKUP($A10,Bangke,26,0),IF(VLOOKUP($A10,Bangke,27,0)=$AF$7,VLOOKUP($A10,Bangke,29,0),0)))))))))</f>
        <v>0</v>
      </c>
      <c r="AG10" s="138">
        <f t="shared" ref="AG10:AG73" si="31">IF($A10="","",(IF(VLOOKUP($A10,Bangke,9,0)=$AG$7,VLOOKUP($A10,Bangke,11,0),IF(VLOOKUP($A10,Bangke,12,0)=$AG$7,VLOOKUP($A10,Bangke,14,0),IF(VLOOKUP($A10,Bangke,15,0)=$AG$7,VLOOKUP($A10,Bangke,17,0),IF(VLOOKUP($A10,Bangke,18,0)=$AG$7,VLOOKUP($A10,Bangke,20,0),IF(VLOOKUP($A10,Bangke,21,0)=$AG$7,VLOOKUP($A10,Bangke,23,0),IF(VLOOKUP($A10,Bangke,24,0)=$AG$7,VLOOKUP($A10,Bangke,26,0),IF(VLOOKUP($A10,Bangke,27,0)=$AG$7,VLOOKUP($A10,Bangke,29,0),0)))))))))</f>
        <v>0</v>
      </c>
      <c r="AH10" s="138">
        <f t="shared" ref="AH10:AH73" si="32">IF($A10="","",(IF(VLOOKUP($A10,Bangke,9,0)=$AH$7,VLOOKUP($A10,Bangke,11,0),IF(VLOOKUP($A10,Bangke,12,0)=$AH$7,VLOOKUP($A10,Bangke,14,0),IF(VLOOKUP($A10,Bangke,15,0)=$AH$7,VLOOKUP($A10,Bangke,17,0),IF(VLOOKUP($A10,Bangke,18,0)=$AH$7,VLOOKUP($A10,Bangke,20,0),IF(VLOOKUP($A10,Bangke,21,0)=$AH$7,VLOOKUP($A10,Bangke,23,0),IF(VLOOKUP($A10,Bangke,24,0)=$AH$7,VLOOKUP($A10,Bangke,26,0),IF(VLOOKUP($A10,Bangke,27,0)=$AH$7,VLOOKUP($A10,Bangke,29,0),0)))))))))</f>
        <v>0</v>
      </c>
      <c r="AI10" s="138">
        <f t="shared" ref="AI10:AI73" si="33">IF($A10="","",(IF(VLOOKUP($A10,Bangke,9,0)=$AI$7,VLOOKUP($A10,Bangke,11,0),IF(VLOOKUP($A10,Bangke,12,0)=$AI$7,VLOOKUP($A10,Bangke,14,0),IF(VLOOKUP($A10,Bangke,15,0)=$AI$7,VLOOKUP($A10,Bangke,17,0),IF(VLOOKUP($A10,Bangke,18,0)=$AI$7,VLOOKUP($A10,Bangke,20,0),IF(VLOOKUP($A10,Bangke,21,0)=$AI$7,VLOOKUP($A10,Bangke,23,0),IF(VLOOKUP($A10,Bangke,24,0)=$AI$7,VLOOKUP($A10,Bangke,26,0),IF(VLOOKUP($A10,Bangke,27,0)=$AI$7,VLOOKUP($A10,Bangke,29,0),0)))))))))</f>
        <v>0</v>
      </c>
      <c r="AJ10" s="138">
        <f t="shared" ref="AJ10:AJ73" si="34">IF($A10="","",(IF(VLOOKUP($A10,Bangke,9,0)=$AJ$7,VLOOKUP($A10,Bangke,11,0),IF(VLOOKUP($A10,Bangke,12,0)=$AJ$7,VLOOKUP($A10,Bangke,14,0),IF(VLOOKUP($A10,Bangke,15,0)=$AJ$7,VLOOKUP($A10,Bangke,17,0),IF(VLOOKUP($A10,Bangke,18,0)=$AJ$7,VLOOKUP($A10,Bangke,20,0),IF(VLOOKUP($A10,Bangke,21,0)=$AJ$7,VLOOKUP($A10,Bangke,23,0),IF(VLOOKUP($A10,Bangke,24,0)=$AJ$7,VLOOKUP($A10,Bangke,26,0),IF(VLOOKUP($A10,Bangke,27,0)=$AJ$7,VLOOKUP($A10,Bangke,29,0),0)))))))))</f>
        <v>0</v>
      </c>
      <c r="AK10" s="138">
        <f t="shared" ref="AK10:AK73" si="35">IF($A10="","",(IF(VLOOKUP($A10,Bangke,9,0)=$AK$7,VLOOKUP($A10,Bangke,11,0),IF(VLOOKUP($A10,Bangke,12,0)=$AK$7,VLOOKUP($A10,Bangke,14,0),IF(VLOOKUP($A10,Bangke,15,0)=$AK$7,VLOOKUP($A10,Bangke,17,0),IF(VLOOKUP($A10,Bangke,18,0)=$AK$7,VLOOKUP($A10,Bangke,20,0),IF(VLOOKUP($A10,Bangke,21,0)=$AK$7,VLOOKUP($A10,Bangke,23,0),IF(VLOOKUP($A10,Bangke,24,0)=$AK$7,VLOOKUP($A10,Bangke,26,0),IF(VLOOKUP($A10,Bangke,27,0)=$AK$7,VLOOKUP($A10,Bangke,29,0),0)))))))))</f>
        <v>0</v>
      </c>
      <c r="AL10" s="138">
        <f t="shared" ref="AL10:AL73" si="36">IF($A10="","",(IF(VLOOKUP($A10,Bangke,9,0)=$AL$7,VLOOKUP($A10,Bangke,11,0),IF(VLOOKUP($A10,Bangke,12,0)=$AL$7,VLOOKUP($A10,Bangke,14,0),IF(VLOOKUP($A10,Bangke,15,0)=$AL$7,VLOOKUP($A10,Bangke,17,0),IF(VLOOKUP($A10,Bangke,18,0)=$AL$7,VLOOKUP($A10,Bangke,20,0),IF(VLOOKUP($A10,Bangke,21,0)=$AL$7,VLOOKUP($A10,Bangke,23,0),IF(VLOOKUP($A10,Bangke,24,0)=$AL$7,VLOOKUP($A10,Bangke,26,0),IF(VLOOKUP($A10,Bangke,27,0)=$AL$7,VLOOKUP($A10,Bangke,29,0),0)))))))))</f>
        <v>0</v>
      </c>
      <c r="AM10" s="259">
        <f t="shared" ref="AM10" si="37">SUM(F10:AL10)</f>
        <v>5000000</v>
      </c>
      <c r="AN10" s="110"/>
    </row>
    <row r="11" spans="1:41" s="111" customFormat="1" ht="16.5" hidden="1">
      <c r="A11" s="112" t="str">
        <f>IF($A$2="","",IF(MAX($A$9:A10)+1&gt;$A$2,"",MAX($A$9:A10)+1))</f>
        <v/>
      </c>
      <c r="B11" s="18" t="str">
        <f t="shared" si="1"/>
        <v/>
      </c>
      <c r="C11" s="19" t="str">
        <f t="shared" si="2"/>
        <v/>
      </c>
      <c r="D11" s="20" t="str">
        <f t="shared" si="3"/>
        <v/>
      </c>
      <c r="E11" s="77" t="str">
        <f t="shared" si="4"/>
        <v/>
      </c>
      <c r="F11" s="138" t="str">
        <f t="shared" si="5"/>
        <v/>
      </c>
      <c r="G11" s="138" t="str">
        <f t="shared" si="6"/>
        <v/>
      </c>
      <c r="H11" s="138" t="str">
        <f t="shared" si="7"/>
        <v/>
      </c>
      <c r="I11" s="138" t="str">
        <f t="shared" si="8"/>
        <v/>
      </c>
      <c r="J11" s="138" t="str">
        <f t="shared" si="9"/>
        <v/>
      </c>
      <c r="K11" s="138" t="str">
        <f t="shared" si="10"/>
        <v/>
      </c>
      <c r="L11" s="138" t="str">
        <f t="shared" si="11"/>
        <v/>
      </c>
      <c r="M11" s="138" t="str">
        <f t="shared" si="12"/>
        <v/>
      </c>
      <c r="N11" s="138" t="str">
        <f t="shared" si="13"/>
        <v/>
      </c>
      <c r="O11" s="138" t="str">
        <f t="shared" si="14"/>
        <v/>
      </c>
      <c r="P11" s="138" t="str">
        <f t="shared" si="15"/>
        <v/>
      </c>
      <c r="Q11" s="138" t="str">
        <f t="shared" si="16"/>
        <v/>
      </c>
      <c r="R11" s="138" t="str">
        <f t="shared" si="17"/>
        <v/>
      </c>
      <c r="S11" s="138" t="str">
        <f t="shared" si="18"/>
        <v/>
      </c>
      <c r="T11" s="138" t="str">
        <f t="shared" si="19"/>
        <v/>
      </c>
      <c r="U11" s="138" t="str">
        <f t="shared" si="20"/>
        <v/>
      </c>
      <c r="V11" s="138" t="str">
        <f t="shared" si="21"/>
        <v/>
      </c>
      <c r="W11" s="138" t="str">
        <f t="shared" si="22"/>
        <v/>
      </c>
      <c r="X11" s="138" t="str">
        <f t="shared" ref="X11:X41" si="38">IF($A11="","",(IF(VLOOKUP($A11,Bangke,9,0)=$X$7,VLOOKUP($A11,Bangke,11,0),IF(VLOOKUP($A11,Bangke,12,0)=$X$7,VLOOKUP($A11,Bangke,14,0),IF(VLOOKUP($A11,Bangke,15,0)=$X$7,VLOOKUP($A11,Bangke,17,0),IF(VLOOKUP($A11,Bangke,18,0)=$X$7,VLOOKUP($A11,Bangke,20,0),IF(VLOOKUP($A11,Bangke,21,0)=$X$7,VLOOKUP($A11,Bangke,23,0),IF(VLOOKUP($A11,Bangke,24,0)=$X$7,VLOOKUP($A11,Bangke,26,0),IF(VLOOKUP($A11,Bangke,27,0)=$X$7,VLOOKUP($A11,Bangke,29,0),0)))))))))</f>
        <v/>
      </c>
      <c r="Y11" s="138" t="str">
        <f t="shared" si="23"/>
        <v/>
      </c>
      <c r="Z11" s="138" t="str">
        <f t="shared" si="24"/>
        <v/>
      </c>
      <c r="AA11" s="138" t="str">
        <f t="shared" si="25"/>
        <v/>
      </c>
      <c r="AB11" s="138" t="str">
        <f t="shared" si="26"/>
        <v/>
      </c>
      <c r="AC11" s="138" t="str">
        <f t="shared" si="27"/>
        <v/>
      </c>
      <c r="AD11" s="138" t="str">
        <f t="shared" si="28"/>
        <v/>
      </c>
      <c r="AE11" s="138" t="str">
        <f t="shared" si="29"/>
        <v/>
      </c>
      <c r="AF11" s="138" t="str">
        <f t="shared" si="30"/>
        <v/>
      </c>
      <c r="AG11" s="138" t="str">
        <f t="shared" si="31"/>
        <v/>
      </c>
      <c r="AH11" s="138" t="str">
        <f t="shared" si="32"/>
        <v/>
      </c>
      <c r="AI11" s="138" t="str">
        <f t="shared" si="33"/>
        <v/>
      </c>
      <c r="AJ11" s="138" t="str">
        <f t="shared" si="34"/>
        <v/>
      </c>
      <c r="AK11" s="138" t="str">
        <f t="shared" si="35"/>
        <v/>
      </c>
      <c r="AL11" s="138" t="str">
        <f t="shared" si="36"/>
        <v/>
      </c>
      <c r="AM11" s="259">
        <f t="shared" ref="AM11:AM74" si="39">SUM(F11:AL11)</f>
        <v>0</v>
      </c>
      <c r="AN11" s="110"/>
    </row>
    <row r="12" spans="1:41" s="111" customFormat="1" ht="16.5" hidden="1">
      <c r="A12" s="112" t="str">
        <f>IF($A$2="","",IF(MAX($A$9:A11)+1&gt;$A$2,"",MAX($A$9:A11)+1))</f>
        <v/>
      </c>
      <c r="B12" s="18" t="str">
        <f t="shared" si="1"/>
        <v/>
      </c>
      <c r="C12" s="19" t="str">
        <f t="shared" si="2"/>
        <v/>
      </c>
      <c r="D12" s="20" t="str">
        <f t="shared" si="3"/>
        <v/>
      </c>
      <c r="E12" s="77" t="str">
        <f t="shared" si="4"/>
        <v/>
      </c>
      <c r="F12" s="138" t="str">
        <f t="shared" si="5"/>
        <v/>
      </c>
      <c r="G12" s="138" t="str">
        <f t="shared" si="6"/>
        <v/>
      </c>
      <c r="H12" s="138" t="str">
        <f t="shared" si="7"/>
        <v/>
      </c>
      <c r="I12" s="138" t="str">
        <f t="shared" si="8"/>
        <v/>
      </c>
      <c r="J12" s="138" t="str">
        <f t="shared" si="9"/>
        <v/>
      </c>
      <c r="K12" s="138" t="str">
        <f t="shared" si="10"/>
        <v/>
      </c>
      <c r="L12" s="138" t="str">
        <f t="shared" si="11"/>
        <v/>
      </c>
      <c r="M12" s="138" t="str">
        <f t="shared" si="12"/>
        <v/>
      </c>
      <c r="N12" s="138" t="str">
        <f t="shared" si="13"/>
        <v/>
      </c>
      <c r="O12" s="138" t="str">
        <f t="shared" si="14"/>
        <v/>
      </c>
      <c r="P12" s="138" t="str">
        <f t="shared" si="15"/>
        <v/>
      </c>
      <c r="Q12" s="138" t="str">
        <f t="shared" si="16"/>
        <v/>
      </c>
      <c r="R12" s="138" t="str">
        <f t="shared" si="17"/>
        <v/>
      </c>
      <c r="S12" s="138" t="str">
        <f t="shared" si="18"/>
        <v/>
      </c>
      <c r="T12" s="138" t="str">
        <f t="shared" si="19"/>
        <v/>
      </c>
      <c r="U12" s="138" t="str">
        <f t="shared" si="20"/>
        <v/>
      </c>
      <c r="V12" s="138" t="str">
        <f t="shared" si="21"/>
        <v/>
      </c>
      <c r="W12" s="138" t="str">
        <f t="shared" si="22"/>
        <v/>
      </c>
      <c r="X12" s="138" t="str">
        <f t="shared" si="38"/>
        <v/>
      </c>
      <c r="Y12" s="138" t="str">
        <f t="shared" si="23"/>
        <v/>
      </c>
      <c r="Z12" s="138" t="str">
        <f t="shared" si="24"/>
        <v/>
      </c>
      <c r="AA12" s="138" t="str">
        <f t="shared" si="25"/>
        <v/>
      </c>
      <c r="AB12" s="138" t="str">
        <f t="shared" si="26"/>
        <v/>
      </c>
      <c r="AC12" s="138" t="str">
        <f t="shared" si="27"/>
        <v/>
      </c>
      <c r="AD12" s="138" t="str">
        <f t="shared" si="28"/>
        <v/>
      </c>
      <c r="AE12" s="138" t="str">
        <f t="shared" si="29"/>
        <v/>
      </c>
      <c r="AF12" s="138" t="str">
        <f t="shared" si="30"/>
        <v/>
      </c>
      <c r="AG12" s="138" t="str">
        <f t="shared" si="31"/>
        <v/>
      </c>
      <c r="AH12" s="138" t="str">
        <f t="shared" si="32"/>
        <v/>
      </c>
      <c r="AI12" s="138" t="str">
        <f t="shared" si="33"/>
        <v/>
      </c>
      <c r="AJ12" s="138" t="str">
        <f t="shared" si="34"/>
        <v/>
      </c>
      <c r="AK12" s="138" t="str">
        <f t="shared" si="35"/>
        <v/>
      </c>
      <c r="AL12" s="138" t="str">
        <f t="shared" si="36"/>
        <v/>
      </c>
      <c r="AM12" s="259">
        <f t="shared" si="39"/>
        <v>0</v>
      </c>
      <c r="AN12" s="110"/>
    </row>
    <row r="13" spans="1:41" s="111" customFormat="1" ht="16.5" hidden="1">
      <c r="A13" s="112" t="str">
        <f>IF($A$2="","",IF(MAX($A$9:A12)+1&gt;$A$2,"",MAX($A$9:A12)+1))</f>
        <v/>
      </c>
      <c r="B13" s="18" t="str">
        <f t="shared" si="1"/>
        <v/>
      </c>
      <c r="C13" s="19" t="str">
        <f t="shared" si="2"/>
        <v/>
      </c>
      <c r="D13" s="20" t="str">
        <f t="shared" si="3"/>
        <v/>
      </c>
      <c r="E13" s="77" t="str">
        <f t="shared" si="4"/>
        <v/>
      </c>
      <c r="F13" s="138" t="str">
        <f t="shared" si="5"/>
        <v/>
      </c>
      <c r="G13" s="138" t="str">
        <f t="shared" si="6"/>
        <v/>
      </c>
      <c r="H13" s="138" t="str">
        <f t="shared" si="7"/>
        <v/>
      </c>
      <c r="I13" s="138" t="str">
        <f t="shared" si="8"/>
        <v/>
      </c>
      <c r="J13" s="138" t="str">
        <f t="shared" si="9"/>
        <v/>
      </c>
      <c r="K13" s="138" t="str">
        <f t="shared" si="10"/>
        <v/>
      </c>
      <c r="L13" s="138" t="str">
        <f t="shared" si="11"/>
        <v/>
      </c>
      <c r="M13" s="138" t="str">
        <f t="shared" si="12"/>
        <v/>
      </c>
      <c r="N13" s="138" t="str">
        <f t="shared" si="13"/>
        <v/>
      </c>
      <c r="O13" s="138" t="str">
        <f t="shared" si="14"/>
        <v/>
      </c>
      <c r="P13" s="138" t="str">
        <f t="shared" si="15"/>
        <v/>
      </c>
      <c r="Q13" s="138" t="str">
        <f t="shared" si="16"/>
        <v/>
      </c>
      <c r="R13" s="138" t="str">
        <f t="shared" si="17"/>
        <v/>
      </c>
      <c r="S13" s="138" t="str">
        <f t="shared" si="18"/>
        <v/>
      </c>
      <c r="T13" s="138" t="str">
        <f t="shared" si="19"/>
        <v/>
      </c>
      <c r="U13" s="138" t="str">
        <f t="shared" si="20"/>
        <v/>
      </c>
      <c r="V13" s="138" t="str">
        <f t="shared" si="21"/>
        <v/>
      </c>
      <c r="W13" s="138" t="str">
        <f t="shared" si="22"/>
        <v/>
      </c>
      <c r="X13" s="138" t="str">
        <f t="shared" si="38"/>
        <v/>
      </c>
      <c r="Y13" s="138" t="str">
        <f t="shared" si="23"/>
        <v/>
      </c>
      <c r="Z13" s="138" t="str">
        <f t="shared" si="24"/>
        <v/>
      </c>
      <c r="AA13" s="138" t="str">
        <f t="shared" si="25"/>
        <v/>
      </c>
      <c r="AB13" s="138" t="str">
        <f t="shared" si="26"/>
        <v/>
      </c>
      <c r="AC13" s="138" t="str">
        <f t="shared" si="27"/>
        <v/>
      </c>
      <c r="AD13" s="138" t="str">
        <f t="shared" si="28"/>
        <v/>
      </c>
      <c r="AE13" s="138" t="str">
        <f t="shared" si="29"/>
        <v/>
      </c>
      <c r="AF13" s="138" t="str">
        <f t="shared" si="30"/>
        <v/>
      </c>
      <c r="AG13" s="138" t="str">
        <f t="shared" si="31"/>
        <v/>
      </c>
      <c r="AH13" s="138" t="str">
        <f t="shared" si="32"/>
        <v/>
      </c>
      <c r="AI13" s="138" t="str">
        <f t="shared" si="33"/>
        <v/>
      </c>
      <c r="AJ13" s="138" t="str">
        <f t="shared" si="34"/>
        <v/>
      </c>
      <c r="AK13" s="138" t="str">
        <f t="shared" si="35"/>
        <v/>
      </c>
      <c r="AL13" s="138" t="str">
        <f t="shared" si="36"/>
        <v/>
      </c>
      <c r="AM13" s="259">
        <f t="shared" si="39"/>
        <v>0</v>
      </c>
      <c r="AN13" s="110"/>
    </row>
    <row r="14" spans="1:41" s="17" customFormat="1" ht="16.5" hidden="1">
      <c r="A14" s="21" t="str">
        <f>IF($A$2="","",IF(MAX($A$9:A13)+1&gt;$A$2,"",MAX($A$9:A13)+1))</f>
        <v/>
      </c>
      <c r="B14" s="18" t="str">
        <f t="shared" si="1"/>
        <v/>
      </c>
      <c r="C14" s="19" t="str">
        <f t="shared" si="2"/>
        <v/>
      </c>
      <c r="D14" s="20" t="str">
        <f t="shared" si="3"/>
        <v/>
      </c>
      <c r="E14" s="77" t="str">
        <f t="shared" si="4"/>
        <v/>
      </c>
      <c r="F14" s="138" t="str">
        <f t="shared" si="5"/>
        <v/>
      </c>
      <c r="G14" s="138" t="str">
        <f t="shared" si="6"/>
        <v/>
      </c>
      <c r="H14" s="138" t="str">
        <f t="shared" si="7"/>
        <v/>
      </c>
      <c r="I14" s="138" t="str">
        <f t="shared" si="8"/>
        <v/>
      </c>
      <c r="J14" s="138" t="str">
        <f t="shared" si="9"/>
        <v/>
      </c>
      <c r="K14" s="138" t="str">
        <f t="shared" si="10"/>
        <v/>
      </c>
      <c r="L14" s="138" t="str">
        <f t="shared" si="11"/>
        <v/>
      </c>
      <c r="M14" s="138" t="str">
        <f t="shared" si="12"/>
        <v/>
      </c>
      <c r="N14" s="138" t="str">
        <f t="shared" si="13"/>
        <v/>
      </c>
      <c r="O14" s="138" t="str">
        <f t="shared" si="14"/>
        <v/>
      </c>
      <c r="P14" s="138" t="str">
        <f t="shared" si="15"/>
        <v/>
      </c>
      <c r="Q14" s="138" t="str">
        <f t="shared" si="16"/>
        <v/>
      </c>
      <c r="R14" s="138" t="str">
        <f t="shared" si="17"/>
        <v/>
      </c>
      <c r="S14" s="138" t="str">
        <f t="shared" si="18"/>
        <v/>
      </c>
      <c r="T14" s="138" t="str">
        <f t="shared" si="19"/>
        <v/>
      </c>
      <c r="U14" s="138" t="str">
        <f t="shared" si="20"/>
        <v/>
      </c>
      <c r="V14" s="138" t="str">
        <f t="shared" si="21"/>
        <v/>
      </c>
      <c r="W14" s="138" t="str">
        <f t="shared" si="22"/>
        <v/>
      </c>
      <c r="X14" s="138" t="str">
        <f t="shared" si="38"/>
        <v/>
      </c>
      <c r="Y14" s="138" t="str">
        <f t="shared" si="23"/>
        <v/>
      </c>
      <c r="Z14" s="138" t="str">
        <f t="shared" si="24"/>
        <v/>
      </c>
      <c r="AA14" s="138" t="str">
        <f t="shared" si="25"/>
        <v/>
      </c>
      <c r="AB14" s="138" t="str">
        <f t="shared" si="26"/>
        <v/>
      </c>
      <c r="AC14" s="138" t="str">
        <f t="shared" si="27"/>
        <v/>
      </c>
      <c r="AD14" s="138" t="str">
        <f t="shared" si="28"/>
        <v/>
      </c>
      <c r="AE14" s="138" t="str">
        <f t="shared" si="29"/>
        <v/>
      </c>
      <c r="AF14" s="138" t="str">
        <f t="shared" si="30"/>
        <v/>
      </c>
      <c r="AG14" s="138" t="str">
        <f t="shared" si="31"/>
        <v/>
      </c>
      <c r="AH14" s="138" t="str">
        <f t="shared" si="32"/>
        <v/>
      </c>
      <c r="AI14" s="138" t="str">
        <f t="shared" si="33"/>
        <v/>
      </c>
      <c r="AJ14" s="138" t="str">
        <f t="shared" si="34"/>
        <v/>
      </c>
      <c r="AK14" s="138" t="str">
        <f t="shared" si="35"/>
        <v/>
      </c>
      <c r="AL14" s="138" t="str">
        <f t="shared" si="36"/>
        <v/>
      </c>
      <c r="AM14" s="259">
        <f t="shared" si="39"/>
        <v>0</v>
      </c>
      <c r="AN14" s="110"/>
    </row>
    <row r="15" spans="1:41" s="17" customFormat="1" ht="16.5" hidden="1">
      <c r="A15" s="21" t="str">
        <f>IF($A$2="","",IF(MAX($A$9:A14)+1&gt;$A$2,"",MAX($A$9:A14)+1))</f>
        <v/>
      </c>
      <c r="B15" s="18" t="str">
        <f t="shared" si="1"/>
        <v/>
      </c>
      <c r="C15" s="19" t="str">
        <f t="shared" si="2"/>
        <v/>
      </c>
      <c r="D15" s="20" t="str">
        <f t="shared" si="3"/>
        <v/>
      </c>
      <c r="E15" s="77" t="str">
        <f t="shared" si="4"/>
        <v/>
      </c>
      <c r="F15" s="138" t="str">
        <f t="shared" si="5"/>
        <v/>
      </c>
      <c r="G15" s="138" t="str">
        <f t="shared" si="6"/>
        <v/>
      </c>
      <c r="H15" s="138" t="str">
        <f t="shared" si="7"/>
        <v/>
      </c>
      <c r="I15" s="138" t="str">
        <f t="shared" si="8"/>
        <v/>
      </c>
      <c r="J15" s="138" t="str">
        <f t="shared" si="9"/>
        <v/>
      </c>
      <c r="K15" s="138" t="str">
        <f t="shared" si="10"/>
        <v/>
      </c>
      <c r="L15" s="138" t="str">
        <f t="shared" si="11"/>
        <v/>
      </c>
      <c r="M15" s="138" t="str">
        <f t="shared" si="12"/>
        <v/>
      </c>
      <c r="N15" s="138" t="str">
        <f t="shared" si="13"/>
        <v/>
      </c>
      <c r="O15" s="138" t="str">
        <f t="shared" si="14"/>
        <v/>
      </c>
      <c r="P15" s="138" t="str">
        <f t="shared" si="15"/>
        <v/>
      </c>
      <c r="Q15" s="138" t="str">
        <f t="shared" si="16"/>
        <v/>
      </c>
      <c r="R15" s="138" t="str">
        <f t="shared" si="17"/>
        <v/>
      </c>
      <c r="S15" s="138" t="str">
        <f t="shared" si="18"/>
        <v/>
      </c>
      <c r="T15" s="138" t="str">
        <f t="shared" si="19"/>
        <v/>
      </c>
      <c r="U15" s="138" t="str">
        <f t="shared" si="20"/>
        <v/>
      </c>
      <c r="V15" s="138" t="str">
        <f t="shared" si="21"/>
        <v/>
      </c>
      <c r="W15" s="138" t="str">
        <f t="shared" si="22"/>
        <v/>
      </c>
      <c r="X15" s="138" t="str">
        <f t="shared" si="38"/>
        <v/>
      </c>
      <c r="Y15" s="138" t="str">
        <f t="shared" si="23"/>
        <v/>
      </c>
      <c r="Z15" s="138" t="str">
        <f t="shared" si="24"/>
        <v/>
      </c>
      <c r="AA15" s="138" t="str">
        <f t="shared" si="25"/>
        <v/>
      </c>
      <c r="AB15" s="138" t="str">
        <f t="shared" si="26"/>
        <v/>
      </c>
      <c r="AC15" s="138" t="str">
        <f t="shared" si="27"/>
        <v/>
      </c>
      <c r="AD15" s="138" t="str">
        <f t="shared" si="28"/>
        <v/>
      </c>
      <c r="AE15" s="138" t="str">
        <f t="shared" si="29"/>
        <v/>
      </c>
      <c r="AF15" s="138" t="str">
        <f t="shared" si="30"/>
        <v/>
      </c>
      <c r="AG15" s="138" t="str">
        <f t="shared" si="31"/>
        <v/>
      </c>
      <c r="AH15" s="138" t="str">
        <f t="shared" si="32"/>
        <v/>
      </c>
      <c r="AI15" s="138" t="str">
        <f t="shared" si="33"/>
        <v/>
      </c>
      <c r="AJ15" s="138" t="str">
        <f t="shared" si="34"/>
        <v/>
      </c>
      <c r="AK15" s="138" t="str">
        <f t="shared" si="35"/>
        <v/>
      </c>
      <c r="AL15" s="138" t="str">
        <f t="shared" si="36"/>
        <v/>
      </c>
      <c r="AM15" s="259">
        <f t="shared" si="39"/>
        <v>0</v>
      </c>
      <c r="AN15" s="110"/>
    </row>
    <row r="16" spans="1:41" s="17" customFormat="1" ht="16.5" hidden="1">
      <c r="A16" s="21" t="str">
        <f>IF($A$2="","",IF(MAX($A$9:A15)+1&gt;$A$2,"",MAX($A$9:A15)+1))</f>
        <v/>
      </c>
      <c r="B16" s="18" t="str">
        <f t="shared" si="1"/>
        <v/>
      </c>
      <c r="C16" s="19" t="str">
        <f t="shared" si="2"/>
        <v/>
      </c>
      <c r="D16" s="20" t="str">
        <f t="shared" si="3"/>
        <v/>
      </c>
      <c r="E16" s="77" t="str">
        <f t="shared" si="4"/>
        <v/>
      </c>
      <c r="F16" s="138" t="str">
        <f t="shared" si="5"/>
        <v/>
      </c>
      <c r="G16" s="138" t="str">
        <f t="shared" si="6"/>
        <v/>
      </c>
      <c r="H16" s="138" t="str">
        <f t="shared" si="7"/>
        <v/>
      </c>
      <c r="I16" s="138" t="str">
        <f t="shared" si="8"/>
        <v/>
      </c>
      <c r="J16" s="138" t="str">
        <f t="shared" si="9"/>
        <v/>
      </c>
      <c r="K16" s="138" t="str">
        <f t="shared" si="10"/>
        <v/>
      </c>
      <c r="L16" s="138" t="str">
        <f t="shared" si="11"/>
        <v/>
      </c>
      <c r="M16" s="138" t="str">
        <f t="shared" si="12"/>
        <v/>
      </c>
      <c r="N16" s="138" t="str">
        <f t="shared" si="13"/>
        <v/>
      </c>
      <c r="O16" s="138" t="str">
        <f t="shared" si="14"/>
        <v/>
      </c>
      <c r="P16" s="138" t="str">
        <f t="shared" si="15"/>
        <v/>
      </c>
      <c r="Q16" s="138" t="str">
        <f t="shared" si="16"/>
        <v/>
      </c>
      <c r="R16" s="138" t="str">
        <f t="shared" si="17"/>
        <v/>
      </c>
      <c r="S16" s="138" t="str">
        <f t="shared" si="18"/>
        <v/>
      </c>
      <c r="T16" s="138" t="str">
        <f t="shared" si="19"/>
        <v/>
      </c>
      <c r="U16" s="138" t="str">
        <f t="shared" si="20"/>
        <v/>
      </c>
      <c r="V16" s="138" t="str">
        <f t="shared" si="21"/>
        <v/>
      </c>
      <c r="W16" s="138" t="str">
        <f t="shared" si="22"/>
        <v/>
      </c>
      <c r="X16" s="138" t="str">
        <f t="shared" si="38"/>
        <v/>
      </c>
      <c r="Y16" s="138" t="str">
        <f t="shared" si="23"/>
        <v/>
      </c>
      <c r="Z16" s="138" t="str">
        <f t="shared" si="24"/>
        <v/>
      </c>
      <c r="AA16" s="138" t="str">
        <f t="shared" si="25"/>
        <v/>
      </c>
      <c r="AB16" s="138" t="str">
        <f t="shared" si="26"/>
        <v/>
      </c>
      <c r="AC16" s="138" t="str">
        <f t="shared" si="27"/>
        <v/>
      </c>
      <c r="AD16" s="138" t="str">
        <f t="shared" si="28"/>
        <v/>
      </c>
      <c r="AE16" s="138" t="str">
        <f t="shared" si="29"/>
        <v/>
      </c>
      <c r="AF16" s="138" t="str">
        <f t="shared" si="30"/>
        <v/>
      </c>
      <c r="AG16" s="138" t="str">
        <f t="shared" si="31"/>
        <v/>
      </c>
      <c r="AH16" s="138" t="str">
        <f t="shared" si="32"/>
        <v/>
      </c>
      <c r="AI16" s="138" t="str">
        <f t="shared" si="33"/>
        <v/>
      </c>
      <c r="AJ16" s="138" t="str">
        <f t="shared" si="34"/>
        <v/>
      </c>
      <c r="AK16" s="138" t="str">
        <f t="shared" si="35"/>
        <v/>
      </c>
      <c r="AL16" s="138" t="str">
        <f t="shared" si="36"/>
        <v/>
      </c>
      <c r="AM16" s="259">
        <f t="shared" si="39"/>
        <v>0</v>
      </c>
      <c r="AN16" s="110"/>
      <c r="AO16" s="141"/>
    </row>
    <row r="17" spans="1:41" s="17" customFormat="1" ht="16.5" hidden="1">
      <c r="A17" s="21" t="str">
        <f>IF($A$2="","",IF(MAX($A$9:A16)+1&gt;$A$2,"",MAX($A$9:A16)+1))</f>
        <v/>
      </c>
      <c r="B17" s="18" t="str">
        <f t="shared" si="1"/>
        <v/>
      </c>
      <c r="C17" s="19" t="str">
        <f t="shared" si="2"/>
        <v/>
      </c>
      <c r="D17" s="20" t="str">
        <f t="shared" si="3"/>
        <v/>
      </c>
      <c r="E17" s="77" t="str">
        <f t="shared" si="4"/>
        <v/>
      </c>
      <c r="F17" s="138" t="str">
        <f t="shared" si="5"/>
        <v/>
      </c>
      <c r="G17" s="138" t="str">
        <f t="shared" si="6"/>
        <v/>
      </c>
      <c r="H17" s="138" t="str">
        <f t="shared" si="7"/>
        <v/>
      </c>
      <c r="I17" s="138" t="str">
        <f t="shared" si="8"/>
        <v/>
      </c>
      <c r="J17" s="138" t="str">
        <f t="shared" si="9"/>
        <v/>
      </c>
      <c r="K17" s="138" t="str">
        <f t="shared" si="10"/>
        <v/>
      </c>
      <c r="L17" s="138" t="str">
        <f t="shared" si="11"/>
        <v/>
      </c>
      <c r="M17" s="138" t="str">
        <f t="shared" si="12"/>
        <v/>
      </c>
      <c r="N17" s="138" t="str">
        <f t="shared" si="13"/>
        <v/>
      </c>
      <c r="O17" s="138" t="str">
        <f t="shared" si="14"/>
        <v/>
      </c>
      <c r="P17" s="138" t="str">
        <f t="shared" si="15"/>
        <v/>
      </c>
      <c r="Q17" s="138" t="str">
        <f t="shared" si="16"/>
        <v/>
      </c>
      <c r="R17" s="138" t="str">
        <f t="shared" si="17"/>
        <v/>
      </c>
      <c r="S17" s="138" t="str">
        <f t="shared" si="18"/>
        <v/>
      </c>
      <c r="T17" s="138" t="str">
        <f t="shared" si="19"/>
        <v/>
      </c>
      <c r="U17" s="138" t="str">
        <f t="shared" si="20"/>
        <v/>
      </c>
      <c r="V17" s="138" t="str">
        <f t="shared" si="21"/>
        <v/>
      </c>
      <c r="W17" s="138" t="str">
        <f t="shared" si="22"/>
        <v/>
      </c>
      <c r="X17" s="138" t="str">
        <f t="shared" si="38"/>
        <v/>
      </c>
      <c r="Y17" s="138" t="str">
        <f t="shared" si="23"/>
        <v/>
      </c>
      <c r="Z17" s="138" t="str">
        <f t="shared" si="24"/>
        <v/>
      </c>
      <c r="AA17" s="138" t="str">
        <f t="shared" si="25"/>
        <v/>
      </c>
      <c r="AB17" s="138" t="str">
        <f t="shared" si="26"/>
        <v/>
      </c>
      <c r="AC17" s="138" t="str">
        <f t="shared" si="27"/>
        <v/>
      </c>
      <c r="AD17" s="138" t="str">
        <f t="shared" si="28"/>
        <v/>
      </c>
      <c r="AE17" s="138" t="str">
        <f t="shared" si="29"/>
        <v/>
      </c>
      <c r="AF17" s="138" t="str">
        <f t="shared" si="30"/>
        <v/>
      </c>
      <c r="AG17" s="138" t="str">
        <f t="shared" si="31"/>
        <v/>
      </c>
      <c r="AH17" s="138" t="str">
        <f t="shared" si="32"/>
        <v/>
      </c>
      <c r="AI17" s="138" t="str">
        <f t="shared" si="33"/>
        <v/>
      </c>
      <c r="AJ17" s="138" t="str">
        <f t="shared" si="34"/>
        <v/>
      </c>
      <c r="AK17" s="138" t="str">
        <f t="shared" si="35"/>
        <v/>
      </c>
      <c r="AL17" s="138" t="str">
        <f t="shared" si="36"/>
        <v/>
      </c>
      <c r="AM17" s="259">
        <f t="shared" si="39"/>
        <v>0</v>
      </c>
      <c r="AN17" s="110"/>
      <c r="AO17" s="141"/>
    </row>
    <row r="18" spans="1:41" s="17" customFormat="1" ht="16.5" hidden="1">
      <c r="A18" s="21" t="str">
        <f>IF($A$2="","",IF(MAX($A$9:A17)+1&gt;$A$2,"",MAX($A$9:A17)+1))</f>
        <v/>
      </c>
      <c r="B18" s="18" t="str">
        <f t="shared" si="1"/>
        <v/>
      </c>
      <c r="C18" s="19" t="str">
        <f t="shared" si="2"/>
        <v/>
      </c>
      <c r="D18" s="20" t="str">
        <f t="shared" si="3"/>
        <v/>
      </c>
      <c r="E18" s="77" t="str">
        <f t="shared" si="4"/>
        <v/>
      </c>
      <c r="F18" s="138" t="str">
        <f t="shared" si="5"/>
        <v/>
      </c>
      <c r="G18" s="138" t="str">
        <f t="shared" si="6"/>
        <v/>
      </c>
      <c r="H18" s="138" t="str">
        <f t="shared" si="7"/>
        <v/>
      </c>
      <c r="I18" s="138" t="str">
        <f t="shared" si="8"/>
        <v/>
      </c>
      <c r="J18" s="138" t="str">
        <f t="shared" si="9"/>
        <v/>
      </c>
      <c r="K18" s="138" t="str">
        <f t="shared" si="10"/>
        <v/>
      </c>
      <c r="L18" s="138" t="str">
        <f t="shared" si="11"/>
        <v/>
      </c>
      <c r="M18" s="138" t="str">
        <f t="shared" si="12"/>
        <v/>
      </c>
      <c r="N18" s="138" t="str">
        <f t="shared" si="13"/>
        <v/>
      </c>
      <c r="O18" s="138" t="str">
        <f t="shared" si="14"/>
        <v/>
      </c>
      <c r="P18" s="138" t="str">
        <f t="shared" si="15"/>
        <v/>
      </c>
      <c r="Q18" s="138" t="str">
        <f t="shared" si="16"/>
        <v/>
      </c>
      <c r="R18" s="138" t="str">
        <f t="shared" si="17"/>
        <v/>
      </c>
      <c r="S18" s="138" t="str">
        <f t="shared" si="18"/>
        <v/>
      </c>
      <c r="T18" s="138" t="str">
        <f t="shared" si="19"/>
        <v/>
      </c>
      <c r="U18" s="138" t="str">
        <f t="shared" si="20"/>
        <v/>
      </c>
      <c r="V18" s="138" t="str">
        <f t="shared" si="21"/>
        <v/>
      </c>
      <c r="W18" s="138" t="str">
        <f t="shared" si="22"/>
        <v/>
      </c>
      <c r="X18" s="138" t="str">
        <f t="shared" si="38"/>
        <v/>
      </c>
      <c r="Y18" s="138" t="str">
        <f t="shared" si="23"/>
        <v/>
      </c>
      <c r="Z18" s="138" t="str">
        <f t="shared" si="24"/>
        <v/>
      </c>
      <c r="AA18" s="138" t="str">
        <f t="shared" si="25"/>
        <v/>
      </c>
      <c r="AB18" s="138" t="str">
        <f t="shared" si="26"/>
        <v/>
      </c>
      <c r="AC18" s="138" t="str">
        <f t="shared" si="27"/>
        <v/>
      </c>
      <c r="AD18" s="138" t="str">
        <f t="shared" si="28"/>
        <v/>
      </c>
      <c r="AE18" s="138" t="str">
        <f t="shared" si="29"/>
        <v/>
      </c>
      <c r="AF18" s="138" t="str">
        <f t="shared" si="30"/>
        <v/>
      </c>
      <c r="AG18" s="138" t="str">
        <f t="shared" si="31"/>
        <v/>
      </c>
      <c r="AH18" s="138" t="str">
        <f t="shared" si="32"/>
        <v/>
      </c>
      <c r="AI18" s="138" t="str">
        <f t="shared" si="33"/>
        <v/>
      </c>
      <c r="AJ18" s="138" t="str">
        <f t="shared" si="34"/>
        <v/>
      </c>
      <c r="AK18" s="138" t="str">
        <f t="shared" si="35"/>
        <v/>
      </c>
      <c r="AL18" s="138" t="str">
        <f t="shared" si="36"/>
        <v/>
      </c>
      <c r="AM18" s="259">
        <f t="shared" si="39"/>
        <v>0</v>
      </c>
      <c r="AN18" s="110"/>
    </row>
    <row r="19" spans="1:41" s="17" customFormat="1" ht="16.5" hidden="1">
      <c r="A19" s="21" t="str">
        <f>IF($A$2="","",IF(MAX($A$9:A18)+1&gt;$A$2,"",MAX($A$9:A18)+1))</f>
        <v/>
      </c>
      <c r="B19" s="18" t="str">
        <f t="shared" si="1"/>
        <v/>
      </c>
      <c r="C19" s="19" t="str">
        <f t="shared" si="2"/>
        <v/>
      </c>
      <c r="D19" s="20" t="str">
        <f t="shared" si="3"/>
        <v/>
      </c>
      <c r="E19" s="77" t="str">
        <f t="shared" si="4"/>
        <v/>
      </c>
      <c r="F19" s="138" t="str">
        <f t="shared" si="5"/>
        <v/>
      </c>
      <c r="G19" s="138" t="str">
        <f t="shared" si="6"/>
        <v/>
      </c>
      <c r="H19" s="138" t="str">
        <f t="shared" si="7"/>
        <v/>
      </c>
      <c r="I19" s="138" t="str">
        <f t="shared" si="8"/>
        <v/>
      </c>
      <c r="J19" s="138" t="str">
        <f t="shared" si="9"/>
        <v/>
      </c>
      <c r="K19" s="138" t="str">
        <f t="shared" si="10"/>
        <v/>
      </c>
      <c r="L19" s="138" t="str">
        <f t="shared" si="11"/>
        <v/>
      </c>
      <c r="M19" s="138" t="str">
        <f t="shared" si="12"/>
        <v/>
      </c>
      <c r="N19" s="138" t="str">
        <f t="shared" si="13"/>
        <v/>
      </c>
      <c r="O19" s="138" t="str">
        <f t="shared" si="14"/>
        <v/>
      </c>
      <c r="P19" s="138" t="str">
        <f t="shared" si="15"/>
        <v/>
      </c>
      <c r="Q19" s="138" t="str">
        <f t="shared" si="16"/>
        <v/>
      </c>
      <c r="R19" s="138" t="str">
        <f t="shared" si="17"/>
        <v/>
      </c>
      <c r="S19" s="138" t="str">
        <f t="shared" si="18"/>
        <v/>
      </c>
      <c r="T19" s="138" t="str">
        <f t="shared" si="19"/>
        <v/>
      </c>
      <c r="U19" s="138" t="str">
        <f t="shared" si="20"/>
        <v/>
      </c>
      <c r="V19" s="138" t="str">
        <f t="shared" si="21"/>
        <v/>
      </c>
      <c r="W19" s="138" t="str">
        <f t="shared" si="22"/>
        <v/>
      </c>
      <c r="X19" s="138" t="str">
        <f t="shared" si="38"/>
        <v/>
      </c>
      <c r="Y19" s="138" t="str">
        <f t="shared" si="23"/>
        <v/>
      </c>
      <c r="Z19" s="138" t="str">
        <f t="shared" si="24"/>
        <v/>
      </c>
      <c r="AA19" s="138" t="str">
        <f t="shared" si="25"/>
        <v/>
      </c>
      <c r="AB19" s="138" t="str">
        <f t="shared" si="26"/>
        <v/>
      </c>
      <c r="AC19" s="138" t="str">
        <f t="shared" si="27"/>
        <v/>
      </c>
      <c r="AD19" s="138" t="str">
        <f t="shared" si="28"/>
        <v/>
      </c>
      <c r="AE19" s="138" t="str">
        <f t="shared" si="29"/>
        <v/>
      </c>
      <c r="AF19" s="138" t="str">
        <f t="shared" si="30"/>
        <v/>
      </c>
      <c r="AG19" s="138" t="str">
        <f t="shared" si="31"/>
        <v/>
      </c>
      <c r="AH19" s="138" t="str">
        <f t="shared" si="32"/>
        <v/>
      </c>
      <c r="AI19" s="138" t="str">
        <f t="shared" si="33"/>
        <v/>
      </c>
      <c r="AJ19" s="138" t="str">
        <f t="shared" si="34"/>
        <v/>
      </c>
      <c r="AK19" s="138" t="str">
        <f t="shared" si="35"/>
        <v/>
      </c>
      <c r="AL19" s="138" t="str">
        <f t="shared" si="36"/>
        <v/>
      </c>
      <c r="AM19" s="259">
        <f t="shared" si="39"/>
        <v>0</v>
      </c>
      <c r="AN19" s="110"/>
    </row>
    <row r="20" spans="1:41" s="17" customFormat="1" ht="16.5" hidden="1">
      <c r="A20" s="21" t="str">
        <f>IF($A$2="","",IF(MAX($A$9:A19)+1&gt;$A$2,"",MAX($A$9:A19)+1))</f>
        <v/>
      </c>
      <c r="B20" s="18" t="str">
        <f t="shared" si="1"/>
        <v/>
      </c>
      <c r="C20" s="19" t="str">
        <f t="shared" si="2"/>
        <v/>
      </c>
      <c r="D20" s="20" t="str">
        <f t="shared" si="3"/>
        <v/>
      </c>
      <c r="E20" s="77" t="str">
        <f t="shared" si="4"/>
        <v/>
      </c>
      <c r="F20" s="138" t="str">
        <f t="shared" si="5"/>
        <v/>
      </c>
      <c r="G20" s="138" t="str">
        <f t="shared" si="6"/>
        <v/>
      </c>
      <c r="H20" s="138" t="str">
        <f t="shared" si="7"/>
        <v/>
      </c>
      <c r="I20" s="138" t="str">
        <f t="shared" si="8"/>
        <v/>
      </c>
      <c r="J20" s="138" t="str">
        <f t="shared" si="9"/>
        <v/>
      </c>
      <c r="K20" s="138" t="str">
        <f t="shared" si="10"/>
        <v/>
      </c>
      <c r="L20" s="138" t="str">
        <f t="shared" si="11"/>
        <v/>
      </c>
      <c r="M20" s="138" t="str">
        <f t="shared" si="12"/>
        <v/>
      </c>
      <c r="N20" s="138" t="str">
        <f t="shared" si="13"/>
        <v/>
      </c>
      <c r="O20" s="138" t="str">
        <f t="shared" si="14"/>
        <v/>
      </c>
      <c r="P20" s="138" t="str">
        <f t="shared" si="15"/>
        <v/>
      </c>
      <c r="Q20" s="138" t="str">
        <f t="shared" si="16"/>
        <v/>
      </c>
      <c r="R20" s="138" t="str">
        <f t="shared" si="17"/>
        <v/>
      </c>
      <c r="S20" s="138" t="str">
        <f t="shared" si="18"/>
        <v/>
      </c>
      <c r="T20" s="138" t="str">
        <f t="shared" si="19"/>
        <v/>
      </c>
      <c r="U20" s="138" t="str">
        <f t="shared" si="20"/>
        <v/>
      </c>
      <c r="V20" s="138" t="str">
        <f t="shared" si="21"/>
        <v/>
      </c>
      <c r="W20" s="138" t="str">
        <f t="shared" si="22"/>
        <v/>
      </c>
      <c r="X20" s="138" t="str">
        <f t="shared" si="38"/>
        <v/>
      </c>
      <c r="Y20" s="138" t="str">
        <f t="shared" si="23"/>
        <v/>
      </c>
      <c r="Z20" s="138" t="str">
        <f t="shared" si="24"/>
        <v/>
      </c>
      <c r="AA20" s="138" t="str">
        <f t="shared" si="25"/>
        <v/>
      </c>
      <c r="AB20" s="138" t="str">
        <f t="shared" si="26"/>
        <v/>
      </c>
      <c r="AC20" s="138" t="str">
        <f t="shared" si="27"/>
        <v/>
      </c>
      <c r="AD20" s="138" t="str">
        <f t="shared" si="28"/>
        <v/>
      </c>
      <c r="AE20" s="138" t="str">
        <f t="shared" si="29"/>
        <v/>
      </c>
      <c r="AF20" s="138" t="str">
        <f t="shared" si="30"/>
        <v/>
      </c>
      <c r="AG20" s="138" t="str">
        <f t="shared" si="31"/>
        <v/>
      </c>
      <c r="AH20" s="138" t="str">
        <f t="shared" si="32"/>
        <v/>
      </c>
      <c r="AI20" s="138" t="str">
        <f t="shared" si="33"/>
        <v/>
      </c>
      <c r="AJ20" s="138" t="str">
        <f t="shared" si="34"/>
        <v/>
      </c>
      <c r="AK20" s="138" t="str">
        <f t="shared" si="35"/>
        <v/>
      </c>
      <c r="AL20" s="138" t="str">
        <f t="shared" si="36"/>
        <v/>
      </c>
      <c r="AM20" s="259">
        <f t="shared" si="39"/>
        <v>0</v>
      </c>
      <c r="AN20" s="110"/>
    </row>
    <row r="21" spans="1:41" s="109" customFormat="1" ht="16.5" hidden="1">
      <c r="A21" s="108" t="str">
        <f>IF($A$2="","",IF(MAX($A$9:A20)+1&gt;$A$2,"",MAX($A$9:A20)+1))</f>
        <v/>
      </c>
      <c r="B21" s="18" t="str">
        <f t="shared" si="1"/>
        <v/>
      </c>
      <c r="C21" s="19" t="str">
        <f t="shared" si="2"/>
        <v/>
      </c>
      <c r="D21" s="20" t="str">
        <f t="shared" si="3"/>
        <v/>
      </c>
      <c r="E21" s="77" t="str">
        <f t="shared" si="4"/>
        <v/>
      </c>
      <c r="F21" s="138" t="str">
        <f t="shared" si="5"/>
        <v/>
      </c>
      <c r="G21" s="138" t="str">
        <f t="shared" si="6"/>
        <v/>
      </c>
      <c r="H21" s="138" t="str">
        <f t="shared" si="7"/>
        <v/>
      </c>
      <c r="I21" s="138" t="str">
        <f t="shared" si="8"/>
        <v/>
      </c>
      <c r="J21" s="138" t="str">
        <f t="shared" si="9"/>
        <v/>
      </c>
      <c r="K21" s="138" t="str">
        <f t="shared" si="10"/>
        <v/>
      </c>
      <c r="L21" s="138" t="str">
        <f t="shared" si="11"/>
        <v/>
      </c>
      <c r="M21" s="138" t="str">
        <f t="shared" si="12"/>
        <v/>
      </c>
      <c r="N21" s="138" t="str">
        <f t="shared" si="13"/>
        <v/>
      </c>
      <c r="O21" s="138" t="str">
        <f t="shared" si="14"/>
        <v/>
      </c>
      <c r="P21" s="138" t="str">
        <f t="shared" si="15"/>
        <v/>
      </c>
      <c r="Q21" s="138" t="str">
        <f t="shared" si="16"/>
        <v/>
      </c>
      <c r="R21" s="138" t="str">
        <f t="shared" si="17"/>
        <v/>
      </c>
      <c r="S21" s="138" t="str">
        <f t="shared" si="18"/>
        <v/>
      </c>
      <c r="T21" s="138" t="str">
        <f t="shared" si="19"/>
        <v/>
      </c>
      <c r="U21" s="138" t="str">
        <f t="shared" si="20"/>
        <v/>
      </c>
      <c r="V21" s="138" t="str">
        <f t="shared" si="21"/>
        <v/>
      </c>
      <c r="W21" s="138" t="str">
        <f t="shared" si="22"/>
        <v/>
      </c>
      <c r="X21" s="138" t="str">
        <f t="shared" si="38"/>
        <v/>
      </c>
      <c r="Y21" s="138" t="str">
        <f t="shared" si="23"/>
        <v/>
      </c>
      <c r="Z21" s="138" t="str">
        <f t="shared" si="24"/>
        <v/>
      </c>
      <c r="AA21" s="138" t="str">
        <f t="shared" si="25"/>
        <v/>
      </c>
      <c r="AB21" s="138" t="str">
        <f t="shared" si="26"/>
        <v/>
      </c>
      <c r="AC21" s="138" t="str">
        <f t="shared" si="27"/>
        <v/>
      </c>
      <c r="AD21" s="138" t="str">
        <f t="shared" si="28"/>
        <v/>
      </c>
      <c r="AE21" s="138" t="str">
        <f t="shared" si="29"/>
        <v/>
      </c>
      <c r="AF21" s="138" t="str">
        <f t="shared" si="30"/>
        <v/>
      </c>
      <c r="AG21" s="138" t="str">
        <f t="shared" si="31"/>
        <v/>
      </c>
      <c r="AH21" s="138" t="str">
        <f t="shared" si="32"/>
        <v/>
      </c>
      <c r="AI21" s="138" t="str">
        <f t="shared" si="33"/>
        <v/>
      </c>
      <c r="AJ21" s="138" t="str">
        <f t="shared" si="34"/>
        <v/>
      </c>
      <c r="AK21" s="138" t="str">
        <f t="shared" si="35"/>
        <v/>
      </c>
      <c r="AL21" s="138" t="str">
        <f t="shared" si="36"/>
        <v/>
      </c>
      <c r="AM21" s="259">
        <f t="shared" si="39"/>
        <v>0</v>
      </c>
      <c r="AN21" s="110"/>
    </row>
    <row r="22" spans="1:41" s="17" customFormat="1" ht="16.5" hidden="1">
      <c r="A22" s="21" t="str">
        <f>IF($A$2="","",IF(MAX($A$9:A21)+1&gt;$A$2,"",MAX($A$9:A21)+1))</f>
        <v/>
      </c>
      <c r="B22" s="18" t="str">
        <f t="shared" si="1"/>
        <v/>
      </c>
      <c r="C22" s="19" t="str">
        <f t="shared" si="2"/>
        <v/>
      </c>
      <c r="D22" s="20" t="str">
        <f t="shared" si="3"/>
        <v/>
      </c>
      <c r="E22" s="77" t="str">
        <f t="shared" si="4"/>
        <v/>
      </c>
      <c r="F22" s="138" t="str">
        <f t="shared" si="5"/>
        <v/>
      </c>
      <c r="G22" s="138" t="str">
        <f t="shared" si="6"/>
        <v/>
      </c>
      <c r="H22" s="138" t="str">
        <f t="shared" si="7"/>
        <v/>
      </c>
      <c r="I22" s="138" t="str">
        <f t="shared" si="8"/>
        <v/>
      </c>
      <c r="J22" s="138" t="str">
        <f t="shared" si="9"/>
        <v/>
      </c>
      <c r="K22" s="138" t="str">
        <f t="shared" si="10"/>
        <v/>
      </c>
      <c r="L22" s="138" t="str">
        <f t="shared" si="11"/>
        <v/>
      </c>
      <c r="M22" s="138" t="str">
        <f t="shared" si="12"/>
        <v/>
      </c>
      <c r="N22" s="138" t="str">
        <f t="shared" si="13"/>
        <v/>
      </c>
      <c r="O22" s="138" t="str">
        <f t="shared" si="14"/>
        <v/>
      </c>
      <c r="P22" s="138" t="str">
        <f t="shared" si="15"/>
        <v/>
      </c>
      <c r="Q22" s="138" t="str">
        <f t="shared" si="16"/>
        <v/>
      </c>
      <c r="R22" s="138" t="str">
        <f t="shared" si="17"/>
        <v/>
      </c>
      <c r="S22" s="138" t="str">
        <f t="shared" si="18"/>
        <v/>
      </c>
      <c r="T22" s="138" t="str">
        <f t="shared" si="19"/>
        <v/>
      </c>
      <c r="U22" s="138" t="str">
        <f t="shared" si="20"/>
        <v/>
      </c>
      <c r="V22" s="138" t="str">
        <f t="shared" si="21"/>
        <v/>
      </c>
      <c r="W22" s="138" t="str">
        <f t="shared" si="22"/>
        <v/>
      </c>
      <c r="X22" s="138" t="str">
        <f t="shared" si="38"/>
        <v/>
      </c>
      <c r="Y22" s="138" t="str">
        <f t="shared" si="23"/>
        <v/>
      </c>
      <c r="Z22" s="138" t="str">
        <f t="shared" si="24"/>
        <v/>
      </c>
      <c r="AA22" s="138" t="str">
        <f t="shared" si="25"/>
        <v/>
      </c>
      <c r="AB22" s="138" t="str">
        <f t="shared" si="26"/>
        <v/>
      </c>
      <c r="AC22" s="138" t="str">
        <f t="shared" si="27"/>
        <v/>
      </c>
      <c r="AD22" s="138" t="str">
        <f t="shared" si="28"/>
        <v/>
      </c>
      <c r="AE22" s="138" t="str">
        <f t="shared" si="29"/>
        <v/>
      </c>
      <c r="AF22" s="138" t="str">
        <f t="shared" si="30"/>
        <v/>
      </c>
      <c r="AG22" s="138" t="str">
        <f t="shared" si="31"/>
        <v/>
      </c>
      <c r="AH22" s="138" t="str">
        <f t="shared" si="32"/>
        <v/>
      </c>
      <c r="AI22" s="138" t="str">
        <f t="shared" si="33"/>
        <v/>
      </c>
      <c r="AJ22" s="138" t="str">
        <f t="shared" si="34"/>
        <v/>
      </c>
      <c r="AK22" s="138" t="str">
        <f t="shared" si="35"/>
        <v/>
      </c>
      <c r="AL22" s="138" t="str">
        <f t="shared" si="36"/>
        <v/>
      </c>
      <c r="AM22" s="259">
        <f t="shared" si="39"/>
        <v>0</v>
      </c>
      <c r="AN22" s="110"/>
    </row>
    <row r="23" spans="1:41" s="22" customFormat="1" ht="16.5" hidden="1">
      <c r="A23" s="21" t="str">
        <f>IF($A$2="","",IF(MAX($A$9:A22)+1&gt;$A$2,"",MAX($A$9:A22)+1))</f>
        <v/>
      </c>
      <c r="B23" s="18" t="str">
        <f t="shared" si="1"/>
        <v/>
      </c>
      <c r="C23" s="19" t="str">
        <f t="shared" si="2"/>
        <v/>
      </c>
      <c r="D23" s="20" t="str">
        <f t="shared" si="3"/>
        <v/>
      </c>
      <c r="E23" s="77" t="str">
        <f t="shared" si="4"/>
        <v/>
      </c>
      <c r="F23" s="138" t="str">
        <f t="shared" si="5"/>
        <v/>
      </c>
      <c r="G23" s="138" t="str">
        <f t="shared" si="6"/>
        <v/>
      </c>
      <c r="H23" s="138" t="str">
        <f t="shared" si="7"/>
        <v/>
      </c>
      <c r="I23" s="138" t="str">
        <f t="shared" si="8"/>
        <v/>
      </c>
      <c r="J23" s="138" t="str">
        <f t="shared" si="9"/>
        <v/>
      </c>
      <c r="K23" s="138" t="str">
        <f t="shared" si="10"/>
        <v/>
      </c>
      <c r="L23" s="138" t="str">
        <f t="shared" si="11"/>
        <v/>
      </c>
      <c r="M23" s="138" t="str">
        <f t="shared" si="12"/>
        <v/>
      </c>
      <c r="N23" s="138" t="str">
        <f t="shared" si="13"/>
        <v/>
      </c>
      <c r="O23" s="138" t="str">
        <f t="shared" si="14"/>
        <v/>
      </c>
      <c r="P23" s="138" t="str">
        <f t="shared" si="15"/>
        <v/>
      </c>
      <c r="Q23" s="138" t="str">
        <f t="shared" si="16"/>
        <v/>
      </c>
      <c r="R23" s="138" t="str">
        <f t="shared" si="17"/>
        <v/>
      </c>
      <c r="S23" s="138" t="str">
        <f t="shared" si="18"/>
        <v/>
      </c>
      <c r="T23" s="138" t="str">
        <f t="shared" si="19"/>
        <v/>
      </c>
      <c r="U23" s="138" t="str">
        <f t="shared" si="20"/>
        <v/>
      </c>
      <c r="V23" s="138" t="str">
        <f t="shared" si="21"/>
        <v/>
      </c>
      <c r="W23" s="138" t="str">
        <f t="shared" si="22"/>
        <v/>
      </c>
      <c r="X23" s="138" t="str">
        <f t="shared" si="38"/>
        <v/>
      </c>
      <c r="Y23" s="138" t="str">
        <f t="shared" si="23"/>
        <v/>
      </c>
      <c r="Z23" s="138" t="str">
        <f t="shared" si="24"/>
        <v/>
      </c>
      <c r="AA23" s="138" t="str">
        <f t="shared" si="25"/>
        <v/>
      </c>
      <c r="AB23" s="138" t="str">
        <f t="shared" si="26"/>
        <v/>
      </c>
      <c r="AC23" s="138" t="str">
        <f t="shared" si="27"/>
        <v/>
      </c>
      <c r="AD23" s="138" t="str">
        <f t="shared" si="28"/>
        <v/>
      </c>
      <c r="AE23" s="138" t="str">
        <f t="shared" si="29"/>
        <v/>
      </c>
      <c r="AF23" s="138" t="str">
        <f t="shared" si="30"/>
        <v/>
      </c>
      <c r="AG23" s="138" t="str">
        <f t="shared" si="31"/>
        <v/>
      </c>
      <c r="AH23" s="138" t="str">
        <f t="shared" si="32"/>
        <v/>
      </c>
      <c r="AI23" s="138" t="str">
        <f t="shared" si="33"/>
        <v/>
      </c>
      <c r="AJ23" s="138" t="str">
        <f t="shared" si="34"/>
        <v/>
      </c>
      <c r="AK23" s="138" t="str">
        <f t="shared" si="35"/>
        <v/>
      </c>
      <c r="AL23" s="138" t="str">
        <f t="shared" si="36"/>
        <v/>
      </c>
      <c r="AM23" s="259">
        <f t="shared" si="39"/>
        <v>0</v>
      </c>
      <c r="AN23" s="110"/>
    </row>
    <row r="24" spans="1:41" s="22" customFormat="1" ht="16.5" hidden="1">
      <c r="A24" s="21" t="str">
        <f>IF($A$2="","",IF(MAX($A$9:A23)+1&gt;$A$2,"",MAX($A$9:A23)+1))</f>
        <v/>
      </c>
      <c r="B24" s="18" t="str">
        <f t="shared" si="1"/>
        <v/>
      </c>
      <c r="C24" s="19" t="str">
        <f t="shared" si="2"/>
        <v/>
      </c>
      <c r="D24" s="20" t="str">
        <f t="shared" si="3"/>
        <v/>
      </c>
      <c r="E24" s="77" t="str">
        <f t="shared" si="4"/>
        <v/>
      </c>
      <c r="F24" s="138" t="str">
        <f t="shared" si="5"/>
        <v/>
      </c>
      <c r="G24" s="138" t="str">
        <f t="shared" si="6"/>
        <v/>
      </c>
      <c r="H24" s="138" t="str">
        <f t="shared" si="7"/>
        <v/>
      </c>
      <c r="I24" s="138" t="str">
        <f t="shared" si="8"/>
        <v/>
      </c>
      <c r="J24" s="138" t="str">
        <f t="shared" si="9"/>
        <v/>
      </c>
      <c r="K24" s="138" t="str">
        <f t="shared" si="10"/>
        <v/>
      </c>
      <c r="L24" s="138" t="str">
        <f t="shared" si="11"/>
        <v/>
      </c>
      <c r="M24" s="138" t="str">
        <f t="shared" si="12"/>
        <v/>
      </c>
      <c r="N24" s="138" t="str">
        <f t="shared" si="13"/>
        <v/>
      </c>
      <c r="O24" s="138" t="str">
        <f t="shared" si="14"/>
        <v/>
      </c>
      <c r="P24" s="138" t="str">
        <f t="shared" si="15"/>
        <v/>
      </c>
      <c r="Q24" s="138" t="str">
        <f t="shared" si="16"/>
        <v/>
      </c>
      <c r="R24" s="138" t="str">
        <f t="shared" si="17"/>
        <v/>
      </c>
      <c r="S24" s="138" t="str">
        <f t="shared" si="18"/>
        <v/>
      </c>
      <c r="T24" s="138" t="str">
        <f t="shared" si="19"/>
        <v/>
      </c>
      <c r="U24" s="138" t="str">
        <f t="shared" si="20"/>
        <v/>
      </c>
      <c r="V24" s="138" t="str">
        <f t="shared" si="21"/>
        <v/>
      </c>
      <c r="W24" s="138" t="str">
        <f t="shared" si="22"/>
        <v/>
      </c>
      <c r="X24" s="138" t="str">
        <f t="shared" si="38"/>
        <v/>
      </c>
      <c r="Y24" s="138" t="str">
        <f t="shared" si="23"/>
        <v/>
      </c>
      <c r="Z24" s="138" t="str">
        <f t="shared" si="24"/>
        <v/>
      </c>
      <c r="AA24" s="138" t="str">
        <f t="shared" si="25"/>
        <v/>
      </c>
      <c r="AB24" s="138" t="str">
        <f t="shared" si="26"/>
        <v/>
      </c>
      <c r="AC24" s="138" t="str">
        <f t="shared" si="27"/>
        <v/>
      </c>
      <c r="AD24" s="138" t="str">
        <f t="shared" si="28"/>
        <v/>
      </c>
      <c r="AE24" s="138" t="str">
        <f t="shared" si="29"/>
        <v/>
      </c>
      <c r="AF24" s="138" t="str">
        <f t="shared" si="30"/>
        <v/>
      </c>
      <c r="AG24" s="138" t="str">
        <f t="shared" si="31"/>
        <v/>
      </c>
      <c r="AH24" s="138" t="str">
        <f t="shared" si="32"/>
        <v/>
      </c>
      <c r="AI24" s="138" t="str">
        <f t="shared" si="33"/>
        <v/>
      </c>
      <c r="AJ24" s="138" t="str">
        <f t="shared" si="34"/>
        <v/>
      </c>
      <c r="AK24" s="138" t="str">
        <f t="shared" si="35"/>
        <v/>
      </c>
      <c r="AL24" s="138" t="str">
        <f t="shared" si="36"/>
        <v/>
      </c>
      <c r="AM24" s="259">
        <f t="shared" si="39"/>
        <v>0</v>
      </c>
      <c r="AN24" s="110"/>
    </row>
    <row r="25" spans="1:41" s="22" customFormat="1" ht="16.5" hidden="1">
      <c r="A25" s="21" t="str">
        <f>IF($A$2="","",IF(MAX($A$9:A24)+1&gt;$A$2,"",MAX($A$9:A24)+1))</f>
        <v/>
      </c>
      <c r="B25" s="18" t="str">
        <f t="shared" si="1"/>
        <v/>
      </c>
      <c r="C25" s="19" t="str">
        <f t="shared" si="2"/>
        <v/>
      </c>
      <c r="D25" s="20" t="str">
        <f t="shared" si="3"/>
        <v/>
      </c>
      <c r="E25" s="77" t="str">
        <f t="shared" si="4"/>
        <v/>
      </c>
      <c r="F25" s="138" t="str">
        <f t="shared" si="5"/>
        <v/>
      </c>
      <c r="G25" s="138" t="str">
        <f t="shared" si="6"/>
        <v/>
      </c>
      <c r="H25" s="138" t="str">
        <f t="shared" si="7"/>
        <v/>
      </c>
      <c r="I25" s="138" t="str">
        <f t="shared" si="8"/>
        <v/>
      </c>
      <c r="J25" s="138" t="str">
        <f t="shared" si="9"/>
        <v/>
      </c>
      <c r="K25" s="138" t="str">
        <f t="shared" si="10"/>
        <v/>
      </c>
      <c r="L25" s="138" t="str">
        <f t="shared" si="11"/>
        <v/>
      </c>
      <c r="M25" s="138" t="str">
        <f t="shared" si="12"/>
        <v/>
      </c>
      <c r="N25" s="138" t="str">
        <f t="shared" si="13"/>
        <v/>
      </c>
      <c r="O25" s="138" t="str">
        <f t="shared" si="14"/>
        <v/>
      </c>
      <c r="P25" s="138" t="str">
        <f t="shared" si="15"/>
        <v/>
      </c>
      <c r="Q25" s="138" t="str">
        <f t="shared" si="16"/>
        <v/>
      </c>
      <c r="R25" s="138" t="str">
        <f t="shared" si="17"/>
        <v/>
      </c>
      <c r="S25" s="138" t="str">
        <f t="shared" si="18"/>
        <v/>
      </c>
      <c r="T25" s="138" t="str">
        <f t="shared" si="19"/>
        <v/>
      </c>
      <c r="U25" s="138" t="str">
        <f t="shared" si="20"/>
        <v/>
      </c>
      <c r="V25" s="138" t="str">
        <f t="shared" si="21"/>
        <v/>
      </c>
      <c r="W25" s="138" t="str">
        <f t="shared" si="22"/>
        <v/>
      </c>
      <c r="X25" s="138" t="str">
        <f t="shared" si="38"/>
        <v/>
      </c>
      <c r="Y25" s="138" t="str">
        <f t="shared" si="23"/>
        <v/>
      </c>
      <c r="Z25" s="138" t="str">
        <f t="shared" si="24"/>
        <v/>
      </c>
      <c r="AA25" s="138" t="str">
        <f t="shared" si="25"/>
        <v/>
      </c>
      <c r="AB25" s="138" t="str">
        <f t="shared" si="26"/>
        <v/>
      </c>
      <c r="AC25" s="138" t="str">
        <f t="shared" si="27"/>
        <v/>
      </c>
      <c r="AD25" s="138" t="str">
        <f t="shared" si="28"/>
        <v/>
      </c>
      <c r="AE25" s="138" t="str">
        <f t="shared" si="29"/>
        <v/>
      </c>
      <c r="AF25" s="138" t="str">
        <f t="shared" si="30"/>
        <v/>
      </c>
      <c r="AG25" s="138" t="str">
        <f t="shared" si="31"/>
        <v/>
      </c>
      <c r="AH25" s="138" t="str">
        <f t="shared" si="32"/>
        <v/>
      </c>
      <c r="AI25" s="138" t="str">
        <f t="shared" si="33"/>
        <v/>
      </c>
      <c r="AJ25" s="138" t="str">
        <f t="shared" si="34"/>
        <v/>
      </c>
      <c r="AK25" s="138" t="str">
        <f t="shared" si="35"/>
        <v/>
      </c>
      <c r="AL25" s="138" t="str">
        <f t="shared" si="36"/>
        <v/>
      </c>
      <c r="AM25" s="259">
        <f t="shared" si="39"/>
        <v>0</v>
      </c>
      <c r="AN25" s="110"/>
    </row>
    <row r="26" spans="1:41" s="22" customFormat="1" ht="16.5" hidden="1">
      <c r="A26" s="21" t="str">
        <f>IF($A$2="","",IF(MAX($A$9:A25)+1&gt;$A$2,"",MAX($A$9:A25)+1))</f>
        <v/>
      </c>
      <c r="B26" s="18" t="str">
        <f t="shared" si="1"/>
        <v/>
      </c>
      <c r="C26" s="19" t="str">
        <f t="shared" si="2"/>
        <v/>
      </c>
      <c r="D26" s="20" t="str">
        <f t="shared" si="3"/>
        <v/>
      </c>
      <c r="E26" s="77" t="str">
        <f t="shared" si="4"/>
        <v/>
      </c>
      <c r="F26" s="138" t="str">
        <f t="shared" si="5"/>
        <v/>
      </c>
      <c r="G26" s="138" t="str">
        <f t="shared" si="6"/>
        <v/>
      </c>
      <c r="H26" s="138" t="str">
        <f t="shared" si="7"/>
        <v/>
      </c>
      <c r="I26" s="138" t="str">
        <f t="shared" si="8"/>
        <v/>
      </c>
      <c r="J26" s="138" t="str">
        <f t="shared" si="9"/>
        <v/>
      </c>
      <c r="K26" s="138" t="str">
        <f t="shared" si="10"/>
        <v/>
      </c>
      <c r="L26" s="138" t="str">
        <f t="shared" si="11"/>
        <v/>
      </c>
      <c r="M26" s="138" t="str">
        <f t="shared" si="12"/>
        <v/>
      </c>
      <c r="N26" s="138" t="str">
        <f t="shared" si="13"/>
        <v/>
      </c>
      <c r="O26" s="138" t="str">
        <f t="shared" si="14"/>
        <v/>
      </c>
      <c r="P26" s="138" t="str">
        <f t="shared" si="15"/>
        <v/>
      </c>
      <c r="Q26" s="138" t="str">
        <f t="shared" si="16"/>
        <v/>
      </c>
      <c r="R26" s="138" t="str">
        <f t="shared" si="17"/>
        <v/>
      </c>
      <c r="S26" s="138" t="str">
        <f t="shared" si="18"/>
        <v/>
      </c>
      <c r="T26" s="138" t="str">
        <f t="shared" si="19"/>
        <v/>
      </c>
      <c r="U26" s="138" t="str">
        <f t="shared" si="20"/>
        <v/>
      </c>
      <c r="V26" s="138" t="str">
        <f t="shared" si="21"/>
        <v/>
      </c>
      <c r="W26" s="138" t="str">
        <f t="shared" si="22"/>
        <v/>
      </c>
      <c r="X26" s="138" t="str">
        <f t="shared" si="38"/>
        <v/>
      </c>
      <c r="Y26" s="138" t="str">
        <f t="shared" si="23"/>
        <v/>
      </c>
      <c r="Z26" s="138" t="str">
        <f t="shared" si="24"/>
        <v/>
      </c>
      <c r="AA26" s="138" t="str">
        <f t="shared" si="25"/>
        <v/>
      </c>
      <c r="AB26" s="138" t="str">
        <f t="shared" si="26"/>
        <v/>
      </c>
      <c r="AC26" s="138" t="str">
        <f t="shared" si="27"/>
        <v/>
      </c>
      <c r="AD26" s="138" t="str">
        <f t="shared" si="28"/>
        <v/>
      </c>
      <c r="AE26" s="138" t="str">
        <f t="shared" si="29"/>
        <v/>
      </c>
      <c r="AF26" s="138" t="str">
        <f t="shared" si="30"/>
        <v/>
      </c>
      <c r="AG26" s="138" t="str">
        <f t="shared" si="31"/>
        <v/>
      </c>
      <c r="AH26" s="138" t="str">
        <f t="shared" si="32"/>
        <v/>
      </c>
      <c r="AI26" s="138" t="str">
        <f t="shared" si="33"/>
        <v/>
      </c>
      <c r="AJ26" s="138" t="str">
        <f t="shared" si="34"/>
        <v/>
      </c>
      <c r="AK26" s="138" t="str">
        <f t="shared" si="35"/>
        <v/>
      </c>
      <c r="AL26" s="138" t="str">
        <f t="shared" si="36"/>
        <v/>
      </c>
      <c r="AM26" s="259">
        <f t="shared" si="39"/>
        <v>0</v>
      </c>
      <c r="AN26" s="110"/>
    </row>
    <row r="27" spans="1:41" s="22" customFormat="1" ht="16.5" hidden="1">
      <c r="A27" s="21" t="str">
        <f>IF($A$2="","",IF(MAX($A$9:A26)+1&gt;$A$2,"",MAX($A$9:A26)+1))</f>
        <v/>
      </c>
      <c r="B27" s="18" t="str">
        <f t="shared" si="1"/>
        <v/>
      </c>
      <c r="C27" s="19" t="str">
        <f t="shared" si="2"/>
        <v/>
      </c>
      <c r="D27" s="20" t="str">
        <f t="shared" si="3"/>
        <v/>
      </c>
      <c r="E27" s="77" t="str">
        <f t="shared" si="4"/>
        <v/>
      </c>
      <c r="F27" s="138" t="str">
        <f t="shared" si="5"/>
        <v/>
      </c>
      <c r="G27" s="138" t="str">
        <f t="shared" si="6"/>
        <v/>
      </c>
      <c r="H27" s="138" t="str">
        <f t="shared" si="7"/>
        <v/>
      </c>
      <c r="I27" s="138" t="str">
        <f t="shared" si="8"/>
        <v/>
      </c>
      <c r="J27" s="138" t="str">
        <f t="shared" si="9"/>
        <v/>
      </c>
      <c r="K27" s="138" t="str">
        <f t="shared" si="10"/>
        <v/>
      </c>
      <c r="L27" s="138" t="str">
        <f t="shared" si="11"/>
        <v/>
      </c>
      <c r="M27" s="138" t="str">
        <f t="shared" si="12"/>
        <v/>
      </c>
      <c r="N27" s="138" t="str">
        <f t="shared" si="13"/>
        <v/>
      </c>
      <c r="O27" s="138" t="str">
        <f t="shared" si="14"/>
        <v/>
      </c>
      <c r="P27" s="138" t="str">
        <f t="shared" si="15"/>
        <v/>
      </c>
      <c r="Q27" s="138" t="str">
        <f t="shared" si="16"/>
        <v/>
      </c>
      <c r="R27" s="138" t="str">
        <f t="shared" si="17"/>
        <v/>
      </c>
      <c r="S27" s="138" t="str">
        <f t="shared" si="18"/>
        <v/>
      </c>
      <c r="T27" s="138" t="str">
        <f t="shared" si="19"/>
        <v/>
      </c>
      <c r="U27" s="138" t="str">
        <f t="shared" si="20"/>
        <v/>
      </c>
      <c r="V27" s="138" t="str">
        <f t="shared" si="21"/>
        <v/>
      </c>
      <c r="W27" s="138" t="str">
        <f t="shared" si="22"/>
        <v/>
      </c>
      <c r="X27" s="138" t="str">
        <f t="shared" si="38"/>
        <v/>
      </c>
      <c r="Y27" s="138" t="str">
        <f t="shared" si="23"/>
        <v/>
      </c>
      <c r="Z27" s="138" t="str">
        <f t="shared" si="24"/>
        <v/>
      </c>
      <c r="AA27" s="138" t="str">
        <f t="shared" si="25"/>
        <v/>
      </c>
      <c r="AB27" s="138" t="str">
        <f t="shared" si="26"/>
        <v/>
      </c>
      <c r="AC27" s="138" t="str">
        <f t="shared" si="27"/>
        <v/>
      </c>
      <c r="AD27" s="138" t="str">
        <f t="shared" si="28"/>
        <v/>
      </c>
      <c r="AE27" s="138" t="str">
        <f t="shared" si="29"/>
        <v/>
      </c>
      <c r="AF27" s="138" t="str">
        <f t="shared" si="30"/>
        <v/>
      </c>
      <c r="AG27" s="138" t="str">
        <f t="shared" si="31"/>
        <v/>
      </c>
      <c r="AH27" s="138" t="str">
        <f t="shared" si="32"/>
        <v/>
      </c>
      <c r="AI27" s="138" t="str">
        <f t="shared" si="33"/>
        <v/>
      </c>
      <c r="AJ27" s="138" t="str">
        <f t="shared" si="34"/>
        <v/>
      </c>
      <c r="AK27" s="138" t="str">
        <f t="shared" si="35"/>
        <v/>
      </c>
      <c r="AL27" s="138" t="str">
        <f t="shared" si="36"/>
        <v/>
      </c>
      <c r="AM27" s="259">
        <f t="shared" si="39"/>
        <v>0</v>
      </c>
      <c r="AN27" s="110"/>
    </row>
    <row r="28" spans="1:41" s="22" customFormat="1" ht="16.5" hidden="1">
      <c r="A28" s="21" t="str">
        <f>IF($A$2="","",IF(MAX($A$9:A27)+1&gt;$A$2,"",MAX($A$9:A27)+1))</f>
        <v/>
      </c>
      <c r="B28" s="18" t="str">
        <f t="shared" si="1"/>
        <v/>
      </c>
      <c r="C28" s="19" t="str">
        <f t="shared" si="2"/>
        <v/>
      </c>
      <c r="D28" s="20" t="str">
        <f t="shared" si="3"/>
        <v/>
      </c>
      <c r="E28" s="77" t="str">
        <f t="shared" si="4"/>
        <v/>
      </c>
      <c r="F28" s="138" t="str">
        <f t="shared" si="5"/>
        <v/>
      </c>
      <c r="G28" s="138" t="str">
        <f t="shared" si="6"/>
        <v/>
      </c>
      <c r="H28" s="138" t="str">
        <f t="shared" si="7"/>
        <v/>
      </c>
      <c r="I28" s="138" t="str">
        <f t="shared" si="8"/>
        <v/>
      </c>
      <c r="J28" s="138" t="str">
        <f t="shared" si="9"/>
        <v/>
      </c>
      <c r="K28" s="138" t="str">
        <f t="shared" si="10"/>
        <v/>
      </c>
      <c r="L28" s="138" t="str">
        <f t="shared" si="11"/>
        <v/>
      </c>
      <c r="M28" s="138" t="str">
        <f t="shared" si="12"/>
        <v/>
      </c>
      <c r="N28" s="138" t="str">
        <f t="shared" si="13"/>
        <v/>
      </c>
      <c r="O28" s="138" t="str">
        <f t="shared" si="14"/>
        <v/>
      </c>
      <c r="P28" s="138" t="str">
        <f t="shared" si="15"/>
        <v/>
      </c>
      <c r="Q28" s="138" t="str">
        <f t="shared" si="16"/>
        <v/>
      </c>
      <c r="R28" s="138" t="str">
        <f t="shared" si="17"/>
        <v/>
      </c>
      <c r="S28" s="138" t="str">
        <f t="shared" si="18"/>
        <v/>
      </c>
      <c r="T28" s="138" t="str">
        <f t="shared" si="19"/>
        <v/>
      </c>
      <c r="U28" s="138" t="str">
        <f t="shared" si="20"/>
        <v/>
      </c>
      <c r="V28" s="138" t="str">
        <f t="shared" si="21"/>
        <v/>
      </c>
      <c r="W28" s="138" t="str">
        <f t="shared" si="22"/>
        <v/>
      </c>
      <c r="X28" s="138" t="str">
        <f t="shared" si="38"/>
        <v/>
      </c>
      <c r="Y28" s="138" t="str">
        <f t="shared" si="23"/>
        <v/>
      </c>
      <c r="Z28" s="138" t="str">
        <f t="shared" si="24"/>
        <v/>
      </c>
      <c r="AA28" s="138" t="str">
        <f t="shared" si="25"/>
        <v/>
      </c>
      <c r="AB28" s="138" t="str">
        <f t="shared" si="26"/>
        <v/>
      </c>
      <c r="AC28" s="138" t="str">
        <f t="shared" si="27"/>
        <v/>
      </c>
      <c r="AD28" s="138" t="str">
        <f t="shared" si="28"/>
        <v/>
      </c>
      <c r="AE28" s="138" t="str">
        <f t="shared" si="29"/>
        <v/>
      </c>
      <c r="AF28" s="138" t="str">
        <f t="shared" si="30"/>
        <v/>
      </c>
      <c r="AG28" s="138" t="str">
        <f t="shared" si="31"/>
        <v/>
      </c>
      <c r="AH28" s="138" t="str">
        <f t="shared" si="32"/>
        <v/>
      </c>
      <c r="AI28" s="138" t="str">
        <f t="shared" si="33"/>
        <v/>
      </c>
      <c r="AJ28" s="138" t="str">
        <f t="shared" si="34"/>
        <v/>
      </c>
      <c r="AK28" s="138" t="str">
        <f t="shared" si="35"/>
        <v/>
      </c>
      <c r="AL28" s="138" t="str">
        <f t="shared" si="36"/>
        <v/>
      </c>
      <c r="AM28" s="259">
        <f t="shared" si="39"/>
        <v>0</v>
      </c>
      <c r="AN28" s="110"/>
    </row>
    <row r="29" spans="1:41" s="22" customFormat="1" ht="16.5" hidden="1">
      <c r="A29" s="21" t="str">
        <f>IF($A$2="","",IF(MAX($A$9:A28)+1&gt;$A$2,"",MAX($A$9:A28)+1))</f>
        <v/>
      </c>
      <c r="B29" s="18" t="str">
        <f t="shared" si="1"/>
        <v/>
      </c>
      <c r="C29" s="19" t="str">
        <f t="shared" si="2"/>
        <v/>
      </c>
      <c r="D29" s="20" t="str">
        <f t="shared" si="3"/>
        <v/>
      </c>
      <c r="E29" s="77" t="str">
        <f t="shared" si="4"/>
        <v/>
      </c>
      <c r="F29" s="138" t="str">
        <f t="shared" si="5"/>
        <v/>
      </c>
      <c r="G29" s="138" t="str">
        <f t="shared" si="6"/>
        <v/>
      </c>
      <c r="H29" s="138" t="str">
        <f t="shared" si="7"/>
        <v/>
      </c>
      <c r="I29" s="138" t="str">
        <f t="shared" si="8"/>
        <v/>
      </c>
      <c r="J29" s="138" t="str">
        <f t="shared" si="9"/>
        <v/>
      </c>
      <c r="K29" s="138" t="str">
        <f t="shared" si="10"/>
        <v/>
      </c>
      <c r="L29" s="138" t="str">
        <f t="shared" si="11"/>
        <v/>
      </c>
      <c r="M29" s="138" t="str">
        <f t="shared" si="12"/>
        <v/>
      </c>
      <c r="N29" s="138" t="str">
        <f t="shared" si="13"/>
        <v/>
      </c>
      <c r="O29" s="138" t="str">
        <f t="shared" si="14"/>
        <v/>
      </c>
      <c r="P29" s="138" t="str">
        <f t="shared" si="15"/>
        <v/>
      </c>
      <c r="Q29" s="138" t="str">
        <f t="shared" si="16"/>
        <v/>
      </c>
      <c r="R29" s="138" t="str">
        <f t="shared" si="17"/>
        <v/>
      </c>
      <c r="S29" s="138" t="str">
        <f t="shared" si="18"/>
        <v/>
      </c>
      <c r="T29" s="138" t="str">
        <f t="shared" si="19"/>
        <v/>
      </c>
      <c r="U29" s="138" t="str">
        <f t="shared" si="20"/>
        <v/>
      </c>
      <c r="V29" s="138" t="str">
        <f t="shared" si="21"/>
        <v/>
      </c>
      <c r="W29" s="138" t="str">
        <f t="shared" si="22"/>
        <v/>
      </c>
      <c r="X29" s="138" t="str">
        <f t="shared" si="38"/>
        <v/>
      </c>
      <c r="Y29" s="138" t="str">
        <f t="shared" si="23"/>
        <v/>
      </c>
      <c r="Z29" s="138" t="str">
        <f t="shared" si="24"/>
        <v/>
      </c>
      <c r="AA29" s="138" t="str">
        <f t="shared" si="25"/>
        <v/>
      </c>
      <c r="AB29" s="138" t="str">
        <f t="shared" si="26"/>
        <v/>
      </c>
      <c r="AC29" s="138" t="str">
        <f t="shared" si="27"/>
        <v/>
      </c>
      <c r="AD29" s="138" t="str">
        <f t="shared" si="28"/>
        <v/>
      </c>
      <c r="AE29" s="138" t="str">
        <f t="shared" si="29"/>
        <v/>
      </c>
      <c r="AF29" s="138" t="str">
        <f t="shared" si="30"/>
        <v/>
      </c>
      <c r="AG29" s="138" t="str">
        <f t="shared" si="31"/>
        <v/>
      </c>
      <c r="AH29" s="138" t="str">
        <f t="shared" si="32"/>
        <v/>
      </c>
      <c r="AI29" s="138" t="str">
        <f t="shared" si="33"/>
        <v/>
      </c>
      <c r="AJ29" s="138" t="str">
        <f t="shared" si="34"/>
        <v/>
      </c>
      <c r="AK29" s="138" t="str">
        <f t="shared" si="35"/>
        <v/>
      </c>
      <c r="AL29" s="138" t="str">
        <f t="shared" si="36"/>
        <v/>
      </c>
      <c r="AM29" s="259">
        <f t="shared" si="39"/>
        <v>0</v>
      </c>
      <c r="AN29" s="110"/>
    </row>
    <row r="30" spans="1:41" s="22" customFormat="1" ht="16.5" hidden="1">
      <c r="A30" s="21" t="str">
        <f>IF($A$2="","",IF(MAX($A$9:A29)+1&gt;$A$2,"",MAX($A$9:A29)+1))</f>
        <v/>
      </c>
      <c r="B30" s="18" t="str">
        <f t="shared" si="1"/>
        <v/>
      </c>
      <c r="C30" s="19" t="str">
        <f t="shared" si="2"/>
        <v/>
      </c>
      <c r="D30" s="20" t="str">
        <f t="shared" si="3"/>
        <v/>
      </c>
      <c r="E30" s="77" t="str">
        <f t="shared" si="4"/>
        <v/>
      </c>
      <c r="F30" s="138" t="str">
        <f t="shared" si="5"/>
        <v/>
      </c>
      <c r="G30" s="138" t="str">
        <f t="shared" si="6"/>
        <v/>
      </c>
      <c r="H30" s="138" t="str">
        <f t="shared" si="7"/>
        <v/>
      </c>
      <c r="I30" s="138" t="str">
        <f t="shared" si="8"/>
        <v/>
      </c>
      <c r="J30" s="138" t="str">
        <f t="shared" si="9"/>
        <v/>
      </c>
      <c r="K30" s="138" t="str">
        <f t="shared" si="10"/>
        <v/>
      </c>
      <c r="L30" s="138" t="str">
        <f t="shared" si="11"/>
        <v/>
      </c>
      <c r="M30" s="138" t="str">
        <f t="shared" si="12"/>
        <v/>
      </c>
      <c r="N30" s="138" t="str">
        <f t="shared" si="13"/>
        <v/>
      </c>
      <c r="O30" s="138" t="str">
        <f t="shared" si="14"/>
        <v/>
      </c>
      <c r="P30" s="138" t="str">
        <f t="shared" si="15"/>
        <v/>
      </c>
      <c r="Q30" s="138" t="str">
        <f t="shared" si="16"/>
        <v/>
      </c>
      <c r="R30" s="138" t="str">
        <f t="shared" si="17"/>
        <v/>
      </c>
      <c r="S30" s="138" t="str">
        <f t="shared" si="18"/>
        <v/>
      </c>
      <c r="T30" s="138" t="str">
        <f t="shared" si="19"/>
        <v/>
      </c>
      <c r="U30" s="138" t="str">
        <f t="shared" si="20"/>
        <v/>
      </c>
      <c r="V30" s="138" t="str">
        <f t="shared" si="21"/>
        <v/>
      </c>
      <c r="W30" s="138" t="str">
        <f t="shared" si="22"/>
        <v/>
      </c>
      <c r="X30" s="138" t="str">
        <f t="shared" si="38"/>
        <v/>
      </c>
      <c r="Y30" s="138" t="str">
        <f t="shared" si="23"/>
        <v/>
      </c>
      <c r="Z30" s="138" t="str">
        <f t="shared" si="24"/>
        <v/>
      </c>
      <c r="AA30" s="138" t="str">
        <f t="shared" si="25"/>
        <v/>
      </c>
      <c r="AB30" s="138" t="str">
        <f t="shared" si="26"/>
        <v/>
      </c>
      <c r="AC30" s="138" t="str">
        <f t="shared" si="27"/>
        <v/>
      </c>
      <c r="AD30" s="138" t="str">
        <f t="shared" si="28"/>
        <v/>
      </c>
      <c r="AE30" s="138" t="str">
        <f t="shared" si="29"/>
        <v/>
      </c>
      <c r="AF30" s="138" t="str">
        <f t="shared" si="30"/>
        <v/>
      </c>
      <c r="AG30" s="138" t="str">
        <f t="shared" si="31"/>
        <v/>
      </c>
      <c r="AH30" s="138" t="str">
        <f t="shared" si="32"/>
        <v/>
      </c>
      <c r="AI30" s="138" t="str">
        <f t="shared" si="33"/>
        <v/>
      </c>
      <c r="AJ30" s="138" t="str">
        <f t="shared" si="34"/>
        <v/>
      </c>
      <c r="AK30" s="138" t="str">
        <f t="shared" si="35"/>
        <v/>
      </c>
      <c r="AL30" s="138" t="str">
        <f t="shared" si="36"/>
        <v/>
      </c>
      <c r="AM30" s="259">
        <f t="shared" si="39"/>
        <v>0</v>
      </c>
      <c r="AN30" s="110"/>
    </row>
    <row r="31" spans="1:41" s="23" customFormat="1" ht="15.75" hidden="1">
      <c r="A31" s="21" t="str">
        <f>IF($A$2="","",IF(MAX($A$9:A30)+1&gt;$A$2,"",MAX($A$9:A30)+1))</f>
        <v/>
      </c>
      <c r="B31" s="18" t="str">
        <f t="shared" si="1"/>
        <v/>
      </c>
      <c r="C31" s="19" t="str">
        <f t="shared" si="2"/>
        <v/>
      </c>
      <c r="D31" s="20" t="str">
        <f t="shared" si="3"/>
        <v/>
      </c>
      <c r="E31" s="77" t="str">
        <f t="shared" si="4"/>
        <v/>
      </c>
      <c r="F31" s="138" t="str">
        <f t="shared" si="5"/>
        <v/>
      </c>
      <c r="G31" s="138" t="str">
        <f t="shared" si="6"/>
        <v/>
      </c>
      <c r="H31" s="138" t="str">
        <f t="shared" si="7"/>
        <v/>
      </c>
      <c r="I31" s="138" t="str">
        <f t="shared" si="8"/>
        <v/>
      </c>
      <c r="J31" s="138" t="str">
        <f t="shared" si="9"/>
        <v/>
      </c>
      <c r="K31" s="138" t="str">
        <f t="shared" si="10"/>
        <v/>
      </c>
      <c r="L31" s="138" t="str">
        <f t="shared" si="11"/>
        <v/>
      </c>
      <c r="M31" s="138" t="str">
        <f t="shared" si="12"/>
        <v/>
      </c>
      <c r="N31" s="138" t="str">
        <f t="shared" si="13"/>
        <v/>
      </c>
      <c r="O31" s="138" t="str">
        <f t="shared" si="14"/>
        <v/>
      </c>
      <c r="P31" s="138" t="str">
        <f t="shared" si="15"/>
        <v/>
      </c>
      <c r="Q31" s="138" t="str">
        <f t="shared" si="16"/>
        <v/>
      </c>
      <c r="R31" s="138" t="str">
        <f t="shared" si="17"/>
        <v/>
      </c>
      <c r="S31" s="138" t="str">
        <f t="shared" si="18"/>
        <v/>
      </c>
      <c r="T31" s="138" t="str">
        <f t="shared" si="19"/>
        <v/>
      </c>
      <c r="U31" s="138" t="str">
        <f t="shared" si="20"/>
        <v/>
      </c>
      <c r="V31" s="138" t="str">
        <f t="shared" si="21"/>
        <v/>
      </c>
      <c r="W31" s="138" t="str">
        <f t="shared" si="22"/>
        <v/>
      </c>
      <c r="X31" s="138" t="str">
        <f t="shared" si="38"/>
        <v/>
      </c>
      <c r="Y31" s="138" t="str">
        <f t="shared" si="23"/>
        <v/>
      </c>
      <c r="Z31" s="138" t="str">
        <f t="shared" si="24"/>
        <v/>
      </c>
      <c r="AA31" s="138" t="str">
        <f t="shared" si="25"/>
        <v/>
      </c>
      <c r="AB31" s="138" t="str">
        <f t="shared" si="26"/>
        <v/>
      </c>
      <c r="AC31" s="138" t="str">
        <f t="shared" si="27"/>
        <v/>
      </c>
      <c r="AD31" s="138" t="str">
        <f t="shared" si="28"/>
        <v/>
      </c>
      <c r="AE31" s="138" t="str">
        <f t="shared" si="29"/>
        <v/>
      </c>
      <c r="AF31" s="138" t="str">
        <f t="shared" si="30"/>
        <v/>
      </c>
      <c r="AG31" s="138" t="str">
        <f t="shared" si="31"/>
        <v/>
      </c>
      <c r="AH31" s="138" t="str">
        <f t="shared" si="32"/>
        <v/>
      </c>
      <c r="AI31" s="138" t="str">
        <f t="shared" si="33"/>
        <v/>
      </c>
      <c r="AJ31" s="138" t="str">
        <f t="shared" si="34"/>
        <v/>
      </c>
      <c r="AK31" s="138" t="str">
        <f t="shared" si="35"/>
        <v/>
      </c>
      <c r="AL31" s="138" t="str">
        <f t="shared" si="36"/>
        <v/>
      </c>
      <c r="AM31" s="259">
        <f t="shared" si="39"/>
        <v>0</v>
      </c>
      <c r="AN31" s="110"/>
    </row>
    <row r="32" spans="1:41" s="23" customFormat="1" ht="15.75" hidden="1">
      <c r="A32" s="21" t="str">
        <f>IF($A$2="","",IF(MAX($A$9:A31)+1&gt;$A$2,"",MAX($A$9:A31)+1))</f>
        <v/>
      </c>
      <c r="B32" s="18" t="str">
        <f t="shared" si="1"/>
        <v/>
      </c>
      <c r="C32" s="19" t="str">
        <f t="shared" si="2"/>
        <v/>
      </c>
      <c r="D32" s="20" t="str">
        <f t="shared" si="3"/>
        <v/>
      </c>
      <c r="E32" s="77" t="str">
        <f t="shared" si="4"/>
        <v/>
      </c>
      <c r="F32" s="138" t="str">
        <f t="shared" si="5"/>
        <v/>
      </c>
      <c r="G32" s="138" t="str">
        <f t="shared" si="6"/>
        <v/>
      </c>
      <c r="H32" s="138" t="str">
        <f t="shared" si="7"/>
        <v/>
      </c>
      <c r="I32" s="138" t="str">
        <f t="shared" si="8"/>
        <v/>
      </c>
      <c r="J32" s="138" t="str">
        <f t="shared" si="9"/>
        <v/>
      </c>
      <c r="K32" s="138" t="str">
        <f t="shared" si="10"/>
        <v/>
      </c>
      <c r="L32" s="138" t="str">
        <f t="shared" si="11"/>
        <v/>
      </c>
      <c r="M32" s="138" t="str">
        <f t="shared" si="12"/>
        <v/>
      </c>
      <c r="N32" s="138" t="str">
        <f t="shared" si="13"/>
        <v/>
      </c>
      <c r="O32" s="138" t="str">
        <f t="shared" si="14"/>
        <v/>
      </c>
      <c r="P32" s="138" t="str">
        <f t="shared" si="15"/>
        <v/>
      </c>
      <c r="Q32" s="138" t="str">
        <f t="shared" si="16"/>
        <v/>
      </c>
      <c r="R32" s="138" t="str">
        <f t="shared" si="17"/>
        <v/>
      </c>
      <c r="S32" s="138" t="str">
        <f t="shared" si="18"/>
        <v/>
      </c>
      <c r="T32" s="138" t="str">
        <f t="shared" si="19"/>
        <v/>
      </c>
      <c r="U32" s="138" t="str">
        <f t="shared" si="20"/>
        <v/>
      </c>
      <c r="V32" s="138" t="str">
        <f t="shared" si="21"/>
        <v/>
      </c>
      <c r="W32" s="138" t="str">
        <f t="shared" si="22"/>
        <v/>
      </c>
      <c r="X32" s="138" t="str">
        <f t="shared" si="38"/>
        <v/>
      </c>
      <c r="Y32" s="138" t="str">
        <f t="shared" si="23"/>
        <v/>
      </c>
      <c r="Z32" s="138" t="str">
        <f t="shared" si="24"/>
        <v/>
      </c>
      <c r="AA32" s="138" t="str">
        <f t="shared" si="25"/>
        <v/>
      </c>
      <c r="AB32" s="138" t="str">
        <f t="shared" si="26"/>
        <v/>
      </c>
      <c r="AC32" s="138" t="str">
        <f t="shared" si="27"/>
        <v/>
      </c>
      <c r="AD32" s="138" t="str">
        <f t="shared" si="28"/>
        <v/>
      </c>
      <c r="AE32" s="138" t="str">
        <f t="shared" si="29"/>
        <v/>
      </c>
      <c r="AF32" s="138" t="str">
        <f t="shared" si="30"/>
        <v/>
      </c>
      <c r="AG32" s="138" t="str">
        <f t="shared" si="31"/>
        <v/>
      </c>
      <c r="AH32" s="138" t="str">
        <f t="shared" si="32"/>
        <v/>
      </c>
      <c r="AI32" s="138" t="str">
        <f t="shared" si="33"/>
        <v/>
      </c>
      <c r="AJ32" s="138" t="str">
        <f t="shared" si="34"/>
        <v/>
      </c>
      <c r="AK32" s="138" t="str">
        <f t="shared" si="35"/>
        <v/>
      </c>
      <c r="AL32" s="138" t="str">
        <f t="shared" si="36"/>
        <v/>
      </c>
      <c r="AM32" s="259">
        <f t="shared" si="39"/>
        <v>0</v>
      </c>
      <c r="AN32" s="110"/>
    </row>
    <row r="33" spans="1:40" s="23" customFormat="1" ht="15.75" hidden="1">
      <c r="A33" s="21" t="str">
        <f>IF($A$2="","",IF(MAX($A$9:A32)+1&gt;$A$2,"",MAX($A$9:A32)+1))</f>
        <v/>
      </c>
      <c r="B33" s="18" t="str">
        <f t="shared" si="1"/>
        <v/>
      </c>
      <c r="C33" s="19" t="str">
        <f t="shared" si="2"/>
        <v/>
      </c>
      <c r="D33" s="20" t="str">
        <f t="shared" si="3"/>
        <v/>
      </c>
      <c r="E33" s="77" t="str">
        <f t="shared" si="4"/>
        <v/>
      </c>
      <c r="F33" s="138" t="str">
        <f t="shared" si="5"/>
        <v/>
      </c>
      <c r="G33" s="138" t="str">
        <f t="shared" si="6"/>
        <v/>
      </c>
      <c r="H33" s="138" t="str">
        <f t="shared" si="7"/>
        <v/>
      </c>
      <c r="I33" s="138" t="str">
        <f t="shared" si="8"/>
        <v/>
      </c>
      <c r="J33" s="138" t="str">
        <f t="shared" si="9"/>
        <v/>
      </c>
      <c r="K33" s="138" t="str">
        <f t="shared" si="10"/>
        <v/>
      </c>
      <c r="L33" s="138" t="str">
        <f t="shared" si="11"/>
        <v/>
      </c>
      <c r="M33" s="138" t="str">
        <f t="shared" si="12"/>
        <v/>
      </c>
      <c r="N33" s="138" t="str">
        <f t="shared" si="13"/>
        <v/>
      </c>
      <c r="O33" s="138" t="str">
        <f t="shared" si="14"/>
        <v/>
      </c>
      <c r="P33" s="138" t="str">
        <f t="shared" si="15"/>
        <v/>
      </c>
      <c r="Q33" s="138" t="str">
        <f t="shared" si="16"/>
        <v/>
      </c>
      <c r="R33" s="138" t="str">
        <f t="shared" si="17"/>
        <v/>
      </c>
      <c r="S33" s="138" t="str">
        <f t="shared" si="18"/>
        <v/>
      </c>
      <c r="T33" s="138" t="str">
        <f t="shared" si="19"/>
        <v/>
      </c>
      <c r="U33" s="138" t="str">
        <f t="shared" si="20"/>
        <v/>
      </c>
      <c r="V33" s="138" t="str">
        <f t="shared" si="21"/>
        <v/>
      </c>
      <c r="W33" s="138" t="str">
        <f t="shared" si="22"/>
        <v/>
      </c>
      <c r="X33" s="138" t="str">
        <f t="shared" si="38"/>
        <v/>
      </c>
      <c r="Y33" s="138" t="str">
        <f t="shared" si="23"/>
        <v/>
      </c>
      <c r="Z33" s="138" t="str">
        <f t="shared" si="24"/>
        <v/>
      </c>
      <c r="AA33" s="138" t="str">
        <f t="shared" si="25"/>
        <v/>
      </c>
      <c r="AB33" s="138" t="str">
        <f t="shared" si="26"/>
        <v/>
      </c>
      <c r="AC33" s="138" t="str">
        <f t="shared" si="27"/>
        <v/>
      </c>
      <c r="AD33" s="138" t="str">
        <f t="shared" si="28"/>
        <v/>
      </c>
      <c r="AE33" s="138" t="str">
        <f t="shared" si="29"/>
        <v/>
      </c>
      <c r="AF33" s="138" t="str">
        <f t="shared" si="30"/>
        <v/>
      </c>
      <c r="AG33" s="138" t="str">
        <f t="shared" si="31"/>
        <v/>
      </c>
      <c r="AH33" s="138" t="str">
        <f t="shared" si="32"/>
        <v/>
      </c>
      <c r="AI33" s="138" t="str">
        <f t="shared" si="33"/>
        <v/>
      </c>
      <c r="AJ33" s="138" t="str">
        <f t="shared" si="34"/>
        <v/>
      </c>
      <c r="AK33" s="138" t="str">
        <f t="shared" si="35"/>
        <v/>
      </c>
      <c r="AL33" s="138" t="str">
        <f t="shared" si="36"/>
        <v/>
      </c>
      <c r="AM33" s="259">
        <f t="shared" si="39"/>
        <v>0</v>
      </c>
      <c r="AN33" s="110"/>
    </row>
    <row r="34" spans="1:40" s="22" customFormat="1" ht="16.5" hidden="1">
      <c r="A34" s="21" t="str">
        <f>IF($A$2="","",IF(MAX($A$9:A33)+1&gt;$A$2,"",MAX($A$9:A33)+1))</f>
        <v/>
      </c>
      <c r="B34" s="18" t="str">
        <f t="shared" si="1"/>
        <v/>
      </c>
      <c r="C34" s="19" t="str">
        <f t="shared" si="2"/>
        <v/>
      </c>
      <c r="D34" s="20" t="str">
        <f t="shared" si="3"/>
        <v/>
      </c>
      <c r="E34" s="77" t="str">
        <f t="shared" si="4"/>
        <v/>
      </c>
      <c r="F34" s="138" t="str">
        <f t="shared" si="5"/>
        <v/>
      </c>
      <c r="G34" s="138" t="str">
        <f t="shared" si="6"/>
        <v/>
      </c>
      <c r="H34" s="138" t="str">
        <f t="shared" si="7"/>
        <v/>
      </c>
      <c r="I34" s="138" t="str">
        <f t="shared" si="8"/>
        <v/>
      </c>
      <c r="J34" s="138" t="str">
        <f t="shared" si="9"/>
        <v/>
      </c>
      <c r="K34" s="138" t="str">
        <f t="shared" si="10"/>
        <v/>
      </c>
      <c r="L34" s="138" t="str">
        <f t="shared" si="11"/>
        <v/>
      </c>
      <c r="M34" s="138" t="str">
        <f t="shared" si="12"/>
        <v/>
      </c>
      <c r="N34" s="138" t="str">
        <f t="shared" si="13"/>
        <v/>
      </c>
      <c r="O34" s="138" t="str">
        <f t="shared" si="14"/>
        <v/>
      </c>
      <c r="P34" s="138" t="str">
        <f t="shared" si="15"/>
        <v/>
      </c>
      <c r="Q34" s="138" t="str">
        <f t="shared" si="16"/>
        <v/>
      </c>
      <c r="R34" s="138" t="str">
        <f t="shared" si="17"/>
        <v/>
      </c>
      <c r="S34" s="138" t="str">
        <f t="shared" si="18"/>
        <v/>
      </c>
      <c r="T34" s="138" t="str">
        <f t="shared" si="19"/>
        <v/>
      </c>
      <c r="U34" s="138" t="str">
        <f t="shared" si="20"/>
        <v/>
      </c>
      <c r="V34" s="138" t="str">
        <f t="shared" si="21"/>
        <v/>
      </c>
      <c r="W34" s="138" t="str">
        <f t="shared" si="22"/>
        <v/>
      </c>
      <c r="X34" s="138" t="str">
        <f t="shared" si="38"/>
        <v/>
      </c>
      <c r="Y34" s="138" t="str">
        <f t="shared" si="23"/>
        <v/>
      </c>
      <c r="Z34" s="138" t="str">
        <f t="shared" si="24"/>
        <v/>
      </c>
      <c r="AA34" s="138" t="str">
        <f t="shared" si="25"/>
        <v/>
      </c>
      <c r="AB34" s="138" t="str">
        <f t="shared" si="26"/>
        <v/>
      </c>
      <c r="AC34" s="138" t="str">
        <f t="shared" si="27"/>
        <v/>
      </c>
      <c r="AD34" s="138" t="str">
        <f t="shared" si="28"/>
        <v/>
      </c>
      <c r="AE34" s="138" t="str">
        <f t="shared" si="29"/>
        <v/>
      </c>
      <c r="AF34" s="138" t="str">
        <f t="shared" si="30"/>
        <v/>
      </c>
      <c r="AG34" s="138" t="str">
        <f t="shared" si="31"/>
        <v/>
      </c>
      <c r="AH34" s="138" t="str">
        <f t="shared" si="32"/>
        <v/>
      </c>
      <c r="AI34" s="138" t="str">
        <f t="shared" si="33"/>
        <v/>
      </c>
      <c r="AJ34" s="138" t="str">
        <f t="shared" si="34"/>
        <v/>
      </c>
      <c r="AK34" s="138" t="str">
        <f t="shared" si="35"/>
        <v/>
      </c>
      <c r="AL34" s="138" t="str">
        <f t="shared" si="36"/>
        <v/>
      </c>
      <c r="AM34" s="259">
        <f t="shared" si="39"/>
        <v>0</v>
      </c>
      <c r="AN34" s="110"/>
    </row>
    <row r="35" spans="1:40" s="22" customFormat="1" ht="16.5" hidden="1">
      <c r="A35" s="21" t="str">
        <f>IF($A$2="","",IF(MAX($A$9:A34)+1&gt;$A$2,"",MAX($A$9:A34)+1))</f>
        <v/>
      </c>
      <c r="B35" s="18" t="str">
        <f t="shared" si="1"/>
        <v/>
      </c>
      <c r="C35" s="19" t="str">
        <f t="shared" si="2"/>
        <v/>
      </c>
      <c r="D35" s="20" t="str">
        <f t="shared" si="3"/>
        <v/>
      </c>
      <c r="E35" s="77" t="str">
        <f t="shared" si="4"/>
        <v/>
      </c>
      <c r="F35" s="138" t="str">
        <f t="shared" si="5"/>
        <v/>
      </c>
      <c r="G35" s="138" t="str">
        <f t="shared" si="6"/>
        <v/>
      </c>
      <c r="H35" s="138" t="str">
        <f t="shared" si="7"/>
        <v/>
      </c>
      <c r="I35" s="138" t="str">
        <f t="shared" si="8"/>
        <v/>
      </c>
      <c r="J35" s="138" t="str">
        <f t="shared" si="9"/>
        <v/>
      </c>
      <c r="K35" s="138" t="str">
        <f t="shared" si="10"/>
        <v/>
      </c>
      <c r="L35" s="138" t="str">
        <f t="shared" si="11"/>
        <v/>
      </c>
      <c r="M35" s="138" t="str">
        <f t="shared" si="12"/>
        <v/>
      </c>
      <c r="N35" s="138" t="str">
        <f t="shared" si="13"/>
        <v/>
      </c>
      <c r="O35" s="138" t="str">
        <f t="shared" si="14"/>
        <v/>
      </c>
      <c r="P35" s="138" t="str">
        <f t="shared" si="15"/>
        <v/>
      </c>
      <c r="Q35" s="138" t="str">
        <f t="shared" si="16"/>
        <v/>
      </c>
      <c r="R35" s="138" t="str">
        <f t="shared" si="17"/>
        <v/>
      </c>
      <c r="S35" s="138" t="str">
        <f t="shared" si="18"/>
        <v/>
      </c>
      <c r="T35" s="138" t="str">
        <f t="shared" si="19"/>
        <v/>
      </c>
      <c r="U35" s="138" t="str">
        <f t="shared" si="20"/>
        <v/>
      </c>
      <c r="V35" s="138" t="str">
        <f t="shared" si="21"/>
        <v/>
      </c>
      <c r="W35" s="138" t="str">
        <f t="shared" si="22"/>
        <v/>
      </c>
      <c r="X35" s="138" t="str">
        <f t="shared" si="38"/>
        <v/>
      </c>
      <c r="Y35" s="138" t="str">
        <f t="shared" si="23"/>
        <v/>
      </c>
      <c r="Z35" s="138" t="str">
        <f t="shared" si="24"/>
        <v/>
      </c>
      <c r="AA35" s="138" t="str">
        <f t="shared" si="25"/>
        <v/>
      </c>
      <c r="AB35" s="138" t="str">
        <f t="shared" si="26"/>
        <v/>
      </c>
      <c r="AC35" s="138" t="str">
        <f t="shared" si="27"/>
        <v/>
      </c>
      <c r="AD35" s="138" t="str">
        <f t="shared" si="28"/>
        <v/>
      </c>
      <c r="AE35" s="138" t="str">
        <f t="shared" si="29"/>
        <v/>
      </c>
      <c r="AF35" s="138" t="str">
        <f t="shared" si="30"/>
        <v/>
      </c>
      <c r="AG35" s="138" t="str">
        <f t="shared" si="31"/>
        <v/>
      </c>
      <c r="AH35" s="138" t="str">
        <f t="shared" si="32"/>
        <v/>
      </c>
      <c r="AI35" s="138" t="str">
        <f t="shared" si="33"/>
        <v/>
      </c>
      <c r="AJ35" s="138" t="str">
        <f t="shared" si="34"/>
        <v/>
      </c>
      <c r="AK35" s="138" t="str">
        <f t="shared" si="35"/>
        <v/>
      </c>
      <c r="AL35" s="138" t="str">
        <f t="shared" si="36"/>
        <v/>
      </c>
      <c r="AM35" s="259">
        <f t="shared" si="39"/>
        <v>0</v>
      </c>
      <c r="AN35" s="110"/>
    </row>
    <row r="36" spans="1:40" s="22" customFormat="1" ht="16.5" hidden="1">
      <c r="A36" s="21" t="str">
        <f>IF($A$2="","",IF(MAX($A$9:A35)+1&gt;$A$2,"",MAX($A$9:A35)+1))</f>
        <v/>
      </c>
      <c r="B36" s="18" t="str">
        <f t="shared" si="1"/>
        <v/>
      </c>
      <c r="C36" s="19" t="str">
        <f t="shared" si="2"/>
        <v/>
      </c>
      <c r="D36" s="20" t="str">
        <f t="shared" si="3"/>
        <v/>
      </c>
      <c r="E36" s="77" t="str">
        <f t="shared" si="4"/>
        <v/>
      </c>
      <c r="F36" s="138" t="str">
        <f t="shared" si="5"/>
        <v/>
      </c>
      <c r="G36" s="138" t="str">
        <f t="shared" si="6"/>
        <v/>
      </c>
      <c r="H36" s="138" t="str">
        <f t="shared" si="7"/>
        <v/>
      </c>
      <c r="I36" s="138" t="str">
        <f t="shared" si="8"/>
        <v/>
      </c>
      <c r="J36" s="138" t="str">
        <f t="shared" si="9"/>
        <v/>
      </c>
      <c r="K36" s="138" t="str">
        <f t="shared" si="10"/>
        <v/>
      </c>
      <c r="L36" s="138" t="str">
        <f t="shared" si="11"/>
        <v/>
      </c>
      <c r="M36" s="138" t="str">
        <f t="shared" si="12"/>
        <v/>
      </c>
      <c r="N36" s="138" t="str">
        <f t="shared" si="13"/>
        <v/>
      </c>
      <c r="O36" s="138" t="str">
        <f t="shared" si="14"/>
        <v/>
      </c>
      <c r="P36" s="138" t="str">
        <f t="shared" si="15"/>
        <v/>
      </c>
      <c r="Q36" s="138" t="str">
        <f t="shared" si="16"/>
        <v/>
      </c>
      <c r="R36" s="138" t="str">
        <f t="shared" si="17"/>
        <v/>
      </c>
      <c r="S36" s="138" t="str">
        <f t="shared" si="18"/>
        <v/>
      </c>
      <c r="T36" s="138" t="str">
        <f t="shared" si="19"/>
        <v/>
      </c>
      <c r="U36" s="138" t="str">
        <f t="shared" si="20"/>
        <v/>
      </c>
      <c r="V36" s="138" t="str">
        <f t="shared" si="21"/>
        <v/>
      </c>
      <c r="W36" s="138" t="str">
        <f t="shared" si="22"/>
        <v/>
      </c>
      <c r="X36" s="138" t="str">
        <f t="shared" si="38"/>
        <v/>
      </c>
      <c r="Y36" s="138" t="str">
        <f t="shared" si="23"/>
        <v/>
      </c>
      <c r="Z36" s="138" t="str">
        <f t="shared" si="24"/>
        <v/>
      </c>
      <c r="AA36" s="138" t="str">
        <f t="shared" si="25"/>
        <v/>
      </c>
      <c r="AB36" s="138" t="str">
        <f t="shared" si="26"/>
        <v/>
      </c>
      <c r="AC36" s="138" t="str">
        <f t="shared" si="27"/>
        <v/>
      </c>
      <c r="AD36" s="138" t="str">
        <f t="shared" si="28"/>
        <v/>
      </c>
      <c r="AE36" s="138" t="str">
        <f t="shared" si="29"/>
        <v/>
      </c>
      <c r="AF36" s="138" t="str">
        <f t="shared" si="30"/>
        <v/>
      </c>
      <c r="AG36" s="138" t="str">
        <f t="shared" si="31"/>
        <v/>
      </c>
      <c r="AH36" s="138" t="str">
        <f t="shared" si="32"/>
        <v/>
      </c>
      <c r="AI36" s="138" t="str">
        <f t="shared" si="33"/>
        <v/>
      </c>
      <c r="AJ36" s="138" t="str">
        <f t="shared" si="34"/>
        <v/>
      </c>
      <c r="AK36" s="138" t="str">
        <f t="shared" si="35"/>
        <v/>
      </c>
      <c r="AL36" s="138" t="str">
        <f t="shared" si="36"/>
        <v/>
      </c>
      <c r="AM36" s="259">
        <f t="shared" si="39"/>
        <v>0</v>
      </c>
      <c r="AN36" s="110"/>
    </row>
    <row r="37" spans="1:40" s="22" customFormat="1" ht="16.5" hidden="1">
      <c r="A37" s="21" t="str">
        <f>IF($A$2="","",IF(MAX($A$9:A36)+1&gt;$A$2,"",MAX($A$9:A36)+1))</f>
        <v/>
      </c>
      <c r="B37" s="18" t="str">
        <f t="shared" si="1"/>
        <v/>
      </c>
      <c r="C37" s="19" t="str">
        <f t="shared" si="2"/>
        <v/>
      </c>
      <c r="D37" s="20" t="str">
        <f t="shared" si="3"/>
        <v/>
      </c>
      <c r="E37" s="77" t="str">
        <f t="shared" si="4"/>
        <v/>
      </c>
      <c r="F37" s="138" t="str">
        <f t="shared" si="5"/>
        <v/>
      </c>
      <c r="G37" s="138" t="str">
        <f t="shared" si="6"/>
        <v/>
      </c>
      <c r="H37" s="138" t="str">
        <f t="shared" si="7"/>
        <v/>
      </c>
      <c r="I37" s="138" t="str">
        <f t="shared" si="8"/>
        <v/>
      </c>
      <c r="J37" s="138" t="str">
        <f t="shared" si="9"/>
        <v/>
      </c>
      <c r="K37" s="138" t="str">
        <f t="shared" si="10"/>
        <v/>
      </c>
      <c r="L37" s="138" t="str">
        <f t="shared" si="11"/>
        <v/>
      </c>
      <c r="M37" s="138" t="str">
        <f t="shared" si="12"/>
        <v/>
      </c>
      <c r="N37" s="138" t="str">
        <f t="shared" si="13"/>
        <v/>
      </c>
      <c r="O37" s="138" t="str">
        <f t="shared" si="14"/>
        <v/>
      </c>
      <c r="P37" s="138" t="str">
        <f t="shared" si="15"/>
        <v/>
      </c>
      <c r="Q37" s="138" t="str">
        <f t="shared" si="16"/>
        <v/>
      </c>
      <c r="R37" s="138" t="str">
        <f t="shared" si="17"/>
        <v/>
      </c>
      <c r="S37" s="138" t="str">
        <f t="shared" si="18"/>
        <v/>
      </c>
      <c r="T37" s="138" t="str">
        <f t="shared" si="19"/>
        <v/>
      </c>
      <c r="U37" s="138" t="str">
        <f t="shared" si="20"/>
        <v/>
      </c>
      <c r="V37" s="138" t="str">
        <f t="shared" si="21"/>
        <v/>
      </c>
      <c r="W37" s="138" t="str">
        <f t="shared" si="22"/>
        <v/>
      </c>
      <c r="X37" s="138" t="str">
        <f t="shared" si="38"/>
        <v/>
      </c>
      <c r="Y37" s="138" t="str">
        <f t="shared" si="23"/>
        <v/>
      </c>
      <c r="Z37" s="138" t="str">
        <f t="shared" si="24"/>
        <v/>
      </c>
      <c r="AA37" s="138" t="str">
        <f t="shared" si="25"/>
        <v/>
      </c>
      <c r="AB37" s="138" t="str">
        <f t="shared" si="26"/>
        <v/>
      </c>
      <c r="AC37" s="138" t="str">
        <f t="shared" si="27"/>
        <v/>
      </c>
      <c r="AD37" s="138" t="str">
        <f t="shared" si="28"/>
        <v/>
      </c>
      <c r="AE37" s="138" t="str">
        <f t="shared" si="29"/>
        <v/>
      </c>
      <c r="AF37" s="138" t="str">
        <f t="shared" si="30"/>
        <v/>
      </c>
      <c r="AG37" s="138" t="str">
        <f t="shared" si="31"/>
        <v/>
      </c>
      <c r="AH37" s="138" t="str">
        <f t="shared" si="32"/>
        <v/>
      </c>
      <c r="AI37" s="138" t="str">
        <f t="shared" si="33"/>
        <v/>
      </c>
      <c r="AJ37" s="138" t="str">
        <f t="shared" si="34"/>
        <v/>
      </c>
      <c r="AK37" s="138" t="str">
        <f t="shared" si="35"/>
        <v/>
      </c>
      <c r="AL37" s="138" t="str">
        <f t="shared" si="36"/>
        <v/>
      </c>
      <c r="AM37" s="259">
        <f t="shared" si="39"/>
        <v>0</v>
      </c>
      <c r="AN37" s="110"/>
    </row>
    <row r="38" spans="1:40" s="22" customFormat="1" ht="16.5" hidden="1">
      <c r="A38" s="21" t="str">
        <f>IF($A$2="","",IF(MAX($A$9:A37)+1&gt;$A$2,"",MAX($A$9:A37)+1))</f>
        <v/>
      </c>
      <c r="B38" s="18" t="str">
        <f t="shared" si="1"/>
        <v/>
      </c>
      <c r="C38" s="19" t="str">
        <f t="shared" si="2"/>
        <v/>
      </c>
      <c r="D38" s="20" t="str">
        <f t="shared" si="3"/>
        <v/>
      </c>
      <c r="E38" s="77" t="str">
        <f t="shared" si="4"/>
        <v/>
      </c>
      <c r="F38" s="138" t="str">
        <f t="shared" si="5"/>
        <v/>
      </c>
      <c r="G38" s="138" t="str">
        <f t="shared" si="6"/>
        <v/>
      </c>
      <c r="H38" s="138" t="str">
        <f t="shared" si="7"/>
        <v/>
      </c>
      <c r="I38" s="138" t="str">
        <f t="shared" si="8"/>
        <v/>
      </c>
      <c r="J38" s="138" t="str">
        <f t="shared" si="9"/>
        <v/>
      </c>
      <c r="K38" s="138" t="str">
        <f t="shared" si="10"/>
        <v/>
      </c>
      <c r="L38" s="138" t="str">
        <f t="shared" si="11"/>
        <v/>
      </c>
      <c r="M38" s="138" t="str">
        <f t="shared" si="12"/>
        <v/>
      </c>
      <c r="N38" s="138" t="str">
        <f t="shared" si="13"/>
        <v/>
      </c>
      <c r="O38" s="138" t="str">
        <f t="shared" si="14"/>
        <v/>
      </c>
      <c r="P38" s="138" t="str">
        <f t="shared" si="15"/>
        <v/>
      </c>
      <c r="Q38" s="138" t="str">
        <f t="shared" si="16"/>
        <v/>
      </c>
      <c r="R38" s="138" t="str">
        <f t="shared" si="17"/>
        <v/>
      </c>
      <c r="S38" s="138" t="str">
        <f t="shared" si="18"/>
        <v/>
      </c>
      <c r="T38" s="138" t="str">
        <f t="shared" si="19"/>
        <v/>
      </c>
      <c r="U38" s="138" t="str">
        <f t="shared" si="20"/>
        <v/>
      </c>
      <c r="V38" s="138" t="str">
        <f t="shared" si="21"/>
        <v/>
      </c>
      <c r="W38" s="138" t="str">
        <f t="shared" si="22"/>
        <v/>
      </c>
      <c r="X38" s="138" t="str">
        <f t="shared" si="38"/>
        <v/>
      </c>
      <c r="Y38" s="138" t="str">
        <f t="shared" si="23"/>
        <v/>
      </c>
      <c r="Z38" s="138" t="str">
        <f t="shared" si="24"/>
        <v/>
      </c>
      <c r="AA38" s="138" t="str">
        <f t="shared" si="25"/>
        <v/>
      </c>
      <c r="AB38" s="138" t="str">
        <f t="shared" si="26"/>
        <v/>
      </c>
      <c r="AC38" s="138" t="str">
        <f t="shared" si="27"/>
        <v/>
      </c>
      <c r="AD38" s="138" t="str">
        <f t="shared" si="28"/>
        <v/>
      </c>
      <c r="AE38" s="138" t="str">
        <f t="shared" si="29"/>
        <v/>
      </c>
      <c r="AF38" s="138" t="str">
        <f t="shared" si="30"/>
        <v/>
      </c>
      <c r="AG38" s="138" t="str">
        <f t="shared" si="31"/>
        <v/>
      </c>
      <c r="AH38" s="138" t="str">
        <f t="shared" si="32"/>
        <v/>
      </c>
      <c r="AI38" s="138" t="str">
        <f t="shared" si="33"/>
        <v/>
      </c>
      <c r="AJ38" s="138" t="str">
        <f t="shared" si="34"/>
        <v/>
      </c>
      <c r="AK38" s="138" t="str">
        <f t="shared" si="35"/>
        <v/>
      </c>
      <c r="AL38" s="138" t="str">
        <f t="shared" si="36"/>
        <v/>
      </c>
      <c r="AM38" s="259">
        <f t="shared" si="39"/>
        <v>0</v>
      </c>
      <c r="AN38" s="110"/>
    </row>
    <row r="39" spans="1:40" s="22" customFormat="1" ht="16.5" hidden="1">
      <c r="A39" s="21" t="str">
        <f>IF($A$2="","",IF(MAX($A$9:A38)+1&gt;$A$2,"",MAX($A$9:A38)+1))</f>
        <v/>
      </c>
      <c r="B39" s="18" t="str">
        <f t="shared" si="1"/>
        <v/>
      </c>
      <c r="C39" s="19" t="str">
        <f t="shared" si="2"/>
        <v/>
      </c>
      <c r="D39" s="20" t="str">
        <f t="shared" si="3"/>
        <v/>
      </c>
      <c r="E39" s="77" t="str">
        <f t="shared" si="4"/>
        <v/>
      </c>
      <c r="F39" s="138" t="str">
        <f t="shared" si="5"/>
        <v/>
      </c>
      <c r="G39" s="138" t="str">
        <f t="shared" si="6"/>
        <v/>
      </c>
      <c r="H39" s="138" t="str">
        <f t="shared" si="7"/>
        <v/>
      </c>
      <c r="I39" s="138" t="str">
        <f t="shared" si="8"/>
        <v/>
      </c>
      <c r="J39" s="138" t="str">
        <f t="shared" si="9"/>
        <v/>
      </c>
      <c r="K39" s="138" t="str">
        <f t="shared" si="10"/>
        <v/>
      </c>
      <c r="L39" s="138" t="str">
        <f t="shared" si="11"/>
        <v/>
      </c>
      <c r="M39" s="138" t="str">
        <f t="shared" si="12"/>
        <v/>
      </c>
      <c r="N39" s="138" t="str">
        <f t="shared" si="13"/>
        <v/>
      </c>
      <c r="O39" s="138" t="str">
        <f t="shared" si="14"/>
        <v/>
      </c>
      <c r="P39" s="138" t="str">
        <f t="shared" si="15"/>
        <v/>
      </c>
      <c r="Q39" s="138" t="str">
        <f t="shared" si="16"/>
        <v/>
      </c>
      <c r="R39" s="138" t="str">
        <f t="shared" si="17"/>
        <v/>
      </c>
      <c r="S39" s="138" t="str">
        <f t="shared" si="18"/>
        <v/>
      </c>
      <c r="T39" s="138" t="str">
        <f t="shared" si="19"/>
        <v/>
      </c>
      <c r="U39" s="138" t="str">
        <f t="shared" si="20"/>
        <v/>
      </c>
      <c r="V39" s="138" t="str">
        <f t="shared" si="21"/>
        <v/>
      </c>
      <c r="W39" s="138" t="str">
        <f t="shared" si="22"/>
        <v/>
      </c>
      <c r="X39" s="138" t="str">
        <f t="shared" si="38"/>
        <v/>
      </c>
      <c r="Y39" s="138" t="str">
        <f t="shared" si="23"/>
        <v/>
      </c>
      <c r="Z39" s="138" t="str">
        <f t="shared" si="24"/>
        <v/>
      </c>
      <c r="AA39" s="138" t="str">
        <f t="shared" si="25"/>
        <v/>
      </c>
      <c r="AB39" s="138" t="str">
        <f t="shared" si="26"/>
        <v/>
      </c>
      <c r="AC39" s="138" t="str">
        <f t="shared" si="27"/>
        <v/>
      </c>
      <c r="AD39" s="138" t="str">
        <f t="shared" si="28"/>
        <v/>
      </c>
      <c r="AE39" s="138" t="str">
        <f t="shared" si="29"/>
        <v/>
      </c>
      <c r="AF39" s="138" t="str">
        <f t="shared" si="30"/>
        <v/>
      </c>
      <c r="AG39" s="138" t="str">
        <f t="shared" si="31"/>
        <v/>
      </c>
      <c r="AH39" s="138" t="str">
        <f t="shared" si="32"/>
        <v/>
      </c>
      <c r="AI39" s="138" t="str">
        <f t="shared" si="33"/>
        <v/>
      </c>
      <c r="AJ39" s="138" t="str">
        <f t="shared" si="34"/>
        <v/>
      </c>
      <c r="AK39" s="138" t="str">
        <f t="shared" si="35"/>
        <v/>
      </c>
      <c r="AL39" s="138" t="str">
        <f t="shared" si="36"/>
        <v/>
      </c>
      <c r="AM39" s="259">
        <f t="shared" si="39"/>
        <v>0</v>
      </c>
      <c r="AN39" s="110"/>
    </row>
    <row r="40" spans="1:40" s="107" customFormat="1" ht="15.75" hidden="1">
      <c r="A40" s="105" t="str">
        <f>IF($A$2="","",IF(MAX($A$9:A39)+1&gt;$A$2,"",MAX($A$9:A39)+1))</f>
        <v/>
      </c>
      <c r="B40" s="18" t="str">
        <f t="shared" si="1"/>
        <v/>
      </c>
      <c r="C40" s="19" t="str">
        <f t="shared" si="2"/>
        <v/>
      </c>
      <c r="D40" s="20" t="str">
        <f t="shared" si="3"/>
        <v/>
      </c>
      <c r="E40" s="77" t="str">
        <f t="shared" si="4"/>
        <v/>
      </c>
      <c r="F40" s="138" t="str">
        <f t="shared" si="5"/>
        <v/>
      </c>
      <c r="G40" s="138" t="str">
        <f t="shared" si="6"/>
        <v/>
      </c>
      <c r="H40" s="138" t="str">
        <f t="shared" si="7"/>
        <v/>
      </c>
      <c r="I40" s="138" t="str">
        <f t="shared" si="8"/>
        <v/>
      </c>
      <c r="J40" s="138" t="str">
        <f t="shared" si="9"/>
        <v/>
      </c>
      <c r="K40" s="138" t="str">
        <f t="shared" si="10"/>
        <v/>
      </c>
      <c r="L40" s="138" t="str">
        <f t="shared" si="11"/>
        <v/>
      </c>
      <c r="M40" s="138" t="str">
        <f t="shared" si="12"/>
        <v/>
      </c>
      <c r="N40" s="138" t="str">
        <f t="shared" si="13"/>
        <v/>
      </c>
      <c r="O40" s="138" t="str">
        <f t="shared" si="14"/>
        <v/>
      </c>
      <c r="P40" s="138" t="str">
        <f t="shared" si="15"/>
        <v/>
      </c>
      <c r="Q40" s="138" t="str">
        <f t="shared" si="16"/>
        <v/>
      </c>
      <c r="R40" s="138" t="str">
        <f t="shared" si="17"/>
        <v/>
      </c>
      <c r="S40" s="138" t="str">
        <f t="shared" si="18"/>
        <v/>
      </c>
      <c r="T40" s="138" t="str">
        <f t="shared" si="19"/>
        <v/>
      </c>
      <c r="U40" s="138" t="str">
        <f t="shared" si="20"/>
        <v/>
      </c>
      <c r="V40" s="138" t="str">
        <f t="shared" si="21"/>
        <v/>
      </c>
      <c r="W40" s="138" t="str">
        <f t="shared" si="22"/>
        <v/>
      </c>
      <c r="X40" s="138" t="str">
        <f t="shared" si="38"/>
        <v/>
      </c>
      <c r="Y40" s="138" t="str">
        <f t="shared" si="23"/>
        <v/>
      </c>
      <c r="Z40" s="138" t="str">
        <f t="shared" si="24"/>
        <v/>
      </c>
      <c r="AA40" s="138" t="str">
        <f t="shared" si="25"/>
        <v/>
      </c>
      <c r="AB40" s="138" t="str">
        <f t="shared" si="26"/>
        <v/>
      </c>
      <c r="AC40" s="138" t="str">
        <f t="shared" si="27"/>
        <v/>
      </c>
      <c r="AD40" s="138" t="str">
        <f t="shared" si="28"/>
        <v/>
      </c>
      <c r="AE40" s="138" t="str">
        <f t="shared" si="29"/>
        <v/>
      </c>
      <c r="AF40" s="138" t="str">
        <f t="shared" si="30"/>
        <v/>
      </c>
      <c r="AG40" s="138" t="str">
        <f t="shared" si="31"/>
        <v/>
      </c>
      <c r="AH40" s="138" t="str">
        <f t="shared" si="32"/>
        <v/>
      </c>
      <c r="AI40" s="138" t="str">
        <f t="shared" si="33"/>
        <v/>
      </c>
      <c r="AJ40" s="138" t="str">
        <f t="shared" si="34"/>
        <v/>
      </c>
      <c r="AK40" s="138" t="str">
        <f t="shared" si="35"/>
        <v/>
      </c>
      <c r="AL40" s="138" t="str">
        <f t="shared" si="36"/>
        <v/>
      </c>
      <c r="AM40" s="259">
        <f t="shared" si="39"/>
        <v>0</v>
      </c>
      <c r="AN40" s="110"/>
    </row>
    <row r="41" spans="1:40" s="23" customFormat="1" ht="15.75" hidden="1">
      <c r="A41" s="21" t="str">
        <f>IF($A$2="","",IF(MAX($A$9:A40)+1&gt;$A$2,"",MAX($A$9:A40)+1))</f>
        <v/>
      </c>
      <c r="B41" s="18" t="str">
        <f t="shared" si="1"/>
        <v/>
      </c>
      <c r="C41" s="19" t="str">
        <f t="shared" si="2"/>
        <v/>
      </c>
      <c r="D41" s="20" t="str">
        <f t="shared" si="3"/>
        <v/>
      </c>
      <c r="E41" s="77" t="str">
        <f t="shared" si="4"/>
        <v/>
      </c>
      <c r="F41" s="138" t="str">
        <f t="shared" si="5"/>
        <v/>
      </c>
      <c r="G41" s="138" t="str">
        <f t="shared" si="6"/>
        <v/>
      </c>
      <c r="H41" s="138" t="str">
        <f t="shared" si="7"/>
        <v/>
      </c>
      <c r="I41" s="138" t="str">
        <f t="shared" si="8"/>
        <v/>
      </c>
      <c r="J41" s="138" t="str">
        <f t="shared" si="9"/>
        <v/>
      </c>
      <c r="K41" s="138" t="str">
        <f t="shared" si="10"/>
        <v/>
      </c>
      <c r="L41" s="138" t="str">
        <f t="shared" si="11"/>
        <v/>
      </c>
      <c r="M41" s="138" t="str">
        <f t="shared" si="12"/>
        <v/>
      </c>
      <c r="N41" s="138" t="str">
        <f t="shared" si="13"/>
        <v/>
      </c>
      <c r="O41" s="138" t="str">
        <f t="shared" si="14"/>
        <v/>
      </c>
      <c r="P41" s="138" t="str">
        <f t="shared" si="15"/>
        <v/>
      </c>
      <c r="Q41" s="138" t="str">
        <f t="shared" si="16"/>
        <v/>
      </c>
      <c r="R41" s="138" t="str">
        <f t="shared" si="17"/>
        <v/>
      </c>
      <c r="S41" s="138" t="str">
        <f t="shared" si="18"/>
        <v/>
      </c>
      <c r="T41" s="138" t="str">
        <f t="shared" si="19"/>
        <v/>
      </c>
      <c r="U41" s="138" t="str">
        <f t="shared" si="20"/>
        <v/>
      </c>
      <c r="V41" s="138" t="str">
        <f t="shared" si="21"/>
        <v/>
      </c>
      <c r="W41" s="138" t="str">
        <f t="shared" si="22"/>
        <v/>
      </c>
      <c r="X41" s="138" t="str">
        <f t="shared" si="38"/>
        <v/>
      </c>
      <c r="Y41" s="138" t="str">
        <f t="shared" si="23"/>
        <v/>
      </c>
      <c r="Z41" s="138" t="str">
        <f t="shared" si="24"/>
        <v/>
      </c>
      <c r="AA41" s="138" t="str">
        <f t="shared" si="25"/>
        <v/>
      </c>
      <c r="AB41" s="138" t="str">
        <f t="shared" si="26"/>
        <v/>
      </c>
      <c r="AC41" s="138" t="str">
        <f t="shared" si="27"/>
        <v/>
      </c>
      <c r="AD41" s="138" t="str">
        <f t="shared" si="28"/>
        <v/>
      </c>
      <c r="AE41" s="138" t="str">
        <f t="shared" si="29"/>
        <v/>
      </c>
      <c r="AF41" s="138" t="str">
        <f t="shared" si="30"/>
        <v/>
      </c>
      <c r="AG41" s="138" t="str">
        <f t="shared" si="31"/>
        <v/>
      </c>
      <c r="AH41" s="138" t="str">
        <f t="shared" si="32"/>
        <v/>
      </c>
      <c r="AI41" s="138" t="str">
        <f t="shared" si="33"/>
        <v/>
      </c>
      <c r="AJ41" s="138" t="str">
        <f t="shared" si="34"/>
        <v/>
      </c>
      <c r="AK41" s="138" t="str">
        <f t="shared" si="35"/>
        <v/>
      </c>
      <c r="AL41" s="138" t="str">
        <f t="shared" si="36"/>
        <v/>
      </c>
      <c r="AM41" s="259">
        <f t="shared" si="39"/>
        <v>0</v>
      </c>
      <c r="AN41" s="110"/>
    </row>
    <row r="42" spans="1:40" s="23" customFormat="1" ht="15.75" hidden="1">
      <c r="A42" s="21" t="str">
        <f>IF($A$2="","",IF(MAX($A$9:A41)+1&gt;$A$2,"",MAX($A$9:A41)+1))</f>
        <v/>
      </c>
      <c r="B42" s="18" t="str">
        <f t="shared" ref="B42:B73" si="40">IF(A42="","",IF(VLOOKUP(A42,Bangke,3,0)="","",VLOOKUP(A42,Bangke,3,0)))</f>
        <v/>
      </c>
      <c r="C42" s="19" t="str">
        <f t="shared" ref="C42:C73" si="41">IF(A42="","",IF(VLOOKUP(A42,Bangke,4,0)="","",VLOOKUP(A42,Bangke,4,0)))</f>
        <v/>
      </c>
      <c r="D42" s="20" t="str">
        <f t="shared" ref="D42:D73" si="42">IF(A42="","",VLOOKUP(A42,Bangke,6,0))</f>
        <v/>
      </c>
      <c r="E42" s="77" t="str">
        <f t="shared" ref="E42:E73" si="43">IF(A42="","",VLOOKUP(A42,Bangke,8,0))</f>
        <v/>
      </c>
      <c r="F42" s="138" t="str">
        <f t="shared" si="5"/>
        <v/>
      </c>
      <c r="G42" s="138" t="str">
        <f t="shared" si="6"/>
        <v/>
      </c>
      <c r="H42" s="138" t="str">
        <f t="shared" si="7"/>
        <v/>
      </c>
      <c r="I42" s="138" t="str">
        <f t="shared" si="8"/>
        <v/>
      </c>
      <c r="J42" s="138" t="str">
        <f t="shared" si="9"/>
        <v/>
      </c>
      <c r="K42" s="138" t="str">
        <f t="shared" si="10"/>
        <v/>
      </c>
      <c r="L42" s="138" t="str">
        <f t="shared" si="11"/>
        <v/>
      </c>
      <c r="M42" s="138" t="str">
        <f t="shared" si="12"/>
        <v/>
      </c>
      <c r="N42" s="138" t="str">
        <f t="shared" si="13"/>
        <v/>
      </c>
      <c r="O42" s="138" t="str">
        <f t="shared" si="14"/>
        <v/>
      </c>
      <c r="P42" s="138" t="str">
        <f t="shared" si="15"/>
        <v/>
      </c>
      <c r="Q42" s="138" t="str">
        <f t="shared" si="16"/>
        <v/>
      </c>
      <c r="R42" s="138" t="str">
        <f t="shared" si="17"/>
        <v/>
      </c>
      <c r="S42" s="138" t="str">
        <f t="shared" si="18"/>
        <v/>
      </c>
      <c r="T42" s="138" t="str">
        <f t="shared" si="19"/>
        <v/>
      </c>
      <c r="U42" s="138" t="str">
        <f t="shared" si="20"/>
        <v/>
      </c>
      <c r="V42" s="138" t="str">
        <f t="shared" si="21"/>
        <v/>
      </c>
      <c r="W42" s="138" t="str">
        <f t="shared" si="22"/>
        <v/>
      </c>
      <c r="X42" s="138" t="str">
        <f t="shared" ref="X42:X73" si="44">IF($A42="","",(IF(VLOOKUP($A42,Bangke,9,0)=$X$7,VLOOKUP($A42,Bangke,11,0),IF(VLOOKUP($A42,Bangke,12,0)=$X$7,VLOOKUP($A42,Bangke,14,0),IF(VLOOKUP($A42,Bangke,15,0)=$X$7,VLOOKUP($A42,Bangke,17,0),IF(VLOOKUP($A42,Bangke,18,0)=$X$7,VLOOKUP($A42,Bangke,20,0),IF(VLOOKUP($A42,Bangke,21,0)=$X$7,VLOOKUP($A42,Bangke,23,0),IF(VLOOKUP($A42,Bangke,24,0)=$X$7,VLOOKUP($A42,Bangke,26,0),IF(VLOOKUP($A42,Bangke,27,0)=$X$7,VLOOKUP($A42,Bangke,29,0),0)))))))))</f>
        <v/>
      </c>
      <c r="Y42" s="138" t="str">
        <f t="shared" si="23"/>
        <v/>
      </c>
      <c r="Z42" s="138" t="str">
        <f t="shared" si="24"/>
        <v/>
      </c>
      <c r="AA42" s="138" t="str">
        <f t="shared" si="25"/>
        <v/>
      </c>
      <c r="AB42" s="138" t="str">
        <f t="shared" si="26"/>
        <v/>
      </c>
      <c r="AC42" s="138" t="str">
        <f t="shared" si="27"/>
        <v/>
      </c>
      <c r="AD42" s="138" t="str">
        <f t="shared" si="28"/>
        <v/>
      </c>
      <c r="AE42" s="138" t="str">
        <f t="shared" si="29"/>
        <v/>
      </c>
      <c r="AF42" s="138" t="str">
        <f t="shared" si="30"/>
        <v/>
      </c>
      <c r="AG42" s="138" t="str">
        <f t="shared" si="31"/>
        <v/>
      </c>
      <c r="AH42" s="138" t="str">
        <f t="shared" si="32"/>
        <v/>
      </c>
      <c r="AI42" s="138" t="str">
        <f t="shared" si="33"/>
        <v/>
      </c>
      <c r="AJ42" s="138" t="str">
        <f t="shared" si="34"/>
        <v/>
      </c>
      <c r="AK42" s="138" t="str">
        <f t="shared" si="35"/>
        <v/>
      </c>
      <c r="AL42" s="138" t="str">
        <f t="shared" si="36"/>
        <v/>
      </c>
      <c r="AM42" s="259">
        <f t="shared" si="39"/>
        <v>0</v>
      </c>
      <c r="AN42" s="110"/>
    </row>
    <row r="43" spans="1:40" s="23" customFormat="1" ht="15.75" hidden="1">
      <c r="A43" s="21" t="str">
        <f>IF($A$2="","",IF(MAX($A$9:A42)+1&gt;$A$2,"",MAX($A$9:A42)+1))</f>
        <v/>
      </c>
      <c r="B43" s="18" t="str">
        <f t="shared" si="40"/>
        <v/>
      </c>
      <c r="C43" s="19" t="str">
        <f t="shared" si="41"/>
        <v/>
      </c>
      <c r="D43" s="20" t="str">
        <f t="shared" si="42"/>
        <v/>
      </c>
      <c r="E43" s="77" t="str">
        <f t="shared" si="43"/>
        <v/>
      </c>
      <c r="F43" s="138" t="str">
        <f t="shared" si="5"/>
        <v/>
      </c>
      <c r="G43" s="138" t="str">
        <f t="shared" si="6"/>
        <v/>
      </c>
      <c r="H43" s="138" t="str">
        <f t="shared" si="7"/>
        <v/>
      </c>
      <c r="I43" s="138" t="str">
        <f t="shared" si="8"/>
        <v/>
      </c>
      <c r="J43" s="138" t="str">
        <f t="shared" si="9"/>
        <v/>
      </c>
      <c r="K43" s="138" t="str">
        <f t="shared" si="10"/>
        <v/>
      </c>
      <c r="L43" s="138" t="str">
        <f t="shared" si="11"/>
        <v/>
      </c>
      <c r="M43" s="138" t="str">
        <f t="shared" si="12"/>
        <v/>
      </c>
      <c r="N43" s="138" t="str">
        <f t="shared" si="13"/>
        <v/>
      </c>
      <c r="O43" s="138" t="str">
        <f t="shared" si="14"/>
        <v/>
      </c>
      <c r="P43" s="138" t="str">
        <f t="shared" si="15"/>
        <v/>
      </c>
      <c r="Q43" s="138" t="str">
        <f t="shared" si="16"/>
        <v/>
      </c>
      <c r="R43" s="138" t="str">
        <f t="shared" si="17"/>
        <v/>
      </c>
      <c r="S43" s="138" t="str">
        <f t="shared" si="18"/>
        <v/>
      </c>
      <c r="T43" s="138" t="str">
        <f t="shared" si="19"/>
        <v/>
      </c>
      <c r="U43" s="138" t="str">
        <f t="shared" si="20"/>
        <v/>
      </c>
      <c r="V43" s="138" t="str">
        <f t="shared" si="21"/>
        <v/>
      </c>
      <c r="W43" s="138" t="str">
        <f t="shared" si="22"/>
        <v/>
      </c>
      <c r="X43" s="138" t="str">
        <f t="shared" si="44"/>
        <v/>
      </c>
      <c r="Y43" s="138" t="str">
        <f t="shared" si="23"/>
        <v/>
      </c>
      <c r="Z43" s="138" t="str">
        <f t="shared" si="24"/>
        <v/>
      </c>
      <c r="AA43" s="138" t="str">
        <f t="shared" si="25"/>
        <v/>
      </c>
      <c r="AB43" s="138" t="str">
        <f t="shared" si="26"/>
        <v/>
      </c>
      <c r="AC43" s="138" t="str">
        <f t="shared" si="27"/>
        <v/>
      </c>
      <c r="AD43" s="138" t="str">
        <f t="shared" si="28"/>
        <v/>
      </c>
      <c r="AE43" s="138" t="str">
        <f t="shared" si="29"/>
        <v/>
      </c>
      <c r="AF43" s="138" t="str">
        <f t="shared" si="30"/>
        <v/>
      </c>
      <c r="AG43" s="138" t="str">
        <f t="shared" si="31"/>
        <v/>
      </c>
      <c r="AH43" s="138" t="str">
        <f t="shared" si="32"/>
        <v/>
      </c>
      <c r="AI43" s="138" t="str">
        <f t="shared" si="33"/>
        <v/>
      </c>
      <c r="AJ43" s="138" t="str">
        <f t="shared" si="34"/>
        <v/>
      </c>
      <c r="AK43" s="138" t="str">
        <f t="shared" si="35"/>
        <v/>
      </c>
      <c r="AL43" s="138" t="str">
        <f t="shared" si="36"/>
        <v/>
      </c>
      <c r="AM43" s="259">
        <f t="shared" si="39"/>
        <v>0</v>
      </c>
      <c r="AN43" s="110"/>
    </row>
    <row r="44" spans="1:40" s="23" customFormat="1" ht="15.75" hidden="1">
      <c r="A44" s="21" t="str">
        <f>IF($A$2="","",IF(MAX($A$9:A43)+1&gt;$A$2,"",MAX($A$9:A43)+1))</f>
        <v/>
      </c>
      <c r="B44" s="18" t="str">
        <f t="shared" si="40"/>
        <v/>
      </c>
      <c r="C44" s="19" t="str">
        <f t="shared" si="41"/>
        <v/>
      </c>
      <c r="D44" s="20" t="str">
        <f t="shared" si="42"/>
        <v/>
      </c>
      <c r="E44" s="77" t="str">
        <f t="shared" si="43"/>
        <v/>
      </c>
      <c r="F44" s="138" t="str">
        <f t="shared" si="5"/>
        <v/>
      </c>
      <c r="G44" s="138" t="str">
        <f t="shared" si="6"/>
        <v/>
      </c>
      <c r="H44" s="138" t="str">
        <f t="shared" si="7"/>
        <v/>
      </c>
      <c r="I44" s="138" t="str">
        <f t="shared" si="8"/>
        <v/>
      </c>
      <c r="J44" s="138" t="str">
        <f t="shared" si="9"/>
        <v/>
      </c>
      <c r="K44" s="138" t="str">
        <f t="shared" si="10"/>
        <v/>
      </c>
      <c r="L44" s="138" t="str">
        <f t="shared" si="11"/>
        <v/>
      </c>
      <c r="M44" s="138" t="str">
        <f t="shared" si="12"/>
        <v/>
      </c>
      <c r="N44" s="138" t="str">
        <f t="shared" si="13"/>
        <v/>
      </c>
      <c r="O44" s="138" t="str">
        <f t="shared" si="14"/>
        <v/>
      </c>
      <c r="P44" s="138" t="str">
        <f t="shared" si="15"/>
        <v/>
      </c>
      <c r="Q44" s="138" t="str">
        <f t="shared" si="16"/>
        <v/>
      </c>
      <c r="R44" s="138" t="str">
        <f t="shared" si="17"/>
        <v/>
      </c>
      <c r="S44" s="138" t="str">
        <f t="shared" si="18"/>
        <v/>
      </c>
      <c r="T44" s="138" t="str">
        <f t="shared" si="19"/>
        <v/>
      </c>
      <c r="U44" s="138" t="str">
        <f t="shared" si="20"/>
        <v/>
      </c>
      <c r="V44" s="138" t="str">
        <f t="shared" si="21"/>
        <v/>
      </c>
      <c r="W44" s="138" t="str">
        <f t="shared" si="22"/>
        <v/>
      </c>
      <c r="X44" s="138" t="str">
        <f t="shared" si="44"/>
        <v/>
      </c>
      <c r="Y44" s="138" t="str">
        <f t="shared" si="23"/>
        <v/>
      </c>
      <c r="Z44" s="138" t="str">
        <f t="shared" si="24"/>
        <v/>
      </c>
      <c r="AA44" s="138" t="str">
        <f t="shared" si="25"/>
        <v/>
      </c>
      <c r="AB44" s="138" t="str">
        <f t="shared" si="26"/>
        <v/>
      </c>
      <c r="AC44" s="138" t="str">
        <f t="shared" si="27"/>
        <v/>
      </c>
      <c r="AD44" s="138" t="str">
        <f t="shared" si="28"/>
        <v/>
      </c>
      <c r="AE44" s="138" t="str">
        <f t="shared" si="29"/>
        <v/>
      </c>
      <c r="AF44" s="138" t="str">
        <f t="shared" si="30"/>
        <v/>
      </c>
      <c r="AG44" s="138" t="str">
        <f t="shared" si="31"/>
        <v/>
      </c>
      <c r="AH44" s="138" t="str">
        <f t="shared" si="32"/>
        <v/>
      </c>
      <c r="AI44" s="138" t="str">
        <f t="shared" si="33"/>
        <v/>
      </c>
      <c r="AJ44" s="138" t="str">
        <f t="shared" si="34"/>
        <v/>
      </c>
      <c r="AK44" s="138" t="str">
        <f t="shared" si="35"/>
        <v/>
      </c>
      <c r="AL44" s="138" t="str">
        <f t="shared" si="36"/>
        <v/>
      </c>
      <c r="AM44" s="259">
        <f t="shared" si="39"/>
        <v>0</v>
      </c>
      <c r="AN44" s="110"/>
    </row>
    <row r="45" spans="1:40" s="23" customFormat="1" ht="15.75" hidden="1">
      <c r="A45" s="21" t="str">
        <f>IF($A$2="","",IF(MAX($A$9:A44)+1&gt;$A$2,"",MAX($A$9:A44)+1))</f>
        <v/>
      </c>
      <c r="B45" s="18" t="str">
        <f t="shared" si="40"/>
        <v/>
      </c>
      <c r="C45" s="19" t="str">
        <f t="shared" si="41"/>
        <v/>
      </c>
      <c r="D45" s="20" t="str">
        <f t="shared" si="42"/>
        <v/>
      </c>
      <c r="E45" s="77" t="str">
        <f t="shared" si="43"/>
        <v/>
      </c>
      <c r="F45" s="138" t="str">
        <f t="shared" si="5"/>
        <v/>
      </c>
      <c r="G45" s="138" t="str">
        <f t="shared" si="6"/>
        <v/>
      </c>
      <c r="H45" s="138" t="str">
        <f t="shared" si="7"/>
        <v/>
      </c>
      <c r="I45" s="138" t="str">
        <f t="shared" si="8"/>
        <v/>
      </c>
      <c r="J45" s="138" t="str">
        <f t="shared" si="9"/>
        <v/>
      </c>
      <c r="K45" s="138" t="str">
        <f t="shared" si="10"/>
        <v/>
      </c>
      <c r="L45" s="138" t="str">
        <f t="shared" si="11"/>
        <v/>
      </c>
      <c r="M45" s="138" t="str">
        <f t="shared" si="12"/>
        <v/>
      </c>
      <c r="N45" s="138" t="str">
        <f t="shared" si="13"/>
        <v/>
      </c>
      <c r="O45" s="138" t="str">
        <f t="shared" si="14"/>
        <v/>
      </c>
      <c r="P45" s="138" t="str">
        <f t="shared" si="15"/>
        <v/>
      </c>
      <c r="Q45" s="138" t="str">
        <f t="shared" si="16"/>
        <v/>
      </c>
      <c r="R45" s="138" t="str">
        <f t="shared" si="17"/>
        <v/>
      </c>
      <c r="S45" s="138" t="str">
        <f t="shared" si="18"/>
        <v/>
      </c>
      <c r="T45" s="138" t="str">
        <f t="shared" si="19"/>
        <v/>
      </c>
      <c r="U45" s="138" t="str">
        <f t="shared" si="20"/>
        <v/>
      </c>
      <c r="V45" s="138" t="str">
        <f t="shared" si="21"/>
        <v/>
      </c>
      <c r="W45" s="138" t="str">
        <f t="shared" si="22"/>
        <v/>
      </c>
      <c r="X45" s="138" t="str">
        <f t="shared" si="44"/>
        <v/>
      </c>
      <c r="Y45" s="138" t="str">
        <f t="shared" si="23"/>
        <v/>
      </c>
      <c r="Z45" s="138" t="str">
        <f t="shared" si="24"/>
        <v/>
      </c>
      <c r="AA45" s="138" t="str">
        <f t="shared" si="25"/>
        <v/>
      </c>
      <c r="AB45" s="138" t="str">
        <f t="shared" si="26"/>
        <v/>
      </c>
      <c r="AC45" s="138" t="str">
        <f t="shared" si="27"/>
        <v/>
      </c>
      <c r="AD45" s="138" t="str">
        <f t="shared" si="28"/>
        <v/>
      </c>
      <c r="AE45" s="138" t="str">
        <f t="shared" si="29"/>
        <v/>
      </c>
      <c r="AF45" s="138" t="str">
        <f t="shared" si="30"/>
        <v/>
      </c>
      <c r="AG45" s="138" t="str">
        <f t="shared" si="31"/>
        <v/>
      </c>
      <c r="AH45" s="138" t="str">
        <f t="shared" si="32"/>
        <v/>
      </c>
      <c r="AI45" s="138" t="str">
        <f t="shared" si="33"/>
        <v/>
      </c>
      <c r="AJ45" s="138" t="str">
        <f t="shared" si="34"/>
        <v/>
      </c>
      <c r="AK45" s="138" t="str">
        <f t="shared" si="35"/>
        <v/>
      </c>
      <c r="AL45" s="138" t="str">
        <f t="shared" si="36"/>
        <v/>
      </c>
      <c r="AM45" s="259">
        <f t="shared" si="39"/>
        <v>0</v>
      </c>
      <c r="AN45" s="110"/>
    </row>
    <row r="46" spans="1:40" s="22" customFormat="1" ht="16.5" hidden="1">
      <c r="A46" s="21" t="str">
        <f>IF($A$2="","",IF(MAX($A$9:A45)+1&gt;$A$2,"",MAX($A$9:A45)+1))</f>
        <v/>
      </c>
      <c r="B46" s="18" t="str">
        <f t="shared" si="40"/>
        <v/>
      </c>
      <c r="C46" s="19" t="str">
        <f t="shared" si="41"/>
        <v/>
      </c>
      <c r="D46" s="20" t="str">
        <f t="shared" si="42"/>
        <v/>
      </c>
      <c r="E46" s="77" t="str">
        <f t="shared" si="43"/>
        <v/>
      </c>
      <c r="F46" s="138" t="str">
        <f t="shared" si="5"/>
        <v/>
      </c>
      <c r="G46" s="138" t="str">
        <f t="shared" si="6"/>
        <v/>
      </c>
      <c r="H46" s="138" t="str">
        <f t="shared" si="7"/>
        <v/>
      </c>
      <c r="I46" s="138" t="str">
        <f t="shared" si="8"/>
        <v/>
      </c>
      <c r="J46" s="138" t="str">
        <f t="shared" si="9"/>
        <v/>
      </c>
      <c r="K46" s="138" t="str">
        <f t="shared" si="10"/>
        <v/>
      </c>
      <c r="L46" s="138" t="str">
        <f t="shared" si="11"/>
        <v/>
      </c>
      <c r="M46" s="138" t="str">
        <f t="shared" si="12"/>
        <v/>
      </c>
      <c r="N46" s="138" t="str">
        <f t="shared" si="13"/>
        <v/>
      </c>
      <c r="O46" s="138" t="str">
        <f t="shared" si="14"/>
        <v/>
      </c>
      <c r="P46" s="138" t="str">
        <f t="shared" si="15"/>
        <v/>
      </c>
      <c r="Q46" s="138" t="str">
        <f t="shared" si="16"/>
        <v/>
      </c>
      <c r="R46" s="138" t="str">
        <f t="shared" si="17"/>
        <v/>
      </c>
      <c r="S46" s="138" t="str">
        <f t="shared" si="18"/>
        <v/>
      </c>
      <c r="T46" s="138" t="str">
        <f t="shared" si="19"/>
        <v/>
      </c>
      <c r="U46" s="138" t="str">
        <f t="shared" si="20"/>
        <v/>
      </c>
      <c r="V46" s="138" t="str">
        <f t="shared" si="21"/>
        <v/>
      </c>
      <c r="W46" s="138" t="str">
        <f t="shared" si="22"/>
        <v/>
      </c>
      <c r="X46" s="138" t="str">
        <f t="shared" si="44"/>
        <v/>
      </c>
      <c r="Y46" s="138" t="str">
        <f t="shared" si="23"/>
        <v/>
      </c>
      <c r="Z46" s="138" t="str">
        <f t="shared" si="24"/>
        <v/>
      </c>
      <c r="AA46" s="138" t="str">
        <f t="shared" si="25"/>
        <v/>
      </c>
      <c r="AB46" s="138" t="str">
        <f t="shared" si="26"/>
        <v/>
      </c>
      <c r="AC46" s="138" t="str">
        <f t="shared" si="27"/>
        <v/>
      </c>
      <c r="AD46" s="138" t="str">
        <f t="shared" si="28"/>
        <v/>
      </c>
      <c r="AE46" s="138" t="str">
        <f t="shared" si="29"/>
        <v/>
      </c>
      <c r="AF46" s="138" t="str">
        <f t="shared" si="30"/>
        <v/>
      </c>
      <c r="AG46" s="138" t="str">
        <f t="shared" si="31"/>
        <v/>
      </c>
      <c r="AH46" s="138" t="str">
        <f t="shared" si="32"/>
        <v/>
      </c>
      <c r="AI46" s="138" t="str">
        <f t="shared" si="33"/>
        <v/>
      </c>
      <c r="AJ46" s="138" t="str">
        <f t="shared" si="34"/>
        <v/>
      </c>
      <c r="AK46" s="138" t="str">
        <f t="shared" si="35"/>
        <v/>
      </c>
      <c r="AL46" s="138" t="str">
        <f t="shared" si="36"/>
        <v/>
      </c>
      <c r="AM46" s="259">
        <f t="shared" si="39"/>
        <v>0</v>
      </c>
      <c r="AN46" s="110"/>
    </row>
    <row r="47" spans="1:40" s="22" customFormat="1" ht="16.5" hidden="1">
      <c r="A47" s="21" t="str">
        <f>IF($A$2="","",IF(MAX($A$9:A46)+1&gt;$A$2,"",MAX($A$9:A46)+1))</f>
        <v/>
      </c>
      <c r="B47" s="18" t="str">
        <f t="shared" si="40"/>
        <v/>
      </c>
      <c r="C47" s="19" t="str">
        <f t="shared" si="41"/>
        <v/>
      </c>
      <c r="D47" s="20" t="str">
        <f t="shared" si="42"/>
        <v/>
      </c>
      <c r="E47" s="77" t="str">
        <f t="shared" si="43"/>
        <v/>
      </c>
      <c r="F47" s="138" t="str">
        <f t="shared" si="5"/>
        <v/>
      </c>
      <c r="G47" s="138" t="str">
        <f t="shared" si="6"/>
        <v/>
      </c>
      <c r="H47" s="138" t="str">
        <f t="shared" si="7"/>
        <v/>
      </c>
      <c r="I47" s="138" t="str">
        <f t="shared" si="8"/>
        <v/>
      </c>
      <c r="J47" s="138" t="str">
        <f t="shared" si="9"/>
        <v/>
      </c>
      <c r="K47" s="138" t="str">
        <f t="shared" si="10"/>
        <v/>
      </c>
      <c r="L47" s="138" t="str">
        <f t="shared" si="11"/>
        <v/>
      </c>
      <c r="M47" s="138" t="str">
        <f t="shared" si="12"/>
        <v/>
      </c>
      <c r="N47" s="138" t="str">
        <f t="shared" si="13"/>
        <v/>
      </c>
      <c r="O47" s="138" t="str">
        <f t="shared" si="14"/>
        <v/>
      </c>
      <c r="P47" s="138" t="str">
        <f t="shared" si="15"/>
        <v/>
      </c>
      <c r="Q47" s="138" t="str">
        <f t="shared" si="16"/>
        <v/>
      </c>
      <c r="R47" s="138" t="str">
        <f t="shared" si="17"/>
        <v/>
      </c>
      <c r="S47" s="138" t="str">
        <f t="shared" si="18"/>
        <v/>
      </c>
      <c r="T47" s="138" t="str">
        <f t="shared" si="19"/>
        <v/>
      </c>
      <c r="U47" s="138" t="str">
        <f t="shared" si="20"/>
        <v/>
      </c>
      <c r="V47" s="138" t="str">
        <f t="shared" si="21"/>
        <v/>
      </c>
      <c r="W47" s="138" t="str">
        <f t="shared" si="22"/>
        <v/>
      </c>
      <c r="X47" s="138" t="str">
        <f t="shared" si="44"/>
        <v/>
      </c>
      <c r="Y47" s="138" t="str">
        <f t="shared" si="23"/>
        <v/>
      </c>
      <c r="Z47" s="138" t="str">
        <f t="shared" si="24"/>
        <v/>
      </c>
      <c r="AA47" s="138" t="str">
        <f t="shared" si="25"/>
        <v/>
      </c>
      <c r="AB47" s="138" t="str">
        <f t="shared" si="26"/>
        <v/>
      </c>
      <c r="AC47" s="138" t="str">
        <f t="shared" si="27"/>
        <v/>
      </c>
      <c r="AD47" s="138" t="str">
        <f t="shared" si="28"/>
        <v/>
      </c>
      <c r="AE47" s="138" t="str">
        <f t="shared" si="29"/>
        <v/>
      </c>
      <c r="AF47" s="138" t="str">
        <f t="shared" si="30"/>
        <v/>
      </c>
      <c r="AG47" s="138" t="str">
        <f t="shared" si="31"/>
        <v/>
      </c>
      <c r="AH47" s="138" t="str">
        <f t="shared" si="32"/>
        <v/>
      </c>
      <c r="AI47" s="138" t="str">
        <f t="shared" si="33"/>
        <v/>
      </c>
      <c r="AJ47" s="138" t="str">
        <f t="shared" si="34"/>
        <v/>
      </c>
      <c r="AK47" s="138" t="str">
        <f t="shared" si="35"/>
        <v/>
      </c>
      <c r="AL47" s="138" t="str">
        <f t="shared" si="36"/>
        <v/>
      </c>
      <c r="AM47" s="259">
        <f t="shared" si="39"/>
        <v>0</v>
      </c>
      <c r="AN47" s="110"/>
    </row>
    <row r="48" spans="1:40" s="22" customFormat="1" ht="16.5" hidden="1">
      <c r="A48" s="21" t="str">
        <f>IF($A$2="","",IF(MAX($A$9:A47)+1&gt;$A$2,"",MAX($A$9:A47)+1))</f>
        <v/>
      </c>
      <c r="B48" s="18" t="str">
        <f t="shared" si="40"/>
        <v/>
      </c>
      <c r="C48" s="19" t="str">
        <f t="shared" si="41"/>
        <v/>
      </c>
      <c r="D48" s="20" t="str">
        <f t="shared" si="42"/>
        <v/>
      </c>
      <c r="E48" s="77" t="str">
        <f t="shared" si="43"/>
        <v/>
      </c>
      <c r="F48" s="138" t="str">
        <f t="shared" si="5"/>
        <v/>
      </c>
      <c r="G48" s="138" t="str">
        <f t="shared" si="6"/>
        <v/>
      </c>
      <c r="H48" s="138" t="str">
        <f t="shared" si="7"/>
        <v/>
      </c>
      <c r="I48" s="138" t="str">
        <f t="shared" si="8"/>
        <v/>
      </c>
      <c r="J48" s="138" t="str">
        <f t="shared" si="9"/>
        <v/>
      </c>
      <c r="K48" s="138" t="str">
        <f t="shared" si="10"/>
        <v/>
      </c>
      <c r="L48" s="138" t="str">
        <f t="shared" si="11"/>
        <v/>
      </c>
      <c r="M48" s="138" t="str">
        <f t="shared" si="12"/>
        <v/>
      </c>
      <c r="N48" s="138" t="str">
        <f t="shared" si="13"/>
        <v/>
      </c>
      <c r="O48" s="138" t="str">
        <f t="shared" si="14"/>
        <v/>
      </c>
      <c r="P48" s="138" t="str">
        <f t="shared" si="15"/>
        <v/>
      </c>
      <c r="Q48" s="138" t="str">
        <f t="shared" si="16"/>
        <v/>
      </c>
      <c r="R48" s="138" t="str">
        <f t="shared" si="17"/>
        <v/>
      </c>
      <c r="S48" s="138" t="str">
        <f t="shared" si="18"/>
        <v/>
      </c>
      <c r="T48" s="138" t="str">
        <f t="shared" si="19"/>
        <v/>
      </c>
      <c r="U48" s="138" t="str">
        <f t="shared" si="20"/>
        <v/>
      </c>
      <c r="V48" s="138" t="str">
        <f t="shared" si="21"/>
        <v/>
      </c>
      <c r="W48" s="138" t="str">
        <f t="shared" si="22"/>
        <v/>
      </c>
      <c r="X48" s="138" t="str">
        <f t="shared" si="44"/>
        <v/>
      </c>
      <c r="Y48" s="138" t="str">
        <f t="shared" si="23"/>
        <v/>
      </c>
      <c r="Z48" s="138" t="str">
        <f t="shared" si="24"/>
        <v/>
      </c>
      <c r="AA48" s="138" t="str">
        <f t="shared" si="25"/>
        <v/>
      </c>
      <c r="AB48" s="138" t="str">
        <f t="shared" si="26"/>
        <v/>
      </c>
      <c r="AC48" s="138" t="str">
        <f t="shared" si="27"/>
        <v/>
      </c>
      <c r="AD48" s="138" t="str">
        <f t="shared" si="28"/>
        <v/>
      </c>
      <c r="AE48" s="138" t="str">
        <f t="shared" si="29"/>
        <v/>
      </c>
      <c r="AF48" s="138" t="str">
        <f t="shared" si="30"/>
        <v/>
      </c>
      <c r="AG48" s="138" t="str">
        <f t="shared" si="31"/>
        <v/>
      </c>
      <c r="AH48" s="138" t="str">
        <f t="shared" si="32"/>
        <v/>
      </c>
      <c r="AI48" s="138" t="str">
        <f t="shared" si="33"/>
        <v/>
      </c>
      <c r="AJ48" s="138" t="str">
        <f t="shared" si="34"/>
        <v/>
      </c>
      <c r="AK48" s="138" t="str">
        <f t="shared" si="35"/>
        <v/>
      </c>
      <c r="AL48" s="138" t="str">
        <f t="shared" si="36"/>
        <v/>
      </c>
      <c r="AM48" s="259">
        <f t="shared" si="39"/>
        <v>0</v>
      </c>
      <c r="AN48" s="110"/>
    </row>
    <row r="49" spans="1:40" s="22" customFormat="1" ht="16.5" hidden="1">
      <c r="A49" s="21" t="str">
        <f>IF($A$2="","",IF(MAX($A$9:A48)+1&gt;$A$2,"",MAX($A$9:A48)+1))</f>
        <v/>
      </c>
      <c r="B49" s="18" t="str">
        <f t="shared" si="40"/>
        <v/>
      </c>
      <c r="C49" s="19" t="str">
        <f t="shared" si="41"/>
        <v/>
      </c>
      <c r="D49" s="20" t="str">
        <f t="shared" si="42"/>
        <v/>
      </c>
      <c r="E49" s="77" t="str">
        <f t="shared" si="43"/>
        <v/>
      </c>
      <c r="F49" s="138" t="str">
        <f t="shared" si="5"/>
        <v/>
      </c>
      <c r="G49" s="138" t="str">
        <f t="shared" si="6"/>
        <v/>
      </c>
      <c r="H49" s="138" t="str">
        <f t="shared" si="7"/>
        <v/>
      </c>
      <c r="I49" s="138" t="str">
        <f t="shared" si="8"/>
        <v/>
      </c>
      <c r="J49" s="138" t="str">
        <f t="shared" si="9"/>
        <v/>
      </c>
      <c r="K49" s="138" t="str">
        <f t="shared" si="10"/>
        <v/>
      </c>
      <c r="L49" s="138" t="str">
        <f t="shared" si="11"/>
        <v/>
      </c>
      <c r="M49" s="138" t="str">
        <f t="shared" si="12"/>
        <v/>
      </c>
      <c r="N49" s="138" t="str">
        <f t="shared" si="13"/>
        <v/>
      </c>
      <c r="O49" s="138" t="str">
        <f t="shared" si="14"/>
        <v/>
      </c>
      <c r="P49" s="138" t="str">
        <f t="shared" si="15"/>
        <v/>
      </c>
      <c r="Q49" s="138" t="str">
        <f t="shared" si="16"/>
        <v/>
      </c>
      <c r="R49" s="138" t="str">
        <f t="shared" si="17"/>
        <v/>
      </c>
      <c r="S49" s="138" t="str">
        <f t="shared" si="18"/>
        <v/>
      </c>
      <c r="T49" s="138" t="str">
        <f t="shared" si="19"/>
        <v/>
      </c>
      <c r="U49" s="138" t="str">
        <f t="shared" si="20"/>
        <v/>
      </c>
      <c r="V49" s="138" t="str">
        <f t="shared" si="21"/>
        <v/>
      </c>
      <c r="W49" s="138" t="str">
        <f t="shared" si="22"/>
        <v/>
      </c>
      <c r="X49" s="138" t="str">
        <f t="shared" si="44"/>
        <v/>
      </c>
      <c r="Y49" s="138" t="str">
        <f t="shared" si="23"/>
        <v/>
      </c>
      <c r="Z49" s="138" t="str">
        <f t="shared" si="24"/>
        <v/>
      </c>
      <c r="AA49" s="138" t="str">
        <f t="shared" si="25"/>
        <v/>
      </c>
      <c r="AB49" s="138" t="str">
        <f t="shared" si="26"/>
        <v/>
      </c>
      <c r="AC49" s="138" t="str">
        <f t="shared" si="27"/>
        <v/>
      </c>
      <c r="AD49" s="138" t="str">
        <f t="shared" si="28"/>
        <v/>
      </c>
      <c r="AE49" s="138" t="str">
        <f t="shared" si="29"/>
        <v/>
      </c>
      <c r="AF49" s="138" t="str">
        <f t="shared" si="30"/>
        <v/>
      </c>
      <c r="AG49" s="138" t="str">
        <f t="shared" si="31"/>
        <v/>
      </c>
      <c r="AH49" s="138" t="str">
        <f t="shared" si="32"/>
        <v/>
      </c>
      <c r="AI49" s="138" t="str">
        <f t="shared" si="33"/>
        <v/>
      </c>
      <c r="AJ49" s="138" t="str">
        <f t="shared" si="34"/>
        <v/>
      </c>
      <c r="AK49" s="138" t="str">
        <f t="shared" si="35"/>
        <v/>
      </c>
      <c r="AL49" s="138" t="str">
        <f t="shared" si="36"/>
        <v/>
      </c>
      <c r="AM49" s="259">
        <f t="shared" si="39"/>
        <v>0</v>
      </c>
      <c r="AN49" s="110"/>
    </row>
    <row r="50" spans="1:40" s="22" customFormat="1" ht="16.5" hidden="1">
      <c r="A50" s="21" t="str">
        <f>IF($A$2="","",IF(MAX($A$9:A49)+1&gt;$A$2,"",MAX($A$9:A49)+1))</f>
        <v/>
      </c>
      <c r="B50" s="18" t="str">
        <f t="shared" si="40"/>
        <v/>
      </c>
      <c r="C50" s="19" t="str">
        <f t="shared" si="41"/>
        <v/>
      </c>
      <c r="D50" s="20" t="str">
        <f t="shared" si="42"/>
        <v/>
      </c>
      <c r="E50" s="77" t="str">
        <f t="shared" si="43"/>
        <v/>
      </c>
      <c r="F50" s="138" t="str">
        <f t="shared" si="5"/>
        <v/>
      </c>
      <c r="G50" s="138" t="str">
        <f t="shared" si="6"/>
        <v/>
      </c>
      <c r="H50" s="138" t="str">
        <f t="shared" si="7"/>
        <v/>
      </c>
      <c r="I50" s="138" t="str">
        <f t="shared" si="8"/>
        <v/>
      </c>
      <c r="J50" s="138" t="str">
        <f t="shared" si="9"/>
        <v/>
      </c>
      <c r="K50" s="138" t="str">
        <f t="shared" si="10"/>
        <v/>
      </c>
      <c r="L50" s="138" t="str">
        <f t="shared" si="11"/>
        <v/>
      </c>
      <c r="M50" s="138" t="str">
        <f t="shared" si="12"/>
        <v/>
      </c>
      <c r="N50" s="138" t="str">
        <f t="shared" si="13"/>
        <v/>
      </c>
      <c r="O50" s="138" t="str">
        <f t="shared" si="14"/>
        <v/>
      </c>
      <c r="P50" s="138" t="str">
        <f t="shared" si="15"/>
        <v/>
      </c>
      <c r="Q50" s="138" t="str">
        <f t="shared" si="16"/>
        <v/>
      </c>
      <c r="R50" s="138" t="str">
        <f t="shared" si="17"/>
        <v/>
      </c>
      <c r="S50" s="138" t="str">
        <f t="shared" si="18"/>
        <v/>
      </c>
      <c r="T50" s="138" t="str">
        <f t="shared" si="19"/>
        <v/>
      </c>
      <c r="U50" s="138" t="str">
        <f t="shared" si="20"/>
        <v/>
      </c>
      <c r="V50" s="138" t="str">
        <f t="shared" si="21"/>
        <v/>
      </c>
      <c r="W50" s="138" t="str">
        <f t="shared" si="22"/>
        <v/>
      </c>
      <c r="X50" s="138" t="str">
        <f t="shared" si="44"/>
        <v/>
      </c>
      <c r="Y50" s="138" t="str">
        <f t="shared" si="23"/>
        <v/>
      </c>
      <c r="Z50" s="138" t="str">
        <f t="shared" si="24"/>
        <v/>
      </c>
      <c r="AA50" s="138" t="str">
        <f t="shared" si="25"/>
        <v/>
      </c>
      <c r="AB50" s="138" t="str">
        <f t="shared" si="26"/>
        <v/>
      </c>
      <c r="AC50" s="138" t="str">
        <f t="shared" si="27"/>
        <v/>
      </c>
      <c r="AD50" s="138" t="str">
        <f t="shared" si="28"/>
        <v/>
      </c>
      <c r="AE50" s="138" t="str">
        <f t="shared" si="29"/>
        <v/>
      </c>
      <c r="AF50" s="138" t="str">
        <f t="shared" si="30"/>
        <v/>
      </c>
      <c r="AG50" s="138" t="str">
        <f t="shared" si="31"/>
        <v/>
      </c>
      <c r="AH50" s="138" t="str">
        <f t="shared" si="32"/>
        <v/>
      </c>
      <c r="AI50" s="138" t="str">
        <f t="shared" si="33"/>
        <v/>
      </c>
      <c r="AJ50" s="138" t="str">
        <f t="shared" si="34"/>
        <v/>
      </c>
      <c r="AK50" s="138" t="str">
        <f t="shared" si="35"/>
        <v/>
      </c>
      <c r="AL50" s="138" t="str">
        <f t="shared" si="36"/>
        <v/>
      </c>
      <c r="AM50" s="259">
        <f t="shared" si="39"/>
        <v>0</v>
      </c>
      <c r="AN50" s="110"/>
    </row>
    <row r="51" spans="1:40" s="22" customFormat="1" ht="16.5" hidden="1">
      <c r="A51" s="21" t="str">
        <f>IF($A$2="","",IF(MAX($A$9:A50)+1&gt;$A$2,"",MAX($A$9:A50)+1))</f>
        <v/>
      </c>
      <c r="B51" s="18" t="str">
        <f t="shared" si="40"/>
        <v/>
      </c>
      <c r="C51" s="19" t="str">
        <f t="shared" si="41"/>
        <v/>
      </c>
      <c r="D51" s="20" t="str">
        <f t="shared" si="42"/>
        <v/>
      </c>
      <c r="E51" s="77" t="str">
        <f t="shared" si="43"/>
        <v/>
      </c>
      <c r="F51" s="138" t="str">
        <f t="shared" si="5"/>
        <v/>
      </c>
      <c r="G51" s="138" t="str">
        <f t="shared" si="6"/>
        <v/>
      </c>
      <c r="H51" s="138" t="str">
        <f t="shared" si="7"/>
        <v/>
      </c>
      <c r="I51" s="138" t="str">
        <f t="shared" si="8"/>
        <v/>
      </c>
      <c r="J51" s="138" t="str">
        <f t="shared" si="9"/>
        <v/>
      </c>
      <c r="K51" s="138" t="str">
        <f t="shared" si="10"/>
        <v/>
      </c>
      <c r="L51" s="138" t="str">
        <f t="shared" si="11"/>
        <v/>
      </c>
      <c r="M51" s="138" t="str">
        <f t="shared" si="12"/>
        <v/>
      </c>
      <c r="N51" s="138" t="str">
        <f t="shared" si="13"/>
        <v/>
      </c>
      <c r="O51" s="138" t="str">
        <f t="shared" si="14"/>
        <v/>
      </c>
      <c r="P51" s="138" t="str">
        <f t="shared" si="15"/>
        <v/>
      </c>
      <c r="Q51" s="138" t="str">
        <f t="shared" si="16"/>
        <v/>
      </c>
      <c r="R51" s="138" t="str">
        <f t="shared" si="17"/>
        <v/>
      </c>
      <c r="S51" s="138" t="str">
        <f t="shared" si="18"/>
        <v/>
      </c>
      <c r="T51" s="138" t="str">
        <f t="shared" si="19"/>
        <v/>
      </c>
      <c r="U51" s="138" t="str">
        <f t="shared" si="20"/>
        <v/>
      </c>
      <c r="V51" s="138" t="str">
        <f t="shared" si="21"/>
        <v/>
      </c>
      <c r="W51" s="138" t="str">
        <f t="shared" si="22"/>
        <v/>
      </c>
      <c r="X51" s="138" t="str">
        <f t="shared" si="44"/>
        <v/>
      </c>
      <c r="Y51" s="138" t="str">
        <f t="shared" si="23"/>
        <v/>
      </c>
      <c r="Z51" s="138" t="str">
        <f t="shared" si="24"/>
        <v/>
      </c>
      <c r="AA51" s="138" t="str">
        <f t="shared" si="25"/>
        <v/>
      </c>
      <c r="AB51" s="138" t="str">
        <f t="shared" si="26"/>
        <v/>
      </c>
      <c r="AC51" s="138" t="str">
        <f t="shared" si="27"/>
        <v/>
      </c>
      <c r="AD51" s="138" t="str">
        <f t="shared" si="28"/>
        <v/>
      </c>
      <c r="AE51" s="138" t="str">
        <f t="shared" si="29"/>
        <v/>
      </c>
      <c r="AF51" s="138" t="str">
        <f t="shared" si="30"/>
        <v/>
      </c>
      <c r="AG51" s="138" t="str">
        <f t="shared" si="31"/>
        <v/>
      </c>
      <c r="AH51" s="138" t="str">
        <f t="shared" si="32"/>
        <v/>
      </c>
      <c r="AI51" s="138" t="str">
        <f t="shared" si="33"/>
        <v/>
      </c>
      <c r="AJ51" s="138" t="str">
        <f t="shared" si="34"/>
        <v/>
      </c>
      <c r="AK51" s="138" t="str">
        <f t="shared" si="35"/>
        <v/>
      </c>
      <c r="AL51" s="138" t="str">
        <f t="shared" si="36"/>
        <v/>
      </c>
      <c r="AM51" s="259">
        <f t="shared" si="39"/>
        <v>0</v>
      </c>
      <c r="AN51" s="110"/>
    </row>
    <row r="52" spans="1:40" s="23" customFormat="1" ht="15.75" hidden="1">
      <c r="A52" s="21" t="str">
        <f>IF($A$2="","",IF(MAX($A$9:A51)+1&gt;$A$2,"",MAX($A$9:A51)+1))</f>
        <v/>
      </c>
      <c r="B52" s="18" t="str">
        <f t="shared" si="40"/>
        <v/>
      </c>
      <c r="C52" s="19" t="str">
        <f t="shared" si="41"/>
        <v/>
      </c>
      <c r="D52" s="20" t="str">
        <f t="shared" si="42"/>
        <v/>
      </c>
      <c r="E52" s="77" t="str">
        <f t="shared" si="43"/>
        <v/>
      </c>
      <c r="F52" s="138" t="str">
        <f t="shared" si="5"/>
        <v/>
      </c>
      <c r="G52" s="138" t="str">
        <f t="shared" si="6"/>
        <v/>
      </c>
      <c r="H52" s="138" t="str">
        <f t="shared" si="7"/>
        <v/>
      </c>
      <c r="I52" s="138" t="str">
        <f t="shared" si="8"/>
        <v/>
      </c>
      <c r="J52" s="138" t="str">
        <f t="shared" si="9"/>
        <v/>
      </c>
      <c r="K52" s="138" t="str">
        <f t="shared" si="10"/>
        <v/>
      </c>
      <c r="L52" s="138" t="str">
        <f t="shared" si="11"/>
        <v/>
      </c>
      <c r="M52" s="138" t="str">
        <f t="shared" si="12"/>
        <v/>
      </c>
      <c r="N52" s="138" t="str">
        <f t="shared" si="13"/>
        <v/>
      </c>
      <c r="O52" s="138" t="str">
        <f t="shared" si="14"/>
        <v/>
      </c>
      <c r="P52" s="138" t="str">
        <f t="shared" si="15"/>
        <v/>
      </c>
      <c r="Q52" s="138" t="str">
        <f t="shared" si="16"/>
        <v/>
      </c>
      <c r="R52" s="138" t="str">
        <f t="shared" si="17"/>
        <v/>
      </c>
      <c r="S52" s="138" t="str">
        <f t="shared" si="18"/>
        <v/>
      </c>
      <c r="T52" s="138" t="str">
        <f t="shared" si="19"/>
        <v/>
      </c>
      <c r="U52" s="138" t="str">
        <f t="shared" si="20"/>
        <v/>
      </c>
      <c r="V52" s="138" t="str">
        <f t="shared" si="21"/>
        <v/>
      </c>
      <c r="W52" s="138" t="str">
        <f t="shared" si="22"/>
        <v/>
      </c>
      <c r="X52" s="138" t="str">
        <f t="shared" si="44"/>
        <v/>
      </c>
      <c r="Y52" s="138" t="str">
        <f t="shared" si="23"/>
        <v/>
      </c>
      <c r="Z52" s="138" t="str">
        <f t="shared" si="24"/>
        <v/>
      </c>
      <c r="AA52" s="138" t="str">
        <f t="shared" si="25"/>
        <v/>
      </c>
      <c r="AB52" s="138" t="str">
        <f t="shared" si="26"/>
        <v/>
      </c>
      <c r="AC52" s="138" t="str">
        <f t="shared" si="27"/>
        <v/>
      </c>
      <c r="AD52" s="138" t="str">
        <f t="shared" si="28"/>
        <v/>
      </c>
      <c r="AE52" s="138" t="str">
        <f t="shared" si="29"/>
        <v/>
      </c>
      <c r="AF52" s="138" t="str">
        <f t="shared" si="30"/>
        <v/>
      </c>
      <c r="AG52" s="138" t="str">
        <f t="shared" si="31"/>
        <v/>
      </c>
      <c r="AH52" s="138" t="str">
        <f t="shared" si="32"/>
        <v/>
      </c>
      <c r="AI52" s="138" t="str">
        <f t="shared" si="33"/>
        <v/>
      </c>
      <c r="AJ52" s="138" t="str">
        <f t="shared" si="34"/>
        <v/>
      </c>
      <c r="AK52" s="138" t="str">
        <f t="shared" si="35"/>
        <v/>
      </c>
      <c r="AL52" s="138" t="str">
        <f t="shared" si="36"/>
        <v/>
      </c>
      <c r="AM52" s="259">
        <f t="shared" si="39"/>
        <v>0</v>
      </c>
      <c r="AN52" s="110"/>
    </row>
    <row r="53" spans="1:40" s="23" customFormat="1" ht="15.75" hidden="1">
      <c r="A53" s="21" t="str">
        <f>IF($A$2="","",IF(MAX($A$9:A52)+1&gt;$A$2,"",MAX($A$9:A52)+1))</f>
        <v/>
      </c>
      <c r="B53" s="18" t="str">
        <f t="shared" si="40"/>
        <v/>
      </c>
      <c r="C53" s="19" t="str">
        <f t="shared" si="41"/>
        <v/>
      </c>
      <c r="D53" s="20" t="str">
        <f t="shared" si="42"/>
        <v/>
      </c>
      <c r="E53" s="77" t="str">
        <f t="shared" si="43"/>
        <v/>
      </c>
      <c r="F53" s="138" t="str">
        <f t="shared" si="5"/>
        <v/>
      </c>
      <c r="G53" s="138" t="str">
        <f t="shared" si="6"/>
        <v/>
      </c>
      <c r="H53" s="138" t="str">
        <f t="shared" si="7"/>
        <v/>
      </c>
      <c r="I53" s="138" t="str">
        <f t="shared" si="8"/>
        <v/>
      </c>
      <c r="J53" s="138" t="str">
        <f t="shared" si="9"/>
        <v/>
      </c>
      <c r="K53" s="138" t="str">
        <f t="shared" si="10"/>
        <v/>
      </c>
      <c r="L53" s="138" t="str">
        <f t="shared" si="11"/>
        <v/>
      </c>
      <c r="M53" s="138" t="str">
        <f t="shared" si="12"/>
        <v/>
      </c>
      <c r="N53" s="138" t="str">
        <f t="shared" si="13"/>
        <v/>
      </c>
      <c r="O53" s="138" t="str">
        <f t="shared" si="14"/>
        <v/>
      </c>
      <c r="P53" s="138" t="str">
        <f t="shared" si="15"/>
        <v/>
      </c>
      <c r="Q53" s="138" t="str">
        <f t="shared" si="16"/>
        <v/>
      </c>
      <c r="R53" s="138" t="str">
        <f t="shared" si="17"/>
        <v/>
      </c>
      <c r="S53" s="138" t="str">
        <f t="shared" si="18"/>
        <v/>
      </c>
      <c r="T53" s="138" t="str">
        <f t="shared" si="19"/>
        <v/>
      </c>
      <c r="U53" s="138" t="str">
        <f t="shared" si="20"/>
        <v/>
      </c>
      <c r="V53" s="138" t="str">
        <f t="shared" si="21"/>
        <v/>
      </c>
      <c r="W53" s="138" t="str">
        <f t="shared" si="22"/>
        <v/>
      </c>
      <c r="X53" s="138" t="str">
        <f t="shared" si="44"/>
        <v/>
      </c>
      <c r="Y53" s="138" t="str">
        <f t="shared" si="23"/>
        <v/>
      </c>
      <c r="Z53" s="138" t="str">
        <f t="shared" si="24"/>
        <v/>
      </c>
      <c r="AA53" s="138" t="str">
        <f t="shared" si="25"/>
        <v/>
      </c>
      <c r="AB53" s="138" t="str">
        <f t="shared" si="26"/>
        <v/>
      </c>
      <c r="AC53" s="138" t="str">
        <f t="shared" si="27"/>
        <v/>
      </c>
      <c r="AD53" s="138" t="str">
        <f t="shared" si="28"/>
        <v/>
      </c>
      <c r="AE53" s="138" t="str">
        <f t="shared" si="29"/>
        <v/>
      </c>
      <c r="AF53" s="138" t="str">
        <f t="shared" si="30"/>
        <v/>
      </c>
      <c r="AG53" s="138" t="str">
        <f t="shared" si="31"/>
        <v/>
      </c>
      <c r="AH53" s="138" t="str">
        <f t="shared" si="32"/>
        <v/>
      </c>
      <c r="AI53" s="138" t="str">
        <f t="shared" si="33"/>
        <v/>
      </c>
      <c r="AJ53" s="138" t="str">
        <f t="shared" si="34"/>
        <v/>
      </c>
      <c r="AK53" s="138" t="str">
        <f t="shared" si="35"/>
        <v/>
      </c>
      <c r="AL53" s="138" t="str">
        <f t="shared" si="36"/>
        <v/>
      </c>
      <c r="AM53" s="259">
        <f t="shared" si="39"/>
        <v>0</v>
      </c>
      <c r="AN53" s="110"/>
    </row>
    <row r="54" spans="1:40" s="23" customFormat="1" ht="15.75" hidden="1">
      <c r="A54" s="21" t="str">
        <f>IF($A$2="","",IF(MAX($A$9:A53)+1&gt;$A$2,"",MAX($A$9:A53)+1))</f>
        <v/>
      </c>
      <c r="B54" s="18" t="str">
        <f t="shared" si="40"/>
        <v/>
      </c>
      <c r="C54" s="19" t="str">
        <f t="shared" si="41"/>
        <v/>
      </c>
      <c r="D54" s="20" t="str">
        <f t="shared" si="42"/>
        <v/>
      </c>
      <c r="E54" s="77" t="str">
        <f t="shared" si="43"/>
        <v/>
      </c>
      <c r="F54" s="138" t="str">
        <f t="shared" si="5"/>
        <v/>
      </c>
      <c r="G54" s="138" t="str">
        <f t="shared" si="6"/>
        <v/>
      </c>
      <c r="H54" s="138" t="str">
        <f t="shared" si="7"/>
        <v/>
      </c>
      <c r="I54" s="138" t="str">
        <f t="shared" si="8"/>
        <v/>
      </c>
      <c r="J54" s="138" t="str">
        <f t="shared" si="9"/>
        <v/>
      </c>
      <c r="K54" s="138" t="str">
        <f t="shared" si="10"/>
        <v/>
      </c>
      <c r="L54" s="138" t="str">
        <f t="shared" si="11"/>
        <v/>
      </c>
      <c r="M54" s="138" t="str">
        <f t="shared" si="12"/>
        <v/>
      </c>
      <c r="N54" s="138" t="str">
        <f t="shared" si="13"/>
        <v/>
      </c>
      <c r="O54" s="138" t="str">
        <f t="shared" si="14"/>
        <v/>
      </c>
      <c r="P54" s="138" t="str">
        <f t="shared" si="15"/>
        <v/>
      </c>
      <c r="Q54" s="138" t="str">
        <f t="shared" si="16"/>
        <v/>
      </c>
      <c r="R54" s="138" t="str">
        <f t="shared" si="17"/>
        <v/>
      </c>
      <c r="S54" s="138" t="str">
        <f t="shared" si="18"/>
        <v/>
      </c>
      <c r="T54" s="138" t="str">
        <f t="shared" si="19"/>
        <v/>
      </c>
      <c r="U54" s="138" t="str">
        <f t="shared" si="20"/>
        <v/>
      </c>
      <c r="V54" s="138" t="str">
        <f t="shared" si="21"/>
        <v/>
      </c>
      <c r="W54" s="138" t="str">
        <f t="shared" si="22"/>
        <v/>
      </c>
      <c r="X54" s="138" t="str">
        <f t="shared" si="44"/>
        <v/>
      </c>
      <c r="Y54" s="138" t="str">
        <f t="shared" si="23"/>
        <v/>
      </c>
      <c r="Z54" s="138" t="str">
        <f t="shared" si="24"/>
        <v/>
      </c>
      <c r="AA54" s="138" t="str">
        <f t="shared" si="25"/>
        <v/>
      </c>
      <c r="AB54" s="138" t="str">
        <f t="shared" si="26"/>
        <v/>
      </c>
      <c r="AC54" s="138" t="str">
        <f t="shared" si="27"/>
        <v/>
      </c>
      <c r="AD54" s="138" t="str">
        <f t="shared" si="28"/>
        <v/>
      </c>
      <c r="AE54" s="138" t="str">
        <f t="shared" si="29"/>
        <v/>
      </c>
      <c r="AF54" s="138" t="str">
        <f t="shared" si="30"/>
        <v/>
      </c>
      <c r="AG54" s="138" t="str">
        <f t="shared" si="31"/>
        <v/>
      </c>
      <c r="AH54" s="138" t="str">
        <f t="shared" si="32"/>
        <v/>
      </c>
      <c r="AI54" s="138" t="str">
        <f t="shared" si="33"/>
        <v/>
      </c>
      <c r="AJ54" s="138" t="str">
        <f t="shared" si="34"/>
        <v/>
      </c>
      <c r="AK54" s="138" t="str">
        <f t="shared" si="35"/>
        <v/>
      </c>
      <c r="AL54" s="138" t="str">
        <f t="shared" si="36"/>
        <v/>
      </c>
      <c r="AM54" s="259">
        <f t="shared" si="39"/>
        <v>0</v>
      </c>
      <c r="AN54" s="110"/>
    </row>
    <row r="55" spans="1:40" s="23" customFormat="1" ht="15.75" hidden="1">
      <c r="A55" s="21" t="str">
        <f>IF($A$2="","",IF(MAX($A$9:A54)+1&gt;$A$2,"",MAX($A$9:A54)+1))</f>
        <v/>
      </c>
      <c r="B55" s="18" t="str">
        <f t="shared" si="40"/>
        <v/>
      </c>
      <c r="C55" s="19" t="str">
        <f t="shared" si="41"/>
        <v/>
      </c>
      <c r="D55" s="20" t="str">
        <f t="shared" si="42"/>
        <v/>
      </c>
      <c r="E55" s="77" t="str">
        <f t="shared" si="43"/>
        <v/>
      </c>
      <c r="F55" s="138" t="str">
        <f t="shared" si="5"/>
        <v/>
      </c>
      <c r="G55" s="138" t="str">
        <f t="shared" si="6"/>
        <v/>
      </c>
      <c r="H55" s="138" t="str">
        <f t="shared" si="7"/>
        <v/>
      </c>
      <c r="I55" s="138" t="str">
        <f t="shared" si="8"/>
        <v/>
      </c>
      <c r="J55" s="138" t="str">
        <f t="shared" si="9"/>
        <v/>
      </c>
      <c r="K55" s="138" t="str">
        <f t="shared" si="10"/>
        <v/>
      </c>
      <c r="L55" s="138" t="str">
        <f t="shared" si="11"/>
        <v/>
      </c>
      <c r="M55" s="138" t="str">
        <f t="shared" si="12"/>
        <v/>
      </c>
      <c r="N55" s="138" t="str">
        <f t="shared" si="13"/>
        <v/>
      </c>
      <c r="O55" s="138" t="str">
        <f t="shared" si="14"/>
        <v/>
      </c>
      <c r="P55" s="138" t="str">
        <f t="shared" si="15"/>
        <v/>
      </c>
      <c r="Q55" s="138" t="str">
        <f t="shared" si="16"/>
        <v/>
      </c>
      <c r="R55" s="138" t="str">
        <f t="shared" si="17"/>
        <v/>
      </c>
      <c r="S55" s="138" t="str">
        <f t="shared" si="18"/>
        <v/>
      </c>
      <c r="T55" s="138" t="str">
        <f t="shared" si="19"/>
        <v/>
      </c>
      <c r="U55" s="138" t="str">
        <f t="shared" si="20"/>
        <v/>
      </c>
      <c r="V55" s="138" t="str">
        <f t="shared" si="21"/>
        <v/>
      </c>
      <c r="W55" s="138" t="str">
        <f t="shared" si="22"/>
        <v/>
      </c>
      <c r="X55" s="138" t="str">
        <f t="shared" si="44"/>
        <v/>
      </c>
      <c r="Y55" s="138" t="str">
        <f t="shared" si="23"/>
        <v/>
      </c>
      <c r="Z55" s="138" t="str">
        <f t="shared" si="24"/>
        <v/>
      </c>
      <c r="AA55" s="138" t="str">
        <f t="shared" si="25"/>
        <v/>
      </c>
      <c r="AB55" s="138" t="str">
        <f t="shared" si="26"/>
        <v/>
      </c>
      <c r="AC55" s="138" t="str">
        <f t="shared" si="27"/>
        <v/>
      </c>
      <c r="AD55" s="138" t="str">
        <f t="shared" si="28"/>
        <v/>
      </c>
      <c r="AE55" s="138" t="str">
        <f t="shared" si="29"/>
        <v/>
      </c>
      <c r="AF55" s="138" t="str">
        <f t="shared" si="30"/>
        <v/>
      </c>
      <c r="AG55" s="138" t="str">
        <f t="shared" si="31"/>
        <v/>
      </c>
      <c r="AH55" s="138" t="str">
        <f t="shared" si="32"/>
        <v/>
      </c>
      <c r="AI55" s="138" t="str">
        <f t="shared" si="33"/>
        <v/>
      </c>
      <c r="AJ55" s="138" t="str">
        <f t="shared" si="34"/>
        <v/>
      </c>
      <c r="AK55" s="138" t="str">
        <f t="shared" si="35"/>
        <v/>
      </c>
      <c r="AL55" s="138" t="str">
        <f t="shared" si="36"/>
        <v/>
      </c>
      <c r="AM55" s="259">
        <f t="shared" si="39"/>
        <v>0</v>
      </c>
      <c r="AN55" s="110"/>
    </row>
    <row r="56" spans="1:40" s="23" customFormat="1" ht="15.75" hidden="1">
      <c r="A56" s="21" t="str">
        <f>IF($A$2="","",IF(MAX($A$9:A55)+1&gt;$A$2,"",MAX($A$9:A55)+1))</f>
        <v/>
      </c>
      <c r="B56" s="18" t="str">
        <f t="shared" si="40"/>
        <v/>
      </c>
      <c r="C56" s="19" t="str">
        <f t="shared" si="41"/>
        <v/>
      </c>
      <c r="D56" s="20" t="str">
        <f t="shared" si="42"/>
        <v/>
      </c>
      <c r="E56" s="77" t="str">
        <f t="shared" si="43"/>
        <v/>
      </c>
      <c r="F56" s="138" t="str">
        <f t="shared" si="5"/>
        <v/>
      </c>
      <c r="G56" s="138" t="str">
        <f t="shared" si="6"/>
        <v/>
      </c>
      <c r="H56" s="138" t="str">
        <f t="shared" si="7"/>
        <v/>
      </c>
      <c r="I56" s="138" t="str">
        <f t="shared" si="8"/>
        <v/>
      </c>
      <c r="J56" s="138" t="str">
        <f t="shared" si="9"/>
        <v/>
      </c>
      <c r="K56" s="138" t="str">
        <f t="shared" si="10"/>
        <v/>
      </c>
      <c r="L56" s="138" t="str">
        <f t="shared" si="11"/>
        <v/>
      </c>
      <c r="M56" s="138" t="str">
        <f t="shared" si="12"/>
        <v/>
      </c>
      <c r="N56" s="138" t="str">
        <f t="shared" si="13"/>
        <v/>
      </c>
      <c r="O56" s="138" t="str">
        <f t="shared" si="14"/>
        <v/>
      </c>
      <c r="P56" s="138" t="str">
        <f t="shared" si="15"/>
        <v/>
      </c>
      <c r="Q56" s="138" t="str">
        <f t="shared" si="16"/>
        <v/>
      </c>
      <c r="R56" s="138" t="str">
        <f t="shared" si="17"/>
        <v/>
      </c>
      <c r="S56" s="138" t="str">
        <f t="shared" si="18"/>
        <v/>
      </c>
      <c r="T56" s="138" t="str">
        <f t="shared" si="19"/>
        <v/>
      </c>
      <c r="U56" s="138" t="str">
        <f t="shared" si="20"/>
        <v/>
      </c>
      <c r="V56" s="138" t="str">
        <f t="shared" si="21"/>
        <v/>
      </c>
      <c r="W56" s="138" t="str">
        <f t="shared" si="22"/>
        <v/>
      </c>
      <c r="X56" s="138" t="str">
        <f t="shared" si="44"/>
        <v/>
      </c>
      <c r="Y56" s="138" t="str">
        <f t="shared" si="23"/>
        <v/>
      </c>
      <c r="Z56" s="138" t="str">
        <f t="shared" si="24"/>
        <v/>
      </c>
      <c r="AA56" s="138" t="str">
        <f t="shared" si="25"/>
        <v/>
      </c>
      <c r="AB56" s="138" t="str">
        <f t="shared" si="26"/>
        <v/>
      </c>
      <c r="AC56" s="138" t="str">
        <f t="shared" si="27"/>
        <v/>
      </c>
      <c r="AD56" s="138" t="str">
        <f t="shared" si="28"/>
        <v/>
      </c>
      <c r="AE56" s="138" t="str">
        <f t="shared" si="29"/>
        <v/>
      </c>
      <c r="AF56" s="138" t="str">
        <f t="shared" si="30"/>
        <v/>
      </c>
      <c r="AG56" s="138" t="str">
        <f t="shared" si="31"/>
        <v/>
      </c>
      <c r="AH56" s="138" t="str">
        <f t="shared" si="32"/>
        <v/>
      </c>
      <c r="AI56" s="138" t="str">
        <f t="shared" si="33"/>
        <v/>
      </c>
      <c r="AJ56" s="138" t="str">
        <f t="shared" si="34"/>
        <v/>
      </c>
      <c r="AK56" s="138" t="str">
        <f t="shared" si="35"/>
        <v/>
      </c>
      <c r="AL56" s="138" t="str">
        <f t="shared" si="36"/>
        <v/>
      </c>
      <c r="AM56" s="259">
        <f t="shared" si="39"/>
        <v>0</v>
      </c>
      <c r="AN56" s="110"/>
    </row>
    <row r="57" spans="1:40" s="23" customFormat="1" ht="15.75" hidden="1">
      <c r="A57" s="21" t="str">
        <f>IF($A$2="","",IF(MAX($A$9:A56)+1&gt;$A$2,"",MAX($A$9:A56)+1))</f>
        <v/>
      </c>
      <c r="B57" s="18" t="str">
        <f t="shared" si="40"/>
        <v/>
      </c>
      <c r="C57" s="19" t="str">
        <f t="shared" si="41"/>
        <v/>
      </c>
      <c r="D57" s="20" t="str">
        <f t="shared" si="42"/>
        <v/>
      </c>
      <c r="E57" s="77" t="str">
        <f t="shared" si="43"/>
        <v/>
      </c>
      <c r="F57" s="138" t="str">
        <f t="shared" si="5"/>
        <v/>
      </c>
      <c r="G57" s="138" t="str">
        <f t="shared" si="6"/>
        <v/>
      </c>
      <c r="H57" s="138" t="str">
        <f t="shared" si="7"/>
        <v/>
      </c>
      <c r="I57" s="138" t="str">
        <f t="shared" si="8"/>
        <v/>
      </c>
      <c r="J57" s="138" t="str">
        <f t="shared" si="9"/>
        <v/>
      </c>
      <c r="K57" s="138" t="str">
        <f t="shared" si="10"/>
        <v/>
      </c>
      <c r="L57" s="138" t="str">
        <f t="shared" si="11"/>
        <v/>
      </c>
      <c r="M57" s="138" t="str">
        <f t="shared" si="12"/>
        <v/>
      </c>
      <c r="N57" s="138" t="str">
        <f t="shared" si="13"/>
        <v/>
      </c>
      <c r="O57" s="138" t="str">
        <f t="shared" si="14"/>
        <v/>
      </c>
      <c r="P57" s="138" t="str">
        <f t="shared" si="15"/>
        <v/>
      </c>
      <c r="Q57" s="138" t="str">
        <f t="shared" si="16"/>
        <v/>
      </c>
      <c r="R57" s="138" t="str">
        <f t="shared" si="17"/>
        <v/>
      </c>
      <c r="S57" s="138" t="str">
        <f t="shared" si="18"/>
        <v/>
      </c>
      <c r="T57" s="138" t="str">
        <f t="shared" si="19"/>
        <v/>
      </c>
      <c r="U57" s="138" t="str">
        <f t="shared" si="20"/>
        <v/>
      </c>
      <c r="V57" s="138" t="str">
        <f t="shared" si="21"/>
        <v/>
      </c>
      <c r="W57" s="138" t="str">
        <f t="shared" si="22"/>
        <v/>
      </c>
      <c r="X57" s="138" t="str">
        <f t="shared" si="44"/>
        <v/>
      </c>
      <c r="Y57" s="138" t="str">
        <f t="shared" si="23"/>
        <v/>
      </c>
      <c r="Z57" s="138" t="str">
        <f t="shared" si="24"/>
        <v/>
      </c>
      <c r="AA57" s="138" t="str">
        <f t="shared" si="25"/>
        <v/>
      </c>
      <c r="AB57" s="138" t="str">
        <f t="shared" si="26"/>
        <v/>
      </c>
      <c r="AC57" s="138" t="str">
        <f t="shared" si="27"/>
        <v/>
      </c>
      <c r="AD57" s="138" t="str">
        <f t="shared" si="28"/>
        <v/>
      </c>
      <c r="AE57" s="138" t="str">
        <f t="shared" si="29"/>
        <v/>
      </c>
      <c r="AF57" s="138" t="str">
        <f t="shared" si="30"/>
        <v/>
      </c>
      <c r="AG57" s="138" t="str">
        <f t="shared" si="31"/>
        <v/>
      </c>
      <c r="AH57" s="138" t="str">
        <f t="shared" si="32"/>
        <v/>
      </c>
      <c r="AI57" s="138" t="str">
        <f t="shared" si="33"/>
        <v/>
      </c>
      <c r="AJ57" s="138" t="str">
        <f t="shared" si="34"/>
        <v/>
      </c>
      <c r="AK57" s="138" t="str">
        <f t="shared" si="35"/>
        <v/>
      </c>
      <c r="AL57" s="138" t="str">
        <f t="shared" si="36"/>
        <v/>
      </c>
      <c r="AM57" s="259">
        <f t="shared" si="39"/>
        <v>0</v>
      </c>
      <c r="AN57" s="110"/>
    </row>
    <row r="58" spans="1:40" s="23" customFormat="1" ht="15.75" hidden="1">
      <c r="A58" s="21" t="str">
        <f>IF($A$2="","",IF(MAX($A$9:A57)+1&gt;$A$2,"",MAX($A$9:A57)+1))</f>
        <v/>
      </c>
      <c r="B58" s="18" t="str">
        <f t="shared" si="40"/>
        <v/>
      </c>
      <c r="C58" s="19" t="str">
        <f t="shared" si="41"/>
        <v/>
      </c>
      <c r="D58" s="20" t="str">
        <f t="shared" si="42"/>
        <v/>
      </c>
      <c r="E58" s="77" t="str">
        <f t="shared" si="43"/>
        <v/>
      </c>
      <c r="F58" s="138" t="str">
        <f t="shared" si="5"/>
        <v/>
      </c>
      <c r="G58" s="138" t="str">
        <f t="shared" si="6"/>
        <v/>
      </c>
      <c r="H58" s="138" t="str">
        <f t="shared" si="7"/>
        <v/>
      </c>
      <c r="I58" s="138" t="str">
        <f t="shared" si="8"/>
        <v/>
      </c>
      <c r="J58" s="138" t="str">
        <f t="shared" si="9"/>
        <v/>
      </c>
      <c r="K58" s="138" t="str">
        <f t="shared" si="10"/>
        <v/>
      </c>
      <c r="L58" s="138" t="str">
        <f t="shared" si="11"/>
        <v/>
      </c>
      <c r="M58" s="138" t="str">
        <f t="shared" si="12"/>
        <v/>
      </c>
      <c r="N58" s="138" t="str">
        <f t="shared" si="13"/>
        <v/>
      </c>
      <c r="O58" s="138" t="str">
        <f t="shared" si="14"/>
        <v/>
      </c>
      <c r="P58" s="138" t="str">
        <f t="shared" si="15"/>
        <v/>
      </c>
      <c r="Q58" s="138" t="str">
        <f t="shared" si="16"/>
        <v/>
      </c>
      <c r="R58" s="138" t="str">
        <f t="shared" si="17"/>
        <v/>
      </c>
      <c r="S58" s="138" t="str">
        <f t="shared" si="18"/>
        <v/>
      </c>
      <c r="T58" s="138" t="str">
        <f t="shared" si="19"/>
        <v/>
      </c>
      <c r="U58" s="138" t="str">
        <f t="shared" si="20"/>
        <v/>
      </c>
      <c r="V58" s="138" t="str">
        <f t="shared" si="21"/>
        <v/>
      </c>
      <c r="W58" s="138" t="str">
        <f t="shared" si="22"/>
        <v/>
      </c>
      <c r="X58" s="138" t="str">
        <f t="shared" si="44"/>
        <v/>
      </c>
      <c r="Y58" s="138" t="str">
        <f t="shared" si="23"/>
        <v/>
      </c>
      <c r="Z58" s="138" t="str">
        <f t="shared" si="24"/>
        <v/>
      </c>
      <c r="AA58" s="138" t="str">
        <f t="shared" si="25"/>
        <v/>
      </c>
      <c r="AB58" s="138" t="str">
        <f t="shared" si="26"/>
        <v/>
      </c>
      <c r="AC58" s="138" t="str">
        <f t="shared" si="27"/>
        <v/>
      </c>
      <c r="AD58" s="138" t="str">
        <f t="shared" si="28"/>
        <v/>
      </c>
      <c r="AE58" s="138" t="str">
        <f t="shared" si="29"/>
        <v/>
      </c>
      <c r="AF58" s="138" t="str">
        <f t="shared" si="30"/>
        <v/>
      </c>
      <c r="AG58" s="138" t="str">
        <f t="shared" si="31"/>
        <v/>
      </c>
      <c r="AH58" s="138" t="str">
        <f t="shared" si="32"/>
        <v/>
      </c>
      <c r="AI58" s="138" t="str">
        <f t="shared" si="33"/>
        <v/>
      </c>
      <c r="AJ58" s="138" t="str">
        <f t="shared" si="34"/>
        <v/>
      </c>
      <c r="AK58" s="138" t="str">
        <f t="shared" si="35"/>
        <v/>
      </c>
      <c r="AL58" s="138" t="str">
        <f t="shared" si="36"/>
        <v/>
      </c>
      <c r="AM58" s="259">
        <f t="shared" si="39"/>
        <v>0</v>
      </c>
      <c r="AN58" s="110"/>
    </row>
    <row r="59" spans="1:40" s="23" customFormat="1" ht="15.75" hidden="1">
      <c r="A59" s="21" t="str">
        <f>IF($A$2="","",IF(MAX($A$9:A58)+1&gt;$A$2,"",MAX($A$9:A58)+1))</f>
        <v/>
      </c>
      <c r="B59" s="18" t="str">
        <f t="shared" si="40"/>
        <v/>
      </c>
      <c r="C59" s="19" t="str">
        <f t="shared" si="41"/>
        <v/>
      </c>
      <c r="D59" s="20" t="str">
        <f t="shared" si="42"/>
        <v/>
      </c>
      <c r="E59" s="77" t="str">
        <f t="shared" si="43"/>
        <v/>
      </c>
      <c r="F59" s="138" t="str">
        <f t="shared" si="5"/>
        <v/>
      </c>
      <c r="G59" s="138" t="str">
        <f t="shared" si="6"/>
        <v/>
      </c>
      <c r="H59" s="138" t="str">
        <f t="shared" si="7"/>
        <v/>
      </c>
      <c r="I59" s="138" t="str">
        <f t="shared" si="8"/>
        <v/>
      </c>
      <c r="J59" s="138" t="str">
        <f t="shared" si="9"/>
        <v/>
      </c>
      <c r="K59" s="138" t="str">
        <f t="shared" si="10"/>
        <v/>
      </c>
      <c r="L59" s="138" t="str">
        <f t="shared" si="11"/>
        <v/>
      </c>
      <c r="M59" s="138" t="str">
        <f t="shared" si="12"/>
        <v/>
      </c>
      <c r="N59" s="138" t="str">
        <f t="shared" si="13"/>
        <v/>
      </c>
      <c r="O59" s="138" t="str">
        <f t="shared" si="14"/>
        <v/>
      </c>
      <c r="P59" s="138" t="str">
        <f t="shared" si="15"/>
        <v/>
      </c>
      <c r="Q59" s="138" t="str">
        <f t="shared" si="16"/>
        <v/>
      </c>
      <c r="R59" s="138" t="str">
        <f t="shared" si="17"/>
        <v/>
      </c>
      <c r="S59" s="138" t="str">
        <f t="shared" si="18"/>
        <v/>
      </c>
      <c r="T59" s="138" t="str">
        <f t="shared" si="19"/>
        <v/>
      </c>
      <c r="U59" s="138" t="str">
        <f t="shared" si="20"/>
        <v/>
      </c>
      <c r="V59" s="138" t="str">
        <f t="shared" si="21"/>
        <v/>
      </c>
      <c r="W59" s="138" t="str">
        <f t="shared" si="22"/>
        <v/>
      </c>
      <c r="X59" s="138" t="str">
        <f t="shared" si="44"/>
        <v/>
      </c>
      <c r="Y59" s="138" t="str">
        <f t="shared" si="23"/>
        <v/>
      </c>
      <c r="Z59" s="138" t="str">
        <f t="shared" si="24"/>
        <v/>
      </c>
      <c r="AA59" s="138" t="str">
        <f t="shared" si="25"/>
        <v/>
      </c>
      <c r="AB59" s="138" t="str">
        <f t="shared" si="26"/>
        <v/>
      </c>
      <c r="AC59" s="138" t="str">
        <f t="shared" si="27"/>
        <v/>
      </c>
      <c r="AD59" s="138" t="str">
        <f t="shared" si="28"/>
        <v/>
      </c>
      <c r="AE59" s="138" t="str">
        <f t="shared" si="29"/>
        <v/>
      </c>
      <c r="AF59" s="138" t="str">
        <f t="shared" si="30"/>
        <v/>
      </c>
      <c r="AG59" s="138" t="str">
        <f t="shared" si="31"/>
        <v/>
      </c>
      <c r="AH59" s="138" t="str">
        <f t="shared" si="32"/>
        <v/>
      </c>
      <c r="AI59" s="138" t="str">
        <f t="shared" si="33"/>
        <v/>
      </c>
      <c r="AJ59" s="138" t="str">
        <f t="shared" si="34"/>
        <v/>
      </c>
      <c r="AK59" s="138" t="str">
        <f t="shared" si="35"/>
        <v/>
      </c>
      <c r="AL59" s="138" t="str">
        <f t="shared" si="36"/>
        <v/>
      </c>
      <c r="AM59" s="259">
        <f t="shared" si="39"/>
        <v>0</v>
      </c>
      <c r="AN59" s="110"/>
    </row>
    <row r="60" spans="1:40" s="23" customFormat="1" ht="15.75" hidden="1">
      <c r="A60" s="21" t="str">
        <f>IF($A$2="","",IF(MAX($A$9:A59)+1&gt;$A$2,"",MAX($A$9:A59)+1))</f>
        <v/>
      </c>
      <c r="B60" s="18" t="str">
        <f t="shared" si="40"/>
        <v/>
      </c>
      <c r="C60" s="19" t="str">
        <f t="shared" si="41"/>
        <v/>
      </c>
      <c r="D60" s="20" t="str">
        <f t="shared" si="42"/>
        <v/>
      </c>
      <c r="E60" s="77" t="str">
        <f t="shared" si="43"/>
        <v/>
      </c>
      <c r="F60" s="138" t="str">
        <f t="shared" si="5"/>
        <v/>
      </c>
      <c r="G60" s="138" t="str">
        <f t="shared" si="6"/>
        <v/>
      </c>
      <c r="H60" s="138" t="str">
        <f t="shared" si="7"/>
        <v/>
      </c>
      <c r="I60" s="138" t="str">
        <f t="shared" si="8"/>
        <v/>
      </c>
      <c r="J60" s="138" t="str">
        <f t="shared" si="9"/>
        <v/>
      </c>
      <c r="K60" s="138" t="str">
        <f t="shared" si="10"/>
        <v/>
      </c>
      <c r="L60" s="138" t="str">
        <f t="shared" si="11"/>
        <v/>
      </c>
      <c r="M60" s="138" t="str">
        <f t="shared" si="12"/>
        <v/>
      </c>
      <c r="N60" s="138" t="str">
        <f t="shared" si="13"/>
        <v/>
      </c>
      <c r="O60" s="138" t="str">
        <f t="shared" si="14"/>
        <v/>
      </c>
      <c r="P60" s="138" t="str">
        <f t="shared" si="15"/>
        <v/>
      </c>
      <c r="Q60" s="138" t="str">
        <f t="shared" si="16"/>
        <v/>
      </c>
      <c r="R60" s="138" t="str">
        <f t="shared" si="17"/>
        <v/>
      </c>
      <c r="S60" s="138" t="str">
        <f t="shared" si="18"/>
        <v/>
      </c>
      <c r="T60" s="138" t="str">
        <f t="shared" si="19"/>
        <v/>
      </c>
      <c r="U60" s="138" t="str">
        <f t="shared" si="20"/>
        <v/>
      </c>
      <c r="V60" s="138" t="str">
        <f t="shared" si="21"/>
        <v/>
      </c>
      <c r="W60" s="138" t="str">
        <f t="shared" si="22"/>
        <v/>
      </c>
      <c r="X60" s="138" t="str">
        <f t="shared" si="44"/>
        <v/>
      </c>
      <c r="Y60" s="138" t="str">
        <f t="shared" si="23"/>
        <v/>
      </c>
      <c r="Z60" s="138" t="str">
        <f t="shared" si="24"/>
        <v/>
      </c>
      <c r="AA60" s="138" t="str">
        <f t="shared" si="25"/>
        <v/>
      </c>
      <c r="AB60" s="138" t="str">
        <f t="shared" si="26"/>
        <v/>
      </c>
      <c r="AC60" s="138" t="str">
        <f t="shared" si="27"/>
        <v/>
      </c>
      <c r="AD60" s="138" t="str">
        <f t="shared" si="28"/>
        <v/>
      </c>
      <c r="AE60" s="138" t="str">
        <f t="shared" si="29"/>
        <v/>
      </c>
      <c r="AF60" s="138" t="str">
        <f t="shared" si="30"/>
        <v/>
      </c>
      <c r="AG60" s="138" t="str">
        <f t="shared" si="31"/>
        <v/>
      </c>
      <c r="AH60" s="138" t="str">
        <f t="shared" si="32"/>
        <v/>
      </c>
      <c r="AI60" s="138" t="str">
        <f t="shared" si="33"/>
        <v/>
      </c>
      <c r="AJ60" s="138" t="str">
        <f t="shared" si="34"/>
        <v/>
      </c>
      <c r="AK60" s="138" t="str">
        <f t="shared" si="35"/>
        <v/>
      </c>
      <c r="AL60" s="138" t="str">
        <f t="shared" si="36"/>
        <v/>
      </c>
      <c r="AM60" s="259">
        <f t="shared" si="39"/>
        <v>0</v>
      </c>
      <c r="AN60" s="110"/>
    </row>
    <row r="61" spans="1:40" s="106" customFormat="1" ht="16.5" hidden="1">
      <c r="A61" s="21" t="str">
        <f>IF($A$2="","",IF(MAX($A$9:A60)+1&gt;$A$2,"",MAX($A$9:A60)+1))</f>
        <v/>
      </c>
      <c r="B61" s="18" t="str">
        <f t="shared" si="40"/>
        <v/>
      </c>
      <c r="C61" s="19" t="str">
        <f t="shared" si="41"/>
        <v/>
      </c>
      <c r="D61" s="20" t="str">
        <f t="shared" si="42"/>
        <v/>
      </c>
      <c r="E61" s="77" t="str">
        <f t="shared" si="43"/>
        <v/>
      </c>
      <c r="F61" s="138" t="str">
        <f t="shared" si="5"/>
        <v/>
      </c>
      <c r="G61" s="138" t="str">
        <f t="shared" si="6"/>
        <v/>
      </c>
      <c r="H61" s="138" t="str">
        <f t="shared" si="7"/>
        <v/>
      </c>
      <c r="I61" s="138" t="str">
        <f t="shared" si="8"/>
        <v/>
      </c>
      <c r="J61" s="138" t="str">
        <f t="shared" si="9"/>
        <v/>
      </c>
      <c r="K61" s="138" t="str">
        <f t="shared" si="10"/>
        <v/>
      </c>
      <c r="L61" s="138" t="str">
        <f t="shared" si="11"/>
        <v/>
      </c>
      <c r="M61" s="138" t="str">
        <f t="shared" si="12"/>
        <v/>
      </c>
      <c r="N61" s="138" t="str">
        <f t="shared" si="13"/>
        <v/>
      </c>
      <c r="O61" s="138" t="str">
        <f t="shared" si="14"/>
        <v/>
      </c>
      <c r="P61" s="138" t="str">
        <f t="shared" si="15"/>
        <v/>
      </c>
      <c r="Q61" s="138" t="str">
        <f t="shared" si="16"/>
        <v/>
      </c>
      <c r="R61" s="138" t="str">
        <f t="shared" si="17"/>
        <v/>
      </c>
      <c r="S61" s="138" t="str">
        <f t="shared" si="18"/>
        <v/>
      </c>
      <c r="T61" s="138" t="str">
        <f t="shared" si="19"/>
        <v/>
      </c>
      <c r="U61" s="138" t="str">
        <f t="shared" si="20"/>
        <v/>
      </c>
      <c r="V61" s="138" t="str">
        <f t="shared" si="21"/>
        <v/>
      </c>
      <c r="W61" s="138" t="str">
        <f t="shared" si="22"/>
        <v/>
      </c>
      <c r="X61" s="138" t="str">
        <f t="shared" si="44"/>
        <v/>
      </c>
      <c r="Y61" s="138" t="str">
        <f t="shared" si="23"/>
        <v/>
      </c>
      <c r="Z61" s="138" t="str">
        <f t="shared" si="24"/>
        <v/>
      </c>
      <c r="AA61" s="138" t="str">
        <f t="shared" si="25"/>
        <v/>
      </c>
      <c r="AB61" s="138" t="str">
        <f t="shared" si="26"/>
        <v/>
      </c>
      <c r="AC61" s="138" t="str">
        <f t="shared" si="27"/>
        <v/>
      </c>
      <c r="AD61" s="138" t="str">
        <f t="shared" si="28"/>
        <v/>
      </c>
      <c r="AE61" s="138" t="str">
        <f t="shared" si="29"/>
        <v/>
      </c>
      <c r="AF61" s="138" t="str">
        <f t="shared" si="30"/>
        <v/>
      </c>
      <c r="AG61" s="138" t="str">
        <f t="shared" si="31"/>
        <v/>
      </c>
      <c r="AH61" s="138" t="str">
        <f t="shared" si="32"/>
        <v/>
      </c>
      <c r="AI61" s="138" t="str">
        <f t="shared" si="33"/>
        <v/>
      </c>
      <c r="AJ61" s="138" t="str">
        <f t="shared" si="34"/>
        <v/>
      </c>
      <c r="AK61" s="138" t="str">
        <f t="shared" si="35"/>
        <v/>
      </c>
      <c r="AL61" s="138" t="str">
        <f t="shared" si="36"/>
        <v/>
      </c>
      <c r="AM61" s="259">
        <f t="shared" si="39"/>
        <v>0</v>
      </c>
      <c r="AN61" s="110"/>
    </row>
    <row r="62" spans="1:40" s="22" customFormat="1" ht="16.5" hidden="1">
      <c r="A62" s="21" t="str">
        <f>IF($A$2="","",IF(MAX($A$9:A61)+1&gt;$A$2,"",MAX($A$9:A61)+1))</f>
        <v/>
      </c>
      <c r="B62" s="18" t="str">
        <f t="shared" si="40"/>
        <v/>
      </c>
      <c r="C62" s="19" t="str">
        <f t="shared" si="41"/>
        <v/>
      </c>
      <c r="D62" s="20" t="str">
        <f t="shared" si="42"/>
        <v/>
      </c>
      <c r="E62" s="77" t="str">
        <f t="shared" si="43"/>
        <v/>
      </c>
      <c r="F62" s="138" t="str">
        <f t="shared" si="5"/>
        <v/>
      </c>
      <c r="G62" s="138" t="str">
        <f t="shared" si="6"/>
        <v/>
      </c>
      <c r="H62" s="138" t="str">
        <f t="shared" si="7"/>
        <v/>
      </c>
      <c r="I62" s="138" t="str">
        <f t="shared" si="8"/>
        <v/>
      </c>
      <c r="J62" s="138" t="str">
        <f t="shared" si="9"/>
        <v/>
      </c>
      <c r="K62" s="138" t="str">
        <f t="shared" si="10"/>
        <v/>
      </c>
      <c r="L62" s="138" t="str">
        <f t="shared" si="11"/>
        <v/>
      </c>
      <c r="M62" s="138" t="str">
        <f t="shared" si="12"/>
        <v/>
      </c>
      <c r="N62" s="138" t="str">
        <f t="shared" si="13"/>
        <v/>
      </c>
      <c r="O62" s="138" t="str">
        <f t="shared" si="14"/>
        <v/>
      </c>
      <c r="P62" s="138" t="str">
        <f t="shared" si="15"/>
        <v/>
      </c>
      <c r="Q62" s="138" t="str">
        <f t="shared" si="16"/>
        <v/>
      </c>
      <c r="R62" s="138" t="str">
        <f t="shared" si="17"/>
        <v/>
      </c>
      <c r="S62" s="138" t="str">
        <f t="shared" si="18"/>
        <v/>
      </c>
      <c r="T62" s="138" t="str">
        <f t="shared" si="19"/>
        <v/>
      </c>
      <c r="U62" s="138" t="str">
        <f t="shared" si="20"/>
        <v/>
      </c>
      <c r="V62" s="138" t="str">
        <f t="shared" si="21"/>
        <v/>
      </c>
      <c r="W62" s="138" t="str">
        <f t="shared" si="22"/>
        <v/>
      </c>
      <c r="X62" s="138" t="str">
        <f t="shared" si="44"/>
        <v/>
      </c>
      <c r="Y62" s="138" t="str">
        <f t="shared" si="23"/>
        <v/>
      </c>
      <c r="Z62" s="138" t="str">
        <f t="shared" si="24"/>
        <v/>
      </c>
      <c r="AA62" s="138" t="str">
        <f t="shared" si="25"/>
        <v/>
      </c>
      <c r="AB62" s="138" t="str">
        <f t="shared" si="26"/>
        <v/>
      </c>
      <c r="AC62" s="138" t="str">
        <f t="shared" si="27"/>
        <v/>
      </c>
      <c r="AD62" s="138" t="str">
        <f t="shared" si="28"/>
        <v/>
      </c>
      <c r="AE62" s="138" t="str">
        <f t="shared" si="29"/>
        <v/>
      </c>
      <c r="AF62" s="138" t="str">
        <f t="shared" si="30"/>
        <v/>
      </c>
      <c r="AG62" s="138" t="str">
        <f t="shared" si="31"/>
        <v/>
      </c>
      <c r="AH62" s="138" t="str">
        <f t="shared" si="32"/>
        <v/>
      </c>
      <c r="AI62" s="138" t="str">
        <f t="shared" si="33"/>
        <v/>
      </c>
      <c r="AJ62" s="138" t="str">
        <f t="shared" si="34"/>
        <v/>
      </c>
      <c r="AK62" s="138" t="str">
        <f t="shared" si="35"/>
        <v/>
      </c>
      <c r="AL62" s="138" t="str">
        <f t="shared" si="36"/>
        <v/>
      </c>
      <c r="AM62" s="259">
        <f t="shared" si="39"/>
        <v>0</v>
      </c>
      <c r="AN62" s="110"/>
    </row>
    <row r="63" spans="1:40" s="106" customFormat="1" ht="16.5" hidden="1">
      <c r="A63" s="21" t="str">
        <f>IF($A$2="","",IF(MAX($A$9:A62)+1&gt;$A$2,"",MAX($A$9:A62)+1))</f>
        <v/>
      </c>
      <c r="B63" s="18" t="str">
        <f t="shared" si="40"/>
        <v/>
      </c>
      <c r="C63" s="19" t="str">
        <f t="shared" si="41"/>
        <v/>
      </c>
      <c r="D63" s="20" t="str">
        <f t="shared" si="42"/>
        <v/>
      </c>
      <c r="E63" s="77" t="str">
        <f t="shared" si="43"/>
        <v/>
      </c>
      <c r="F63" s="138" t="str">
        <f t="shared" si="5"/>
        <v/>
      </c>
      <c r="G63" s="138" t="str">
        <f t="shared" si="6"/>
        <v/>
      </c>
      <c r="H63" s="138" t="str">
        <f t="shared" si="7"/>
        <v/>
      </c>
      <c r="I63" s="138" t="str">
        <f t="shared" si="8"/>
        <v/>
      </c>
      <c r="J63" s="138" t="str">
        <f t="shared" si="9"/>
        <v/>
      </c>
      <c r="K63" s="138" t="str">
        <f t="shared" si="10"/>
        <v/>
      </c>
      <c r="L63" s="138" t="str">
        <f t="shared" si="11"/>
        <v/>
      </c>
      <c r="M63" s="138" t="str">
        <f t="shared" si="12"/>
        <v/>
      </c>
      <c r="N63" s="138" t="str">
        <f t="shared" si="13"/>
        <v/>
      </c>
      <c r="O63" s="138" t="str">
        <f t="shared" si="14"/>
        <v/>
      </c>
      <c r="P63" s="138" t="str">
        <f t="shared" si="15"/>
        <v/>
      </c>
      <c r="Q63" s="138" t="str">
        <f t="shared" si="16"/>
        <v/>
      </c>
      <c r="R63" s="138" t="str">
        <f t="shared" si="17"/>
        <v/>
      </c>
      <c r="S63" s="138" t="str">
        <f t="shared" si="18"/>
        <v/>
      </c>
      <c r="T63" s="138" t="str">
        <f t="shared" si="19"/>
        <v/>
      </c>
      <c r="U63" s="138" t="str">
        <f t="shared" si="20"/>
        <v/>
      </c>
      <c r="V63" s="138" t="str">
        <f t="shared" si="21"/>
        <v/>
      </c>
      <c r="W63" s="138" t="str">
        <f t="shared" si="22"/>
        <v/>
      </c>
      <c r="X63" s="138" t="str">
        <f t="shared" si="44"/>
        <v/>
      </c>
      <c r="Y63" s="138" t="str">
        <f t="shared" si="23"/>
        <v/>
      </c>
      <c r="Z63" s="138" t="str">
        <f t="shared" si="24"/>
        <v/>
      </c>
      <c r="AA63" s="138" t="str">
        <f t="shared" si="25"/>
        <v/>
      </c>
      <c r="AB63" s="138" t="str">
        <f t="shared" si="26"/>
        <v/>
      </c>
      <c r="AC63" s="138" t="str">
        <f t="shared" si="27"/>
        <v/>
      </c>
      <c r="AD63" s="138" t="str">
        <f t="shared" si="28"/>
        <v/>
      </c>
      <c r="AE63" s="138" t="str">
        <f t="shared" si="29"/>
        <v/>
      </c>
      <c r="AF63" s="138" t="str">
        <f t="shared" si="30"/>
        <v/>
      </c>
      <c r="AG63" s="138" t="str">
        <f t="shared" si="31"/>
        <v/>
      </c>
      <c r="AH63" s="138" t="str">
        <f t="shared" si="32"/>
        <v/>
      </c>
      <c r="AI63" s="138" t="str">
        <f t="shared" si="33"/>
        <v/>
      </c>
      <c r="AJ63" s="138" t="str">
        <f t="shared" si="34"/>
        <v/>
      </c>
      <c r="AK63" s="138" t="str">
        <f t="shared" si="35"/>
        <v/>
      </c>
      <c r="AL63" s="138" t="str">
        <f t="shared" si="36"/>
        <v/>
      </c>
      <c r="AM63" s="259">
        <f t="shared" si="39"/>
        <v>0</v>
      </c>
      <c r="AN63" s="110"/>
    </row>
    <row r="64" spans="1:40" s="22" customFormat="1" ht="16.5" hidden="1">
      <c r="A64" s="21" t="str">
        <f>IF($A$2="","",IF(MAX($A$9:A63)+1&gt;$A$2,"",MAX($A$9:A63)+1))</f>
        <v/>
      </c>
      <c r="B64" s="18" t="str">
        <f t="shared" si="40"/>
        <v/>
      </c>
      <c r="C64" s="19" t="str">
        <f t="shared" si="41"/>
        <v/>
      </c>
      <c r="D64" s="20" t="str">
        <f t="shared" si="42"/>
        <v/>
      </c>
      <c r="E64" s="77" t="str">
        <f t="shared" si="43"/>
        <v/>
      </c>
      <c r="F64" s="138" t="str">
        <f t="shared" si="5"/>
        <v/>
      </c>
      <c r="G64" s="138" t="str">
        <f t="shared" si="6"/>
        <v/>
      </c>
      <c r="H64" s="138" t="str">
        <f t="shared" si="7"/>
        <v/>
      </c>
      <c r="I64" s="138" t="str">
        <f t="shared" si="8"/>
        <v/>
      </c>
      <c r="J64" s="138" t="str">
        <f t="shared" si="9"/>
        <v/>
      </c>
      <c r="K64" s="138" t="str">
        <f t="shared" si="10"/>
        <v/>
      </c>
      <c r="L64" s="138" t="str">
        <f t="shared" si="11"/>
        <v/>
      </c>
      <c r="M64" s="138" t="str">
        <f t="shared" si="12"/>
        <v/>
      </c>
      <c r="N64" s="138" t="str">
        <f t="shared" si="13"/>
        <v/>
      </c>
      <c r="O64" s="138" t="str">
        <f t="shared" si="14"/>
        <v/>
      </c>
      <c r="P64" s="138" t="str">
        <f t="shared" si="15"/>
        <v/>
      </c>
      <c r="Q64" s="138" t="str">
        <f t="shared" si="16"/>
        <v/>
      </c>
      <c r="R64" s="138" t="str">
        <f t="shared" si="17"/>
        <v/>
      </c>
      <c r="S64" s="138" t="str">
        <f t="shared" si="18"/>
        <v/>
      </c>
      <c r="T64" s="138" t="str">
        <f t="shared" si="19"/>
        <v/>
      </c>
      <c r="U64" s="138" t="str">
        <f t="shared" si="20"/>
        <v/>
      </c>
      <c r="V64" s="138" t="str">
        <f t="shared" si="21"/>
        <v/>
      </c>
      <c r="W64" s="138" t="str">
        <f t="shared" si="22"/>
        <v/>
      </c>
      <c r="X64" s="138" t="str">
        <f t="shared" si="44"/>
        <v/>
      </c>
      <c r="Y64" s="138" t="str">
        <f t="shared" si="23"/>
        <v/>
      </c>
      <c r="Z64" s="138" t="str">
        <f t="shared" si="24"/>
        <v/>
      </c>
      <c r="AA64" s="138" t="str">
        <f t="shared" si="25"/>
        <v/>
      </c>
      <c r="AB64" s="138" t="str">
        <f t="shared" si="26"/>
        <v/>
      </c>
      <c r="AC64" s="138" t="str">
        <f t="shared" si="27"/>
        <v/>
      </c>
      <c r="AD64" s="138" t="str">
        <f t="shared" si="28"/>
        <v/>
      </c>
      <c r="AE64" s="138" t="str">
        <f t="shared" si="29"/>
        <v/>
      </c>
      <c r="AF64" s="138" t="str">
        <f t="shared" si="30"/>
        <v/>
      </c>
      <c r="AG64" s="138" t="str">
        <f t="shared" si="31"/>
        <v/>
      </c>
      <c r="AH64" s="138" t="str">
        <f t="shared" si="32"/>
        <v/>
      </c>
      <c r="AI64" s="138" t="str">
        <f t="shared" si="33"/>
        <v/>
      </c>
      <c r="AJ64" s="138" t="str">
        <f t="shared" si="34"/>
        <v/>
      </c>
      <c r="AK64" s="138" t="str">
        <f t="shared" si="35"/>
        <v/>
      </c>
      <c r="AL64" s="138" t="str">
        <f t="shared" si="36"/>
        <v/>
      </c>
      <c r="AM64" s="259">
        <f t="shared" si="39"/>
        <v>0</v>
      </c>
      <c r="AN64" s="110"/>
    </row>
    <row r="65" spans="1:40" s="23" customFormat="1" ht="15.75" hidden="1">
      <c r="A65" s="21" t="str">
        <f>IF($A$2="","",IF(MAX($A$9:A64)+1&gt;$A$2,"",MAX($A$9:A64)+1))</f>
        <v/>
      </c>
      <c r="B65" s="18" t="str">
        <f t="shared" si="40"/>
        <v/>
      </c>
      <c r="C65" s="19" t="str">
        <f t="shared" si="41"/>
        <v/>
      </c>
      <c r="D65" s="20" t="str">
        <f t="shared" si="42"/>
        <v/>
      </c>
      <c r="E65" s="77" t="str">
        <f t="shared" si="43"/>
        <v/>
      </c>
      <c r="F65" s="138" t="str">
        <f t="shared" si="5"/>
        <v/>
      </c>
      <c r="G65" s="138" t="str">
        <f t="shared" si="6"/>
        <v/>
      </c>
      <c r="H65" s="138" t="str">
        <f t="shared" si="7"/>
        <v/>
      </c>
      <c r="I65" s="138" t="str">
        <f t="shared" si="8"/>
        <v/>
      </c>
      <c r="J65" s="138" t="str">
        <f t="shared" si="9"/>
        <v/>
      </c>
      <c r="K65" s="138" t="str">
        <f t="shared" si="10"/>
        <v/>
      </c>
      <c r="L65" s="138" t="str">
        <f t="shared" si="11"/>
        <v/>
      </c>
      <c r="M65" s="138" t="str">
        <f t="shared" si="12"/>
        <v/>
      </c>
      <c r="N65" s="138" t="str">
        <f t="shared" si="13"/>
        <v/>
      </c>
      <c r="O65" s="138" t="str">
        <f t="shared" si="14"/>
        <v/>
      </c>
      <c r="P65" s="138" t="str">
        <f t="shared" si="15"/>
        <v/>
      </c>
      <c r="Q65" s="138" t="str">
        <f t="shared" si="16"/>
        <v/>
      </c>
      <c r="R65" s="138" t="str">
        <f t="shared" si="17"/>
        <v/>
      </c>
      <c r="S65" s="138" t="str">
        <f t="shared" si="18"/>
        <v/>
      </c>
      <c r="T65" s="138" t="str">
        <f t="shared" si="19"/>
        <v/>
      </c>
      <c r="U65" s="138" t="str">
        <f t="shared" si="20"/>
        <v/>
      </c>
      <c r="V65" s="138" t="str">
        <f t="shared" si="21"/>
        <v/>
      </c>
      <c r="W65" s="138" t="str">
        <f t="shared" si="22"/>
        <v/>
      </c>
      <c r="X65" s="138" t="str">
        <f t="shared" si="44"/>
        <v/>
      </c>
      <c r="Y65" s="138" t="str">
        <f t="shared" si="23"/>
        <v/>
      </c>
      <c r="Z65" s="138" t="str">
        <f t="shared" si="24"/>
        <v/>
      </c>
      <c r="AA65" s="138" t="str">
        <f t="shared" si="25"/>
        <v/>
      </c>
      <c r="AB65" s="138" t="str">
        <f t="shared" si="26"/>
        <v/>
      </c>
      <c r="AC65" s="138" t="str">
        <f t="shared" si="27"/>
        <v/>
      </c>
      <c r="AD65" s="138" t="str">
        <f t="shared" si="28"/>
        <v/>
      </c>
      <c r="AE65" s="138" t="str">
        <f t="shared" si="29"/>
        <v/>
      </c>
      <c r="AF65" s="138" t="str">
        <f t="shared" si="30"/>
        <v/>
      </c>
      <c r="AG65" s="138" t="str">
        <f t="shared" si="31"/>
        <v/>
      </c>
      <c r="AH65" s="138" t="str">
        <f t="shared" si="32"/>
        <v/>
      </c>
      <c r="AI65" s="138" t="str">
        <f t="shared" si="33"/>
        <v/>
      </c>
      <c r="AJ65" s="138" t="str">
        <f t="shared" si="34"/>
        <v/>
      </c>
      <c r="AK65" s="138" t="str">
        <f t="shared" si="35"/>
        <v/>
      </c>
      <c r="AL65" s="138" t="str">
        <f t="shared" si="36"/>
        <v/>
      </c>
      <c r="AM65" s="259">
        <f t="shared" si="39"/>
        <v>0</v>
      </c>
      <c r="AN65" s="110"/>
    </row>
    <row r="66" spans="1:40" s="23" customFormat="1" ht="15.75" hidden="1">
      <c r="A66" s="21" t="str">
        <f>IF($A$2="","",IF(MAX($A$9:A65)+1&gt;$A$2,"",MAX($A$9:A65)+1))</f>
        <v/>
      </c>
      <c r="B66" s="18" t="str">
        <f t="shared" si="40"/>
        <v/>
      </c>
      <c r="C66" s="19" t="str">
        <f t="shared" si="41"/>
        <v/>
      </c>
      <c r="D66" s="20" t="str">
        <f t="shared" si="42"/>
        <v/>
      </c>
      <c r="E66" s="77" t="str">
        <f t="shared" si="43"/>
        <v/>
      </c>
      <c r="F66" s="138" t="str">
        <f t="shared" si="5"/>
        <v/>
      </c>
      <c r="G66" s="138" t="str">
        <f t="shared" si="6"/>
        <v/>
      </c>
      <c r="H66" s="138" t="str">
        <f t="shared" si="7"/>
        <v/>
      </c>
      <c r="I66" s="138" t="str">
        <f t="shared" si="8"/>
        <v/>
      </c>
      <c r="J66" s="138" t="str">
        <f t="shared" si="9"/>
        <v/>
      </c>
      <c r="K66" s="138" t="str">
        <f t="shared" si="10"/>
        <v/>
      </c>
      <c r="L66" s="138" t="str">
        <f t="shared" si="11"/>
        <v/>
      </c>
      <c r="M66" s="138" t="str">
        <f t="shared" si="12"/>
        <v/>
      </c>
      <c r="N66" s="138" t="str">
        <f t="shared" si="13"/>
        <v/>
      </c>
      <c r="O66" s="138" t="str">
        <f t="shared" si="14"/>
        <v/>
      </c>
      <c r="P66" s="138" t="str">
        <f t="shared" si="15"/>
        <v/>
      </c>
      <c r="Q66" s="138" t="str">
        <f t="shared" si="16"/>
        <v/>
      </c>
      <c r="R66" s="138" t="str">
        <f t="shared" si="17"/>
        <v/>
      </c>
      <c r="S66" s="138" t="str">
        <f t="shared" si="18"/>
        <v/>
      </c>
      <c r="T66" s="138" t="str">
        <f t="shared" si="19"/>
        <v/>
      </c>
      <c r="U66" s="138" t="str">
        <f t="shared" si="20"/>
        <v/>
      </c>
      <c r="V66" s="138" t="str">
        <f t="shared" si="21"/>
        <v/>
      </c>
      <c r="W66" s="138" t="str">
        <f t="shared" si="22"/>
        <v/>
      </c>
      <c r="X66" s="138" t="str">
        <f t="shared" si="44"/>
        <v/>
      </c>
      <c r="Y66" s="138" t="str">
        <f t="shared" si="23"/>
        <v/>
      </c>
      <c r="Z66" s="138" t="str">
        <f t="shared" si="24"/>
        <v/>
      </c>
      <c r="AA66" s="138" t="str">
        <f t="shared" si="25"/>
        <v/>
      </c>
      <c r="AB66" s="138" t="str">
        <f t="shared" si="26"/>
        <v/>
      </c>
      <c r="AC66" s="138" t="str">
        <f t="shared" si="27"/>
        <v/>
      </c>
      <c r="AD66" s="138" t="str">
        <f t="shared" si="28"/>
        <v/>
      </c>
      <c r="AE66" s="138" t="str">
        <f t="shared" si="29"/>
        <v/>
      </c>
      <c r="AF66" s="138" t="str">
        <f t="shared" si="30"/>
        <v/>
      </c>
      <c r="AG66" s="138" t="str">
        <f t="shared" si="31"/>
        <v/>
      </c>
      <c r="AH66" s="138" t="str">
        <f t="shared" si="32"/>
        <v/>
      </c>
      <c r="AI66" s="138" t="str">
        <f t="shared" si="33"/>
        <v/>
      </c>
      <c r="AJ66" s="138" t="str">
        <f t="shared" si="34"/>
        <v/>
      </c>
      <c r="AK66" s="138" t="str">
        <f t="shared" si="35"/>
        <v/>
      </c>
      <c r="AL66" s="138" t="str">
        <f t="shared" si="36"/>
        <v/>
      </c>
      <c r="AM66" s="259">
        <f t="shared" si="39"/>
        <v>0</v>
      </c>
      <c r="AN66" s="110"/>
    </row>
    <row r="67" spans="1:40" s="23" customFormat="1" ht="15.75" hidden="1">
      <c r="A67" s="21" t="str">
        <f>IF($A$2="","",IF(MAX($A$9:A66)+1&gt;$A$2,"",MAX($A$9:A66)+1))</f>
        <v/>
      </c>
      <c r="B67" s="18" t="str">
        <f t="shared" si="40"/>
        <v/>
      </c>
      <c r="C67" s="19" t="str">
        <f t="shared" si="41"/>
        <v/>
      </c>
      <c r="D67" s="20" t="str">
        <f t="shared" si="42"/>
        <v/>
      </c>
      <c r="E67" s="77" t="str">
        <f t="shared" si="43"/>
        <v/>
      </c>
      <c r="F67" s="138" t="str">
        <f t="shared" si="5"/>
        <v/>
      </c>
      <c r="G67" s="138" t="str">
        <f t="shared" si="6"/>
        <v/>
      </c>
      <c r="H67" s="138" t="str">
        <f t="shared" si="7"/>
        <v/>
      </c>
      <c r="I67" s="138" t="str">
        <f t="shared" si="8"/>
        <v/>
      </c>
      <c r="J67" s="138" t="str">
        <f t="shared" si="9"/>
        <v/>
      </c>
      <c r="K67" s="138" t="str">
        <f t="shared" si="10"/>
        <v/>
      </c>
      <c r="L67" s="138" t="str">
        <f t="shared" si="11"/>
        <v/>
      </c>
      <c r="M67" s="138" t="str">
        <f t="shared" si="12"/>
        <v/>
      </c>
      <c r="N67" s="138" t="str">
        <f t="shared" si="13"/>
        <v/>
      </c>
      <c r="O67" s="138" t="str">
        <f t="shared" si="14"/>
        <v/>
      </c>
      <c r="P67" s="138" t="str">
        <f t="shared" si="15"/>
        <v/>
      </c>
      <c r="Q67" s="138" t="str">
        <f t="shared" si="16"/>
        <v/>
      </c>
      <c r="R67" s="138" t="str">
        <f t="shared" si="17"/>
        <v/>
      </c>
      <c r="S67" s="138" t="str">
        <f t="shared" si="18"/>
        <v/>
      </c>
      <c r="T67" s="138" t="str">
        <f t="shared" si="19"/>
        <v/>
      </c>
      <c r="U67" s="138" t="str">
        <f t="shared" si="20"/>
        <v/>
      </c>
      <c r="V67" s="138" t="str">
        <f t="shared" si="21"/>
        <v/>
      </c>
      <c r="W67" s="138" t="str">
        <f t="shared" si="22"/>
        <v/>
      </c>
      <c r="X67" s="138" t="str">
        <f t="shared" si="44"/>
        <v/>
      </c>
      <c r="Y67" s="138" t="str">
        <f t="shared" si="23"/>
        <v/>
      </c>
      <c r="Z67" s="138" t="str">
        <f t="shared" si="24"/>
        <v/>
      </c>
      <c r="AA67" s="138" t="str">
        <f t="shared" si="25"/>
        <v/>
      </c>
      <c r="AB67" s="138" t="str">
        <f t="shared" si="26"/>
        <v/>
      </c>
      <c r="AC67" s="138" t="str">
        <f t="shared" si="27"/>
        <v/>
      </c>
      <c r="AD67" s="138" t="str">
        <f t="shared" si="28"/>
        <v/>
      </c>
      <c r="AE67" s="138" t="str">
        <f t="shared" si="29"/>
        <v/>
      </c>
      <c r="AF67" s="138" t="str">
        <f t="shared" si="30"/>
        <v/>
      </c>
      <c r="AG67" s="138" t="str">
        <f t="shared" si="31"/>
        <v/>
      </c>
      <c r="AH67" s="138" t="str">
        <f t="shared" si="32"/>
        <v/>
      </c>
      <c r="AI67" s="138" t="str">
        <f t="shared" si="33"/>
        <v/>
      </c>
      <c r="AJ67" s="138" t="str">
        <f t="shared" si="34"/>
        <v/>
      </c>
      <c r="AK67" s="138" t="str">
        <f t="shared" si="35"/>
        <v/>
      </c>
      <c r="AL67" s="138" t="str">
        <f t="shared" si="36"/>
        <v/>
      </c>
      <c r="AM67" s="259">
        <f t="shared" si="39"/>
        <v>0</v>
      </c>
      <c r="AN67" s="110"/>
    </row>
    <row r="68" spans="1:40" s="23" customFormat="1" ht="15.75" hidden="1">
      <c r="A68" s="21" t="str">
        <f>IF($A$2="","",IF(MAX($A$9:A67)+1&gt;$A$2,"",MAX($A$9:A67)+1))</f>
        <v/>
      </c>
      <c r="B68" s="18" t="str">
        <f t="shared" si="40"/>
        <v/>
      </c>
      <c r="C68" s="19" t="str">
        <f t="shared" si="41"/>
        <v/>
      </c>
      <c r="D68" s="20" t="str">
        <f t="shared" si="42"/>
        <v/>
      </c>
      <c r="E68" s="77" t="str">
        <f t="shared" si="43"/>
        <v/>
      </c>
      <c r="F68" s="138" t="str">
        <f t="shared" si="5"/>
        <v/>
      </c>
      <c r="G68" s="138" t="str">
        <f t="shared" si="6"/>
        <v/>
      </c>
      <c r="H68" s="138" t="str">
        <f t="shared" si="7"/>
        <v/>
      </c>
      <c r="I68" s="138" t="str">
        <f t="shared" si="8"/>
        <v/>
      </c>
      <c r="J68" s="138" t="str">
        <f t="shared" si="9"/>
        <v/>
      </c>
      <c r="K68" s="138" t="str">
        <f t="shared" si="10"/>
        <v/>
      </c>
      <c r="L68" s="138" t="str">
        <f t="shared" si="11"/>
        <v/>
      </c>
      <c r="M68" s="138" t="str">
        <f t="shared" si="12"/>
        <v/>
      </c>
      <c r="N68" s="138" t="str">
        <f t="shared" si="13"/>
        <v/>
      </c>
      <c r="O68" s="138" t="str">
        <f t="shared" si="14"/>
        <v/>
      </c>
      <c r="P68" s="138" t="str">
        <f t="shared" si="15"/>
        <v/>
      </c>
      <c r="Q68" s="138" t="str">
        <f t="shared" si="16"/>
        <v/>
      </c>
      <c r="R68" s="138" t="str">
        <f t="shared" si="17"/>
        <v/>
      </c>
      <c r="S68" s="138" t="str">
        <f t="shared" si="18"/>
        <v/>
      </c>
      <c r="T68" s="138" t="str">
        <f t="shared" si="19"/>
        <v/>
      </c>
      <c r="U68" s="138" t="str">
        <f t="shared" si="20"/>
        <v/>
      </c>
      <c r="V68" s="138" t="str">
        <f t="shared" si="21"/>
        <v/>
      </c>
      <c r="W68" s="138" t="str">
        <f t="shared" si="22"/>
        <v/>
      </c>
      <c r="X68" s="138" t="str">
        <f t="shared" si="44"/>
        <v/>
      </c>
      <c r="Y68" s="138" t="str">
        <f t="shared" si="23"/>
        <v/>
      </c>
      <c r="Z68" s="138" t="str">
        <f t="shared" si="24"/>
        <v/>
      </c>
      <c r="AA68" s="138" t="str">
        <f t="shared" si="25"/>
        <v/>
      </c>
      <c r="AB68" s="138" t="str">
        <f t="shared" si="26"/>
        <v/>
      </c>
      <c r="AC68" s="138" t="str">
        <f t="shared" si="27"/>
        <v/>
      </c>
      <c r="AD68" s="138" t="str">
        <f t="shared" si="28"/>
        <v/>
      </c>
      <c r="AE68" s="138" t="str">
        <f t="shared" si="29"/>
        <v/>
      </c>
      <c r="AF68" s="138" t="str">
        <f t="shared" si="30"/>
        <v/>
      </c>
      <c r="AG68" s="138" t="str">
        <f t="shared" si="31"/>
        <v/>
      </c>
      <c r="AH68" s="138" t="str">
        <f t="shared" si="32"/>
        <v/>
      </c>
      <c r="AI68" s="138" t="str">
        <f t="shared" si="33"/>
        <v/>
      </c>
      <c r="AJ68" s="138" t="str">
        <f t="shared" si="34"/>
        <v/>
      </c>
      <c r="AK68" s="138" t="str">
        <f t="shared" si="35"/>
        <v/>
      </c>
      <c r="AL68" s="138" t="str">
        <f t="shared" si="36"/>
        <v/>
      </c>
      <c r="AM68" s="259">
        <f t="shared" si="39"/>
        <v>0</v>
      </c>
      <c r="AN68" s="110"/>
    </row>
    <row r="69" spans="1:40" s="23" customFormat="1" ht="15.75" hidden="1">
      <c r="A69" s="21" t="str">
        <f>IF($A$2="","",IF(MAX($A$9:A68)+1&gt;$A$2,"",MAX($A$9:A68)+1))</f>
        <v/>
      </c>
      <c r="B69" s="18" t="str">
        <f t="shared" si="40"/>
        <v/>
      </c>
      <c r="C69" s="19" t="str">
        <f t="shared" si="41"/>
        <v/>
      </c>
      <c r="D69" s="20" t="str">
        <f t="shared" si="42"/>
        <v/>
      </c>
      <c r="E69" s="77" t="str">
        <f t="shared" si="43"/>
        <v/>
      </c>
      <c r="F69" s="138" t="str">
        <f t="shared" si="5"/>
        <v/>
      </c>
      <c r="G69" s="138" t="str">
        <f t="shared" si="6"/>
        <v/>
      </c>
      <c r="H69" s="138" t="str">
        <f t="shared" si="7"/>
        <v/>
      </c>
      <c r="I69" s="138" t="str">
        <f t="shared" si="8"/>
        <v/>
      </c>
      <c r="J69" s="138" t="str">
        <f t="shared" si="9"/>
        <v/>
      </c>
      <c r="K69" s="138" t="str">
        <f t="shared" si="10"/>
        <v/>
      </c>
      <c r="L69" s="138" t="str">
        <f t="shared" si="11"/>
        <v/>
      </c>
      <c r="M69" s="138" t="str">
        <f t="shared" si="12"/>
        <v/>
      </c>
      <c r="N69" s="138" t="str">
        <f t="shared" si="13"/>
        <v/>
      </c>
      <c r="O69" s="138" t="str">
        <f t="shared" si="14"/>
        <v/>
      </c>
      <c r="P69" s="138" t="str">
        <f t="shared" si="15"/>
        <v/>
      </c>
      <c r="Q69" s="138" t="str">
        <f t="shared" si="16"/>
        <v/>
      </c>
      <c r="R69" s="138" t="str">
        <f t="shared" si="17"/>
        <v/>
      </c>
      <c r="S69" s="138" t="str">
        <f t="shared" si="18"/>
        <v/>
      </c>
      <c r="T69" s="138" t="str">
        <f t="shared" si="19"/>
        <v/>
      </c>
      <c r="U69" s="138" t="str">
        <f t="shared" si="20"/>
        <v/>
      </c>
      <c r="V69" s="138" t="str">
        <f t="shared" si="21"/>
        <v/>
      </c>
      <c r="W69" s="138" t="str">
        <f t="shared" si="22"/>
        <v/>
      </c>
      <c r="X69" s="138" t="str">
        <f t="shared" si="44"/>
        <v/>
      </c>
      <c r="Y69" s="138" t="str">
        <f t="shared" si="23"/>
        <v/>
      </c>
      <c r="Z69" s="138" t="str">
        <f t="shared" si="24"/>
        <v/>
      </c>
      <c r="AA69" s="138" t="str">
        <f t="shared" si="25"/>
        <v/>
      </c>
      <c r="AB69" s="138" t="str">
        <f t="shared" si="26"/>
        <v/>
      </c>
      <c r="AC69" s="138" t="str">
        <f t="shared" si="27"/>
        <v/>
      </c>
      <c r="AD69" s="138" t="str">
        <f t="shared" si="28"/>
        <v/>
      </c>
      <c r="AE69" s="138" t="str">
        <f t="shared" si="29"/>
        <v/>
      </c>
      <c r="AF69" s="138" t="str">
        <f t="shared" si="30"/>
        <v/>
      </c>
      <c r="AG69" s="138" t="str">
        <f t="shared" si="31"/>
        <v/>
      </c>
      <c r="AH69" s="138" t="str">
        <f t="shared" si="32"/>
        <v/>
      </c>
      <c r="AI69" s="138" t="str">
        <f t="shared" si="33"/>
        <v/>
      </c>
      <c r="AJ69" s="138" t="str">
        <f t="shared" si="34"/>
        <v/>
      </c>
      <c r="AK69" s="138" t="str">
        <f t="shared" si="35"/>
        <v/>
      </c>
      <c r="AL69" s="138" t="str">
        <f t="shared" si="36"/>
        <v/>
      </c>
      <c r="AM69" s="259">
        <f t="shared" si="39"/>
        <v>0</v>
      </c>
      <c r="AN69" s="110"/>
    </row>
    <row r="70" spans="1:40" s="23" customFormat="1" ht="15.75" hidden="1">
      <c r="A70" s="21" t="str">
        <f>IF($A$2="","",IF(MAX($A$9:A69)+1&gt;$A$2,"",MAX($A$9:A69)+1))</f>
        <v/>
      </c>
      <c r="B70" s="18" t="str">
        <f t="shared" si="40"/>
        <v/>
      </c>
      <c r="C70" s="19" t="str">
        <f t="shared" si="41"/>
        <v/>
      </c>
      <c r="D70" s="20" t="str">
        <f t="shared" si="42"/>
        <v/>
      </c>
      <c r="E70" s="77" t="str">
        <f t="shared" si="43"/>
        <v/>
      </c>
      <c r="F70" s="138" t="str">
        <f t="shared" si="5"/>
        <v/>
      </c>
      <c r="G70" s="138" t="str">
        <f t="shared" si="6"/>
        <v/>
      </c>
      <c r="H70" s="138" t="str">
        <f t="shared" si="7"/>
        <v/>
      </c>
      <c r="I70" s="138" t="str">
        <f t="shared" si="8"/>
        <v/>
      </c>
      <c r="J70" s="138" t="str">
        <f t="shared" si="9"/>
        <v/>
      </c>
      <c r="K70" s="138" t="str">
        <f t="shared" si="10"/>
        <v/>
      </c>
      <c r="L70" s="138" t="str">
        <f t="shared" si="11"/>
        <v/>
      </c>
      <c r="M70" s="138" t="str">
        <f t="shared" si="12"/>
        <v/>
      </c>
      <c r="N70" s="138" t="str">
        <f t="shared" si="13"/>
        <v/>
      </c>
      <c r="O70" s="138" t="str">
        <f t="shared" si="14"/>
        <v/>
      </c>
      <c r="P70" s="138" t="str">
        <f t="shared" si="15"/>
        <v/>
      </c>
      <c r="Q70" s="138" t="str">
        <f t="shared" si="16"/>
        <v/>
      </c>
      <c r="R70" s="138" t="str">
        <f t="shared" si="17"/>
        <v/>
      </c>
      <c r="S70" s="138" t="str">
        <f t="shared" si="18"/>
        <v/>
      </c>
      <c r="T70" s="138" t="str">
        <f t="shared" si="19"/>
        <v/>
      </c>
      <c r="U70" s="138" t="str">
        <f t="shared" si="20"/>
        <v/>
      </c>
      <c r="V70" s="138" t="str">
        <f t="shared" si="21"/>
        <v/>
      </c>
      <c r="W70" s="138" t="str">
        <f t="shared" si="22"/>
        <v/>
      </c>
      <c r="X70" s="138" t="str">
        <f t="shared" si="44"/>
        <v/>
      </c>
      <c r="Y70" s="138" t="str">
        <f t="shared" si="23"/>
        <v/>
      </c>
      <c r="Z70" s="138" t="str">
        <f t="shared" si="24"/>
        <v/>
      </c>
      <c r="AA70" s="138" t="str">
        <f t="shared" si="25"/>
        <v/>
      </c>
      <c r="AB70" s="138" t="str">
        <f t="shared" si="26"/>
        <v/>
      </c>
      <c r="AC70" s="138" t="str">
        <f t="shared" si="27"/>
        <v/>
      </c>
      <c r="AD70" s="138" t="str">
        <f t="shared" si="28"/>
        <v/>
      </c>
      <c r="AE70" s="138" t="str">
        <f t="shared" si="29"/>
        <v/>
      </c>
      <c r="AF70" s="138" t="str">
        <f t="shared" si="30"/>
        <v/>
      </c>
      <c r="AG70" s="138" t="str">
        <f t="shared" si="31"/>
        <v/>
      </c>
      <c r="AH70" s="138" t="str">
        <f t="shared" si="32"/>
        <v/>
      </c>
      <c r="AI70" s="138" t="str">
        <f t="shared" si="33"/>
        <v/>
      </c>
      <c r="AJ70" s="138" t="str">
        <f t="shared" si="34"/>
        <v/>
      </c>
      <c r="AK70" s="138" t="str">
        <f t="shared" si="35"/>
        <v/>
      </c>
      <c r="AL70" s="138" t="str">
        <f t="shared" si="36"/>
        <v/>
      </c>
      <c r="AM70" s="259">
        <f t="shared" si="39"/>
        <v>0</v>
      </c>
      <c r="AN70" s="110"/>
    </row>
    <row r="71" spans="1:40" s="23" customFormat="1" ht="15.75" hidden="1">
      <c r="A71" s="21" t="str">
        <f>IF($A$2="","",IF(MAX($A$9:A70)+1&gt;$A$2,"",MAX($A$9:A70)+1))</f>
        <v/>
      </c>
      <c r="B71" s="18" t="str">
        <f t="shared" si="40"/>
        <v/>
      </c>
      <c r="C71" s="19" t="str">
        <f t="shared" si="41"/>
        <v/>
      </c>
      <c r="D71" s="20" t="str">
        <f t="shared" si="42"/>
        <v/>
      </c>
      <c r="E71" s="77" t="str">
        <f t="shared" si="43"/>
        <v/>
      </c>
      <c r="F71" s="138" t="str">
        <f t="shared" si="5"/>
        <v/>
      </c>
      <c r="G71" s="138" t="str">
        <f t="shared" si="6"/>
        <v/>
      </c>
      <c r="H71" s="138" t="str">
        <f t="shared" si="7"/>
        <v/>
      </c>
      <c r="I71" s="138" t="str">
        <f t="shared" si="8"/>
        <v/>
      </c>
      <c r="J71" s="138" t="str">
        <f t="shared" si="9"/>
        <v/>
      </c>
      <c r="K71" s="138" t="str">
        <f t="shared" si="10"/>
        <v/>
      </c>
      <c r="L71" s="138" t="str">
        <f t="shared" si="11"/>
        <v/>
      </c>
      <c r="M71" s="138" t="str">
        <f t="shared" si="12"/>
        <v/>
      </c>
      <c r="N71" s="138" t="str">
        <f t="shared" si="13"/>
        <v/>
      </c>
      <c r="O71" s="138" t="str">
        <f t="shared" si="14"/>
        <v/>
      </c>
      <c r="P71" s="138" t="str">
        <f t="shared" si="15"/>
        <v/>
      </c>
      <c r="Q71" s="138" t="str">
        <f t="shared" si="16"/>
        <v/>
      </c>
      <c r="R71" s="138" t="str">
        <f t="shared" si="17"/>
        <v/>
      </c>
      <c r="S71" s="138" t="str">
        <f t="shared" si="18"/>
        <v/>
      </c>
      <c r="T71" s="138" t="str">
        <f t="shared" si="19"/>
        <v/>
      </c>
      <c r="U71" s="138" t="str">
        <f t="shared" si="20"/>
        <v/>
      </c>
      <c r="V71" s="138" t="str">
        <f t="shared" si="21"/>
        <v/>
      </c>
      <c r="W71" s="138" t="str">
        <f t="shared" si="22"/>
        <v/>
      </c>
      <c r="X71" s="138" t="str">
        <f t="shared" si="44"/>
        <v/>
      </c>
      <c r="Y71" s="138" t="str">
        <f t="shared" si="23"/>
        <v/>
      </c>
      <c r="Z71" s="138" t="str">
        <f t="shared" si="24"/>
        <v/>
      </c>
      <c r="AA71" s="138" t="str">
        <f t="shared" si="25"/>
        <v/>
      </c>
      <c r="AB71" s="138" t="str">
        <f t="shared" si="26"/>
        <v/>
      </c>
      <c r="AC71" s="138" t="str">
        <f t="shared" si="27"/>
        <v/>
      </c>
      <c r="AD71" s="138" t="str">
        <f t="shared" si="28"/>
        <v/>
      </c>
      <c r="AE71" s="138" t="str">
        <f t="shared" si="29"/>
        <v/>
      </c>
      <c r="AF71" s="138" t="str">
        <f t="shared" si="30"/>
        <v/>
      </c>
      <c r="AG71" s="138" t="str">
        <f t="shared" si="31"/>
        <v/>
      </c>
      <c r="AH71" s="138" t="str">
        <f t="shared" si="32"/>
        <v/>
      </c>
      <c r="AI71" s="138" t="str">
        <f t="shared" si="33"/>
        <v/>
      </c>
      <c r="AJ71" s="138" t="str">
        <f t="shared" si="34"/>
        <v/>
      </c>
      <c r="AK71" s="138" t="str">
        <f t="shared" si="35"/>
        <v/>
      </c>
      <c r="AL71" s="138" t="str">
        <f t="shared" si="36"/>
        <v/>
      </c>
      <c r="AM71" s="259">
        <f t="shared" si="39"/>
        <v>0</v>
      </c>
      <c r="AN71" s="110"/>
    </row>
    <row r="72" spans="1:40" s="23" customFormat="1" ht="15.75" hidden="1">
      <c r="A72" s="21" t="str">
        <f>IF($A$2="","",IF(MAX($A$9:A71)+1&gt;$A$2,"",MAX($A$9:A71)+1))</f>
        <v/>
      </c>
      <c r="B72" s="18" t="str">
        <f t="shared" si="40"/>
        <v/>
      </c>
      <c r="C72" s="19" t="str">
        <f t="shared" si="41"/>
        <v/>
      </c>
      <c r="D72" s="20" t="str">
        <f t="shared" si="42"/>
        <v/>
      </c>
      <c r="E72" s="77" t="str">
        <f t="shared" si="43"/>
        <v/>
      </c>
      <c r="F72" s="138" t="str">
        <f t="shared" si="5"/>
        <v/>
      </c>
      <c r="G72" s="138" t="str">
        <f t="shared" si="6"/>
        <v/>
      </c>
      <c r="H72" s="138" t="str">
        <f t="shared" si="7"/>
        <v/>
      </c>
      <c r="I72" s="138" t="str">
        <f t="shared" si="8"/>
        <v/>
      </c>
      <c r="J72" s="138" t="str">
        <f t="shared" si="9"/>
        <v/>
      </c>
      <c r="K72" s="138" t="str">
        <f t="shared" si="10"/>
        <v/>
      </c>
      <c r="L72" s="138" t="str">
        <f t="shared" si="11"/>
        <v/>
      </c>
      <c r="M72" s="138" t="str">
        <f t="shared" si="12"/>
        <v/>
      </c>
      <c r="N72" s="138" t="str">
        <f t="shared" si="13"/>
        <v/>
      </c>
      <c r="O72" s="138" t="str">
        <f t="shared" si="14"/>
        <v/>
      </c>
      <c r="P72" s="138" t="str">
        <f t="shared" si="15"/>
        <v/>
      </c>
      <c r="Q72" s="138" t="str">
        <f t="shared" si="16"/>
        <v/>
      </c>
      <c r="R72" s="138" t="str">
        <f t="shared" si="17"/>
        <v/>
      </c>
      <c r="S72" s="138" t="str">
        <f t="shared" si="18"/>
        <v/>
      </c>
      <c r="T72" s="138" t="str">
        <f t="shared" si="19"/>
        <v/>
      </c>
      <c r="U72" s="138" t="str">
        <f t="shared" si="20"/>
        <v/>
      </c>
      <c r="V72" s="138" t="str">
        <f t="shared" si="21"/>
        <v/>
      </c>
      <c r="W72" s="138" t="str">
        <f t="shared" si="22"/>
        <v/>
      </c>
      <c r="X72" s="138" t="str">
        <f t="shared" si="44"/>
        <v/>
      </c>
      <c r="Y72" s="138" t="str">
        <f t="shared" si="23"/>
        <v/>
      </c>
      <c r="Z72" s="138" t="str">
        <f t="shared" si="24"/>
        <v/>
      </c>
      <c r="AA72" s="138" t="str">
        <f t="shared" si="25"/>
        <v/>
      </c>
      <c r="AB72" s="138" t="str">
        <f t="shared" si="26"/>
        <v/>
      </c>
      <c r="AC72" s="138" t="str">
        <f t="shared" si="27"/>
        <v/>
      </c>
      <c r="AD72" s="138" t="str">
        <f t="shared" si="28"/>
        <v/>
      </c>
      <c r="AE72" s="138" t="str">
        <f t="shared" si="29"/>
        <v/>
      </c>
      <c r="AF72" s="138" t="str">
        <f t="shared" si="30"/>
        <v/>
      </c>
      <c r="AG72" s="138" t="str">
        <f t="shared" si="31"/>
        <v/>
      </c>
      <c r="AH72" s="138" t="str">
        <f t="shared" si="32"/>
        <v/>
      </c>
      <c r="AI72" s="138" t="str">
        <f t="shared" si="33"/>
        <v/>
      </c>
      <c r="AJ72" s="138" t="str">
        <f t="shared" si="34"/>
        <v/>
      </c>
      <c r="AK72" s="138" t="str">
        <f t="shared" si="35"/>
        <v/>
      </c>
      <c r="AL72" s="138" t="str">
        <f t="shared" si="36"/>
        <v/>
      </c>
      <c r="AM72" s="259">
        <f t="shared" si="39"/>
        <v>0</v>
      </c>
      <c r="AN72" s="110"/>
    </row>
    <row r="73" spans="1:40" s="23" customFormat="1" ht="15.75" hidden="1">
      <c r="A73" s="21" t="str">
        <f>IF($A$2="","",IF(MAX($A$9:A72)+1&gt;$A$2,"",MAX($A$9:A72)+1))</f>
        <v/>
      </c>
      <c r="B73" s="18" t="str">
        <f t="shared" si="40"/>
        <v/>
      </c>
      <c r="C73" s="19" t="str">
        <f t="shared" si="41"/>
        <v/>
      </c>
      <c r="D73" s="20" t="str">
        <f t="shared" si="42"/>
        <v/>
      </c>
      <c r="E73" s="77" t="str">
        <f t="shared" si="43"/>
        <v/>
      </c>
      <c r="F73" s="138" t="str">
        <f t="shared" si="5"/>
        <v/>
      </c>
      <c r="G73" s="138" t="str">
        <f t="shared" si="6"/>
        <v/>
      </c>
      <c r="H73" s="138" t="str">
        <f t="shared" si="7"/>
        <v/>
      </c>
      <c r="I73" s="138" t="str">
        <f t="shared" si="8"/>
        <v/>
      </c>
      <c r="J73" s="138" t="str">
        <f t="shared" si="9"/>
        <v/>
      </c>
      <c r="K73" s="138" t="str">
        <f t="shared" si="10"/>
        <v/>
      </c>
      <c r="L73" s="138" t="str">
        <f t="shared" si="11"/>
        <v/>
      </c>
      <c r="M73" s="138" t="str">
        <f t="shared" si="12"/>
        <v/>
      </c>
      <c r="N73" s="138" t="str">
        <f t="shared" si="13"/>
        <v/>
      </c>
      <c r="O73" s="138" t="str">
        <f t="shared" si="14"/>
        <v/>
      </c>
      <c r="P73" s="138" t="str">
        <f t="shared" si="15"/>
        <v/>
      </c>
      <c r="Q73" s="138" t="str">
        <f t="shared" si="16"/>
        <v/>
      </c>
      <c r="R73" s="138" t="str">
        <f t="shared" si="17"/>
        <v/>
      </c>
      <c r="S73" s="138" t="str">
        <f t="shared" si="18"/>
        <v/>
      </c>
      <c r="T73" s="138" t="str">
        <f t="shared" si="19"/>
        <v/>
      </c>
      <c r="U73" s="138" t="str">
        <f t="shared" si="20"/>
        <v/>
      </c>
      <c r="V73" s="138" t="str">
        <f t="shared" si="21"/>
        <v/>
      </c>
      <c r="W73" s="138" t="str">
        <f t="shared" si="22"/>
        <v/>
      </c>
      <c r="X73" s="138" t="str">
        <f t="shared" si="44"/>
        <v/>
      </c>
      <c r="Y73" s="138" t="str">
        <f t="shared" si="23"/>
        <v/>
      </c>
      <c r="Z73" s="138" t="str">
        <f t="shared" si="24"/>
        <v/>
      </c>
      <c r="AA73" s="138" t="str">
        <f t="shared" si="25"/>
        <v/>
      </c>
      <c r="AB73" s="138" t="str">
        <f t="shared" si="26"/>
        <v/>
      </c>
      <c r="AC73" s="138" t="str">
        <f t="shared" si="27"/>
        <v/>
      </c>
      <c r="AD73" s="138" t="str">
        <f t="shared" si="28"/>
        <v/>
      </c>
      <c r="AE73" s="138" t="str">
        <f t="shared" si="29"/>
        <v/>
      </c>
      <c r="AF73" s="138" t="str">
        <f t="shared" si="30"/>
        <v/>
      </c>
      <c r="AG73" s="138" t="str">
        <f t="shared" si="31"/>
        <v/>
      </c>
      <c r="AH73" s="138" t="str">
        <f t="shared" si="32"/>
        <v/>
      </c>
      <c r="AI73" s="138" t="str">
        <f t="shared" si="33"/>
        <v/>
      </c>
      <c r="AJ73" s="138" t="str">
        <f t="shared" si="34"/>
        <v/>
      </c>
      <c r="AK73" s="138" t="str">
        <f t="shared" si="35"/>
        <v/>
      </c>
      <c r="AL73" s="138" t="str">
        <f t="shared" si="36"/>
        <v/>
      </c>
      <c r="AM73" s="259">
        <f t="shared" si="39"/>
        <v>0</v>
      </c>
      <c r="AN73" s="110"/>
    </row>
    <row r="74" spans="1:40" s="107" customFormat="1" ht="15.75" hidden="1">
      <c r="A74" s="105" t="str">
        <f>IF($A$2="","",IF(MAX($A$9:A73)+1&gt;$A$2,"",MAX($A$9:A73)+1))</f>
        <v/>
      </c>
      <c r="B74" s="18" t="str">
        <f t="shared" ref="B74:B99" si="45">IF(A74="","",IF(VLOOKUP(A74,Bangke,3,0)="","",VLOOKUP(A74,Bangke,3,0)))</f>
        <v/>
      </c>
      <c r="C74" s="19" t="str">
        <f t="shared" ref="C74:C99" si="46">IF(A74="","",IF(VLOOKUP(A74,Bangke,4,0)="","",VLOOKUP(A74,Bangke,4,0)))</f>
        <v/>
      </c>
      <c r="D74" s="20" t="str">
        <f t="shared" ref="D74:D99" si="47">IF(A74="","",VLOOKUP(A74,Bangke,6,0))</f>
        <v/>
      </c>
      <c r="E74" s="77" t="str">
        <f t="shared" ref="E74:E99" si="48">IF(A74="","",VLOOKUP(A74,Bangke,8,0))</f>
        <v/>
      </c>
      <c r="F74" s="138" t="str">
        <f t="shared" ref="F74:F110" si="49">IF($A74="","",(IF(VLOOKUP($A74,Bangke,9,0)=$F$7,VLOOKUP($A74,Bangke,11,0),IF(VLOOKUP($A74,Bangke,12,0)=$F$7,VLOOKUP($A74,Bangke,14,0),IF(VLOOKUP($A74,Bangke,15,0)=$F$7,VLOOKUP($A74,Bangke,17,0),IF(VLOOKUP($A74,Bangke,18,0)=$F$7,VLOOKUP($A74,Bangke,20,0),IF(VLOOKUP($A74,Bangke,21,0)=$F$7,VLOOKUP($A74,Bangke,23,0),IF(VLOOKUP($A74,Bangke,24,0)=$F$7,VLOOKUP($A74,Bangke,26,0),IF(VLOOKUP($A74,Bangke,27,0)=$F$7,VLOOKUP($A74,Bangke,29,0),0)))))))))</f>
        <v/>
      </c>
      <c r="G74" s="138" t="str">
        <f t="shared" ref="G74:G110" si="50">IF($A74="","",(IF(VLOOKUP($A74,Bangke,9,0)=$G$7,VLOOKUP($A74,Bangke,11,0),IF(VLOOKUP($A74,Bangke,12,0)=$G$7,VLOOKUP($A74,Bangke,14,0),IF(VLOOKUP($A74,Bangke,15,0)=$G$7,VLOOKUP($A74,Bangke,17,0),IF(VLOOKUP($A74,Bangke,18,0)=$G$7,VLOOKUP($A74,Bangke,20,0),IF(VLOOKUP($A74,Bangke,21,0)=$G$7,VLOOKUP($A74,Bangke,23,0),IF(VLOOKUP($A74,Bangke,24,0)=$G$7,VLOOKUP($A74,Bangke,26,0),IF(VLOOKUP($A74,Bangke,27,0)=$G$7,VLOOKUP($A74,Bangke,29,0),0)))))))))</f>
        <v/>
      </c>
      <c r="H74" s="138" t="str">
        <f t="shared" ref="H74:H110" si="51">IF($A74="","",(IF(VLOOKUP($A74,Bangke,9,0)=$H$7,VLOOKUP($A74,Bangke,11,0),IF(VLOOKUP($A74,Bangke,12,0)=$H$7,VLOOKUP($A74,Bangke,14,0),IF(VLOOKUP($A74,Bangke,15,0)=$H$7,VLOOKUP($A74,Bangke,17,0),IF(VLOOKUP($A74,Bangke,18,0)=$H$7,VLOOKUP($A74,Bangke,20,0),IF(VLOOKUP($A74,Bangke,21,0)=$H$7,VLOOKUP($A74,Bangke,23,0),IF(VLOOKUP($A74,Bangke,24,0)=$H$7,VLOOKUP($A74,Bangke,26,0),IF(VLOOKUP($A74,Bangke,27,0)=$H$7,VLOOKUP($A74,Bangke,29,0),0)))))))))</f>
        <v/>
      </c>
      <c r="I74" s="138" t="str">
        <f t="shared" ref="I74:I110" si="52">IF($A74="","",(IF(VLOOKUP($A74,Bangke,9,0)=$I$7,VLOOKUP($A74,Bangke,11,0),IF(VLOOKUP($A74,Bangke,12,0)=$I$7,VLOOKUP($A74,Bangke,14,0),IF(VLOOKUP($A74,Bangke,15,0)=$I$7,VLOOKUP($A74,Bangke,17,0),IF(VLOOKUP($A74,Bangke,18,0)=$I$7,VLOOKUP($A74,Bangke,20,0),IF(VLOOKUP($A74,Bangke,21,0)=$I$7,VLOOKUP($A74,Bangke,23,0),IF(VLOOKUP($A74,Bangke,24,0)=$I$7,VLOOKUP($A74,Bangke,26,0),IF(VLOOKUP($A74,Bangke,27,0)=$I$7,VLOOKUP($A74,Bangke,29,0),0)))))))))</f>
        <v/>
      </c>
      <c r="J74" s="138" t="str">
        <f t="shared" ref="J74:J110" si="53">IF($A74="","",(IF(VLOOKUP($A74,Bangke,9,0)=$J$7,VLOOKUP($A74,Bangke,11,0),IF(VLOOKUP($A74,Bangke,12,0)=$J$7,VLOOKUP($A74,Bangke,14,0),IF(VLOOKUP($A74,Bangke,15,0)=$J$7,VLOOKUP($A74,Bangke,17,0),IF(VLOOKUP($A74,Bangke,18,0)=$J$7,VLOOKUP($A74,Bangke,20,0),IF(VLOOKUP($A74,Bangke,21,0)=$J$7,VLOOKUP($A74,Bangke,23,0),IF(VLOOKUP($A74,Bangke,24,0)=$J$7,VLOOKUP($A74,Bangke,26,0),IF(VLOOKUP($A74,Bangke,27,0)=$J$7,VLOOKUP($A74,Bangke,29,0),0)))))))))</f>
        <v/>
      </c>
      <c r="K74" s="138" t="str">
        <f t="shared" ref="K74:K110" si="54">IF($A74="","",(IF(VLOOKUP($A74,Bangke,9,0)=$K$7,VLOOKUP($A74,Bangke,11,0),IF(VLOOKUP($A74,Bangke,12,0)=$K$7,VLOOKUP($A74,Bangke,14,0),IF(VLOOKUP($A74,Bangke,15,0)=$K$7,VLOOKUP($A74,Bangke,17,0),IF(VLOOKUP($A74,Bangke,18,0)=$K$7,VLOOKUP($A74,Bangke,20,0),IF(VLOOKUP($A74,Bangke,21,0)=$K$7,VLOOKUP($A74,Bangke,23,0),IF(VLOOKUP($A74,Bangke,24,0)=$K$7,VLOOKUP($A74,Bangke,26,0),IF(VLOOKUP($A74,Bangke,27,0)=$K$7,VLOOKUP($A74,Bangke,29,0),0)))))))))</f>
        <v/>
      </c>
      <c r="L74" s="138" t="str">
        <f t="shared" ref="L74:L110" si="55">IF($A74="","",(IF(VLOOKUP($A74,Bangke,9,0)=$L$7,VLOOKUP($A74,Bangke,11,0),IF(VLOOKUP($A74,Bangke,12,0)=$L$7,VLOOKUP($A74,Bangke,14,0),IF(VLOOKUP($A74,Bangke,15,0)=$L$7,VLOOKUP($A74,Bangke,17,0),IF(VLOOKUP($A74,Bangke,18,0)=$L$7,VLOOKUP($A74,Bangke,20,0),IF(VLOOKUP($A74,Bangke,21,0)=$L$7,VLOOKUP($A74,Bangke,23,0),IF(VLOOKUP($A74,Bangke,24,0)=$L$7,VLOOKUP($A74,Bangke,26,0),IF(VLOOKUP($A74,Bangke,27,0)=$L$7,VLOOKUP($A74,Bangke,29,0),0)))))))))</f>
        <v/>
      </c>
      <c r="M74" s="138" t="str">
        <f t="shared" ref="M74:M110" si="56">IF($A74="","",(IF(VLOOKUP($A74,Bangke,9,0)=$M$7,VLOOKUP($A74,Bangke,11,0),IF(VLOOKUP($A74,Bangke,12,0)=$M$7,VLOOKUP($A74,Bangke,14,0),IF(VLOOKUP($A74,Bangke,15,0)=$M$7,VLOOKUP($A74,Bangke,17,0),IF(VLOOKUP($A74,Bangke,18,0)=$M$7,VLOOKUP($A74,Bangke,20,0),IF(VLOOKUP($A74,Bangke,21,0)=$M$7,VLOOKUP($A74,Bangke,23,0),IF(VLOOKUP($A74,Bangke,24,0)=$M$7,VLOOKUP($A74,Bangke,26,0),IF(VLOOKUP($A74,Bangke,27,0)=$M$7,VLOOKUP($A74,Bangke,29,0),0)))))))))</f>
        <v/>
      </c>
      <c r="N74" s="138" t="str">
        <f t="shared" ref="N74:N110" si="57">IF($A74="","",(IF(VLOOKUP($A74,Bangke,9,0)=$N$7,VLOOKUP($A74,Bangke,11,0),IF(VLOOKUP($A74,Bangke,12,0)=$N$7,VLOOKUP($A74,Bangke,14,0),IF(VLOOKUP($A74,Bangke,15,0)=$N$7,VLOOKUP($A74,Bangke,17,0),IF(VLOOKUP($A74,Bangke,18,0)=$N$7,VLOOKUP($A74,Bangke,20,0),IF(VLOOKUP($A74,Bangke,21,0)=$N$7,VLOOKUP($A74,Bangke,23,0),IF(VLOOKUP($A74,Bangke,24,0)=$N$7,VLOOKUP($A74,Bangke,26,0),IF(VLOOKUP($A74,Bangke,27,0)=$N$7,VLOOKUP($A74,Bangke,29,0),0)))))))))</f>
        <v/>
      </c>
      <c r="O74" s="138" t="str">
        <f t="shared" ref="O74:O110" si="58">IF($A74="","",(IF(VLOOKUP($A74,Bangke,9,0)=$O$7,VLOOKUP($A74,Bangke,11,0),IF(VLOOKUP($A74,Bangke,12,0)=$O$7,VLOOKUP($A74,Bangke,14,0),IF(VLOOKUP($A74,Bangke,15,0)=$O$7,VLOOKUP($A74,Bangke,17,0),IF(VLOOKUP($A74,Bangke,18,0)=$O$7,VLOOKUP($A74,Bangke,20,0),IF(VLOOKUP($A74,Bangke,21,0)=$O$7,VLOOKUP($A74,Bangke,23,0),IF(VLOOKUP($A74,Bangke,24,0)=$O$7,VLOOKUP($A74,Bangke,26,0),IF(VLOOKUP($A74,Bangke,27,0)=$O$7,VLOOKUP($A74,Bangke,29,0),0)))))))))</f>
        <v/>
      </c>
      <c r="P74" s="138" t="str">
        <f t="shared" ref="P74:P110" si="59">IF($A74="","",(IF(VLOOKUP($A74,Bangke,9,0)=$P$7,VLOOKUP($A74,Bangke,11,0),IF(VLOOKUP($A74,Bangke,12,0)=$P$7,VLOOKUP($A74,Bangke,14,0),IF(VLOOKUP($A74,Bangke,15,0)=$P$7,VLOOKUP($A74,Bangke,17,0),IF(VLOOKUP($A74,Bangke,18,0)=$P$7,VLOOKUP($A74,Bangke,20,0),IF(VLOOKUP($A74,Bangke,21,0)=$P$7,VLOOKUP($A74,Bangke,23,0),IF(VLOOKUP($A74,Bangke,24,0)=$P$7,VLOOKUP($A74,Bangke,26,0),IF(VLOOKUP($A74,Bangke,27,0)=$P$7,VLOOKUP($A74,Bangke,29,0),0)))))))))</f>
        <v/>
      </c>
      <c r="Q74" s="138" t="str">
        <f t="shared" ref="Q74:Q110" si="60">IF($A74="","",(IF(VLOOKUP($A74,Bangke,9,0)=$Q$7,VLOOKUP($A74,Bangke,11,0),IF(VLOOKUP($A74,Bangke,12,0)=$Q$7,VLOOKUP($A74,Bangke,14,0),IF(VLOOKUP($A74,Bangke,15,0)=$Q$7,VLOOKUP($A74,Bangke,17,0),IF(VLOOKUP($A74,Bangke,18,0)=$Q$7,VLOOKUP($A74,Bangke,20,0),IF(VLOOKUP($A74,Bangke,21,0)=$Q$7,VLOOKUP($A74,Bangke,23,0),IF(VLOOKUP($A74,Bangke,24,0)=$Q$7,VLOOKUP($A74,Bangke,26,0),IF(VLOOKUP($A74,Bangke,27,0)=$Q$7,VLOOKUP($A74,Bangke,29,0),0)))))))))</f>
        <v/>
      </c>
      <c r="R74" s="138" t="str">
        <f t="shared" ref="R74:R110" si="61">IF($A74="","",(IF(VLOOKUP($A74,Bangke,9,0)=$R$7,VLOOKUP($A74,Bangke,11,0),IF(VLOOKUP($A74,Bangke,12,0)=$R$7,VLOOKUP($A74,Bangke,14,0),IF(VLOOKUP($A74,Bangke,15,0)=$R$7,VLOOKUP($A74,Bangke,17,0),IF(VLOOKUP($A74,Bangke,18,0)=$R$7,VLOOKUP($A74,Bangke,20,0),IF(VLOOKUP($A74,Bangke,21,0)=$R$7,VLOOKUP($A74,Bangke,23,0),IF(VLOOKUP($A74,Bangke,24,0)=$R$7,VLOOKUP($A74,Bangke,26,0),IF(VLOOKUP($A74,Bangke,27,0)=$R$7,VLOOKUP($A74,Bangke,29,0),0)))))))))</f>
        <v/>
      </c>
      <c r="S74" s="138" t="str">
        <f t="shared" ref="S74:S110" si="62">IF($A74="","",(IF(VLOOKUP($A74,Bangke,9,0)=$S$7,VLOOKUP($A74,Bangke,11,0),IF(VLOOKUP($A74,Bangke,12,0)=$S$7,VLOOKUP($A74,Bangke,14,0),IF(VLOOKUP($A74,Bangke,15,0)=$S$7,VLOOKUP($A74,Bangke,17,0),IF(VLOOKUP($A74,Bangke,18,0)=$S$7,VLOOKUP($A74,Bangke,20,0),IF(VLOOKUP($A74,Bangke,21,0)=$S$7,VLOOKUP($A74,Bangke,23,0),IF(VLOOKUP($A74,Bangke,24,0)=$S$7,VLOOKUP($A74,Bangke,26,0),IF(VLOOKUP($A74,Bangke,27,0)=$S$7,VLOOKUP($A74,Bangke,29,0),0)))))))))</f>
        <v/>
      </c>
      <c r="T74" s="138" t="str">
        <f t="shared" ref="T74:T110" si="63">IF($A74="","",(IF(VLOOKUP($A74,Bangke,9,0)=$T$7,VLOOKUP($A74,Bangke,11,0),IF(VLOOKUP($A74,Bangke,12,0)=$T$7,VLOOKUP($A74,Bangke,14,0),IF(VLOOKUP($A74,Bangke,15,0)=$T$7,VLOOKUP($A74,Bangke,17,0),IF(VLOOKUP($A74,Bangke,18,0)=$T$7,VLOOKUP($A74,Bangke,20,0),IF(VLOOKUP($A74,Bangke,21,0)=$T$7,VLOOKUP($A74,Bangke,23,0),IF(VLOOKUP($A74,Bangke,24,0)=$T$7,VLOOKUP($A74,Bangke,26,0),IF(VLOOKUP($A74,Bangke,27,0)=$T$7,VLOOKUP($A74,Bangke,29,0),0)))))))))</f>
        <v/>
      </c>
      <c r="U74" s="138" t="str">
        <f t="shared" ref="U74:U110" si="64">IF($A74="","",(IF(VLOOKUP($A74,Bangke,9,0)=$U$7,VLOOKUP($A74,Bangke,11,0),IF(VLOOKUP($A74,Bangke,12,0)=$U$7,VLOOKUP($A74,Bangke,14,0),IF(VLOOKUP($A74,Bangke,15,0)=$U$7,VLOOKUP($A74,Bangke,17,0),IF(VLOOKUP($A74,Bangke,18,0)=$U$7,VLOOKUP($A74,Bangke,20,0),IF(VLOOKUP($A74,Bangke,21,0)=$U$7,VLOOKUP($A74,Bangke,23,0),IF(VLOOKUP($A74,Bangke,24,0)=$U$7,VLOOKUP($A74,Bangke,26,0),IF(VLOOKUP($A74,Bangke,27,0)=$U$7,VLOOKUP($A74,Bangke,29,0),0)))))))))</f>
        <v/>
      </c>
      <c r="V74" s="138" t="str">
        <f t="shared" ref="V74:V110" si="65">IF($A74="","",(IF(VLOOKUP($A74,Bangke,9,0)=$V$7,VLOOKUP($A74,Bangke,11,0),IF(VLOOKUP($A74,Bangke,12,0)=$V$7,VLOOKUP($A74,Bangke,14,0),IF(VLOOKUP($A74,Bangke,15,0)=$V$7,VLOOKUP($A74,Bangke,17,0),IF(VLOOKUP($A74,Bangke,18,0)=$V$7,VLOOKUP($A74,Bangke,20,0),IF(VLOOKUP($A74,Bangke,21,0)=$V$7,VLOOKUP($A74,Bangke,23,0),IF(VLOOKUP($A74,Bangke,24,0)=$V$7,VLOOKUP($A74,Bangke,26,0),IF(VLOOKUP($A74,Bangke,27,0)=$V$7,VLOOKUP($A74,Bangke,29,0),0)))))))))</f>
        <v/>
      </c>
      <c r="W74" s="138" t="str">
        <f t="shared" ref="W74:W110" si="66">IF($A74="","",(IF(VLOOKUP($A74,Bangke,9,0)=$W$7,VLOOKUP($A74,Bangke,11,0),IF(VLOOKUP($A74,Bangke,12,0)=$W$7,VLOOKUP($A74,Bangke,14,0),IF(VLOOKUP($A74,Bangke,15,0)=$W$7,VLOOKUP($A74,Bangke,17,0),IF(VLOOKUP($A74,Bangke,18,0)=$W$7,VLOOKUP($A74,Bangke,20,0),IF(VLOOKUP($A74,Bangke,21,0)=$W$7,VLOOKUP($A74,Bangke,23,0),IF(VLOOKUP($A74,Bangke,24,0)=$W$7,VLOOKUP($A74,Bangke,26,0),IF(VLOOKUP($A74,Bangke,27,0)=$W$7,VLOOKUP($A74,Bangke,29,0),0)))))))))</f>
        <v/>
      </c>
      <c r="X74" s="138" t="str">
        <f t="shared" ref="X74:X110" si="67">IF($A74="","",(IF(VLOOKUP($A74,Bangke,9,0)=$X$7,VLOOKUP($A74,Bangke,11,0),IF(VLOOKUP($A74,Bangke,12,0)=$X$7,VLOOKUP($A74,Bangke,14,0),IF(VLOOKUP($A74,Bangke,15,0)=$X$7,VLOOKUP($A74,Bangke,17,0),IF(VLOOKUP($A74,Bangke,18,0)=$X$7,VLOOKUP($A74,Bangke,20,0),IF(VLOOKUP($A74,Bangke,21,0)=$X$7,VLOOKUP($A74,Bangke,23,0),IF(VLOOKUP($A74,Bangke,24,0)=$X$7,VLOOKUP($A74,Bangke,26,0),IF(VLOOKUP($A74,Bangke,27,0)=$X$7,VLOOKUP($A74,Bangke,29,0),0)))))))))</f>
        <v/>
      </c>
      <c r="Y74" s="138" t="str">
        <f t="shared" ref="Y74:Y110" si="68">IF($A74="","",(IF(VLOOKUP($A74,Bangke,9,0)=$Y$7,VLOOKUP($A74,Bangke,11,0),IF(VLOOKUP($A74,Bangke,12,0)=$Y$7,VLOOKUP($A74,Bangke,14,0),IF(VLOOKUP($A74,Bangke,15,0)=$Y$7,VLOOKUP($A74,Bangke,17,0),IF(VLOOKUP($A74,Bangke,18,0)=$Y$7,VLOOKUP($A74,Bangke,20,0),IF(VLOOKUP($A74,Bangke,21,0)=$Y$7,VLOOKUP($A74,Bangke,23,0),IF(VLOOKUP($A74,Bangke,24,0)=$Y$7,VLOOKUP($A74,Bangke,26,0),IF(VLOOKUP($A74,Bangke,27,0)=$Y$7,VLOOKUP($A74,Bangke,29,0),0)))))))))</f>
        <v/>
      </c>
      <c r="Z74" s="138" t="str">
        <f t="shared" ref="Z74:Z110" si="69">IF($A74="","",(IF(VLOOKUP($A74,Bangke,9,0)=$Z$7,VLOOKUP($A74,Bangke,11,0),IF(VLOOKUP($A74,Bangke,12,0)=$Z$7,VLOOKUP($A74,Bangke,14,0),IF(VLOOKUP($A74,Bangke,15,0)=$Z$7,VLOOKUP($A74,Bangke,17,0),IF(VLOOKUP($A74,Bangke,18,0)=$Z$7,VLOOKUP($A74,Bangke,20,0),IF(VLOOKUP($A74,Bangke,21,0)=$Z$7,VLOOKUP($A74,Bangke,23,0),IF(VLOOKUP($A74,Bangke,24,0)=$Z$7,VLOOKUP($A74,Bangke,26,0),IF(VLOOKUP($A74,Bangke,27,0)=$Z$7,VLOOKUP($A74,Bangke,29,0),0)))))))))</f>
        <v/>
      </c>
      <c r="AA74" s="138" t="str">
        <f t="shared" ref="AA74:AA110" si="70">IF($A74="","",(IF(VLOOKUP($A74,Bangke,9,0)=$AA$7,VLOOKUP($A74,Bangke,11,0),IF(VLOOKUP($A74,Bangke,12,0)=$AA$7,VLOOKUP($A74,Bangke,14,0),IF(VLOOKUP($A74,Bangke,15,0)=$AA$7,VLOOKUP($A74,Bangke,17,0),IF(VLOOKUP($A74,Bangke,18,0)=$AA$7,VLOOKUP($A74,Bangke,20,0),IF(VLOOKUP($A74,Bangke,21,0)=$AA$7,VLOOKUP($A74,Bangke,23,0),IF(VLOOKUP($A74,Bangke,24,0)=$AA$7,VLOOKUP($A74,Bangke,26,0),IF(VLOOKUP($A74,Bangke,27,0)=$AA$7,VLOOKUP($A74,Bangke,29,0),0)))))))))</f>
        <v/>
      </c>
      <c r="AB74" s="138" t="str">
        <f t="shared" ref="AB74:AB110" si="71">IF($A74="","",(IF(VLOOKUP($A74,Bangke,9,0)=$AB$7,VLOOKUP($A74,Bangke,11,0),IF(VLOOKUP($A74,Bangke,12,0)=$AB$7,VLOOKUP($A74,Bangke,14,0),IF(VLOOKUP($A74,Bangke,15,0)=$AB$7,VLOOKUP($A74,Bangke,17,0),IF(VLOOKUP($A74,Bangke,18,0)=$AB$7,VLOOKUP($A74,Bangke,20,0),IF(VLOOKUP($A74,Bangke,21,0)=$AB$7,VLOOKUP($A74,Bangke,23,0),IF(VLOOKUP($A74,Bangke,24,0)=$AB$7,VLOOKUP($A74,Bangke,26,0),IF(VLOOKUP($A74,Bangke,27,0)=$AB$7,VLOOKUP($A74,Bangke,29,0),0)))))))))</f>
        <v/>
      </c>
      <c r="AC74" s="138" t="str">
        <f t="shared" ref="AC74:AC110" si="72">IF($A74="","",(IF(VLOOKUP($A74,Bangke,9,0)=$AC$7,VLOOKUP($A74,Bangke,11,0),IF(VLOOKUP($A74,Bangke,12,0)=$AC$7,VLOOKUP($A74,Bangke,14,0),IF(VLOOKUP($A74,Bangke,15,0)=$AC$7,VLOOKUP($A74,Bangke,17,0),IF(VLOOKUP($A74,Bangke,18,0)=$AC$7,VLOOKUP($A74,Bangke,20,0),IF(VLOOKUP($A74,Bangke,21,0)=$AC$7,VLOOKUP($A74,Bangke,23,0),IF(VLOOKUP($A74,Bangke,24,0)=$AC$7,VLOOKUP($A74,Bangke,26,0),IF(VLOOKUP($A74,Bangke,27,0)=$AC$7,VLOOKUP($A74,Bangke,29,0),0)))))))))</f>
        <v/>
      </c>
      <c r="AD74" s="138" t="str">
        <f t="shared" ref="AD74:AD110" si="73">IF($A74="","",(IF(VLOOKUP($A74,Bangke,9,0)=$AD$7,VLOOKUP($A74,Bangke,11,0),IF(VLOOKUP($A74,Bangke,12,0)=$AD$7,VLOOKUP($A74,Bangke,14,0),IF(VLOOKUP($A74,Bangke,15,0)=$AD$7,VLOOKUP($A74,Bangke,17,0),IF(VLOOKUP($A74,Bangke,18,0)=$AD$7,VLOOKUP($A74,Bangke,20,0),IF(VLOOKUP($A74,Bangke,21,0)=$AD$7,VLOOKUP($A74,Bangke,23,0),IF(VLOOKUP($A74,Bangke,24,0)=$AD$7,VLOOKUP($A74,Bangke,26,0),IF(VLOOKUP($A74,Bangke,27,0)=$AD$7,VLOOKUP($A74,Bangke,29,0),0)))))))))</f>
        <v/>
      </c>
      <c r="AE74" s="138" t="str">
        <f t="shared" ref="AE74:AE110" si="74">IF($A74="","",(IF(VLOOKUP($A74,Bangke,9,0)=$AE$7,VLOOKUP($A74,Bangke,11,0),IF(VLOOKUP($A74,Bangke,12,0)=$AE$7,VLOOKUP($A74,Bangke,14,0),IF(VLOOKUP($A74,Bangke,15,0)=$AE$7,VLOOKUP($A74,Bangke,17,0),IF(VLOOKUP($A74,Bangke,18,0)=$AE$7,VLOOKUP($A74,Bangke,20,0),IF(VLOOKUP($A74,Bangke,21,0)=$AE$7,VLOOKUP($A74,Bangke,23,0),IF(VLOOKUP($A74,Bangke,24,0)=$AE$7,VLOOKUP($A74,Bangke,26,0),IF(VLOOKUP($A74,Bangke,27,0)=$AE$7,VLOOKUP($A74,Bangke,29,0),0)))))))))</f>
        <v/>
      </c>
      <c r="AF74" s="138" t="str">
        <f t="shared" ref="AF74:AF110" si="75">IF($A74="","",(IF(VLOOKUP($A74,Bangke,9,0)=$AF$7,VLOOKUP($A74,Bangke,11,0),IF(VLOOKUP($A74,Bangke,12,0)=$AF$7,VLOOKUP($A74,Bangke,14,0),IF(VLOOKUP($A74,Bangke,15,0)=$AF$7,VLOOKUP($A74,Bangke,17,0),IF(VLOOKUP($A74,Bangke,18,0)=$AF$7,VLOOKUP($A74,Bangke,20,0),IF(VLOOKUP($A74,Bangke,21,0)=$AF$7,VLOOKUP($A74,Bangke,23,0),IF(VLOOKUP($A74,Bangke,24,0)=$AF$7,VLOOKUP($A74,Bangke,26,0),IF(VLOOKUP($A74,Bangke,27,0)=$AF$7,VLOOKUP($A74,Bangke,29,0),0)))))))))</f>
        <v/>
      </c>
      <c r="AG74" s="138" t="str">
        <f t="shared" ref="AG74:AG110" si="76">IF($A74="","",(IF(VLOOKUP($A74,Bangke,9,0)=$AG$7,VLOOKUP($A74,Bangke,11,0),IF(VLOOKUP($A74,Bangke,12,0)=$AG$7,VLOOKUP($A74,Bangke,14,0),IF(VLOOKUP($A74,Bangke,15,0)=$AG$7,VLOOKUP($A74,Bangke,17,0),IF(VLOOKUP($A74,Bangke,18,0)=$AG$7,VLOOKUP($A74,Bangke,20,0),IF(VLOOKUP($A74,Bangke,21,0)=$AG$7,VLOOKUP($A74,Bangke,23,0),IF(VLOOKUP($A74,Bangke,24,0)=$AG$7,VLOOKUP($A74,Bangke,26,0),IF(VLOOKUP($A74,Bangke,27,0)=$AG$7,VLOOKUP($A74,Bangke,29,0),0)))))))))</f>
        <v/>
      </c>
      <c r="AH74" s="138" t="str">
        <f t="shared" ref="AH74:AH110" si="77">IF($A74="","",(IF(VLOOKUP($A74,Bangke,9,0)=$AH$7,VLOOKUP($A74,Bangke,11,0),IF(VLOOKUP($A74,Bangke,12,0)=$AH$7,VLOOKUP($A74,Bangke,14,0),IF(VLOOKUP($A74,Bangke,15,0)=$AH$7,VLOOKUP($A74,Bangke,17,0),IF(VLOOKUP($A74,Bangke,18,0)=$AH$7,VLOOKUP($A74,Bangke,20,0),IF(VLOOKUP($A74,Bangke,21,0)=$AH$7,VLOOKUP($A74,Bangke,23,0),IF(VLOOKUP($A74,Bangke,24,0)=$AH$7,VLOOKUP($A74,Bangke,26,0),IF(VLOOKUP($A74,Bangke,27,0)=$AH$7,VLOOKUP($A74,Bangke,29,0),0)))))))))</f>
        <v/>
      </c>
      <c r="AI74" s="138" t="str">
        <f t="shared" ref="AI74:AI110" si="78">IF($A74="","",(IF(VLOOKUP($A74,Bangke,9,0)=$AI$7,VLOOKUP($A74,Bangke,11,0),IF(VLOOKUP($A74,Bangke,12,0)=$AI$7,VLOOKUP($A74,Bangke,14,0),IF(VLOOKUP($A74,Bangke,15,0)=$AI$7,VLOOKUP($A74,Bangke,17,0),IF(VLOOKUP($A74,Bangke,18,0)=$AI$7,VLOOKUP($A74,Bangke,20,0),IF(VLOOKUP($A74,Bangke,21,0)=$AI$7,VLOOKUP($A74,Bangke,23,0),IF(VLOOKUP($A74,Bangke,24,0)=$AI$7,VLOOKUP($A74,Bangke,26,0),IF(VLOOKUP($A74,Bangke,27,0)=$AI$7,VLOOKUP($A74,Bangke,29,0),0)))))))))</f>
        <v/>
      </c>
      <c r="AJ74" s="138" t="str">
        <f t="shared" ref="AJ74:AJ110" si="79">IF($A74="","",(IF(VLOOKUP($A74,Bangke,9,0)=$AJ$7,VLOOKUP($A74,Bangke,11,0),IF(VLOOKUP($A74,Bangke,12,0)=$AJ$7,VLOOKUP($A74,Bangke,14,0),IF(VLOOKUP($A74,Bangke,15,0)=$AJ$7,VLOOKUP($A74,Bangke,17,0),IF(VLOOKUP($A74,Bangke,18,0)=$AJ$7,VLOOKUP($A74,Bangke,20,0),IF(VLOOKUP($A74,Bangke,21,0)=$AJ$7,VLOOKUP($A74,Bangke,23,0),IF(VLOOKUP($A74,Bangke,24,0)=$AJ$7,VLOOKUP($A74,Bangke,26,0),IF(VLOOKUP($A74,Bangke,27,0)=$AJ$7,VLOOKUP($A74,Bangke,29,0),0)))))))))</f>
        <v/>
      </c>
      <c r="AK74" s="138" t="str">
        <f t="shared" ref="AK74:AK110" si="80">IF($A74="","",(IF(VLOOKUP($A74,Bangke,9,0)=$AK$7,VLOOKUP($A74,Bangke,11,0),IF(VLOOKUP($A74,Bangke,12,0)=$AK$7,VLOOKUP($A74,Bangke,14,0),IF(VLOOKUP($A74,Bangke,15,0)=$AK$7,VLOOKUP($A74,Bangke,17,0),IF(VLOOKUP($A74,Bangke,18,0)=$AK$7,VLOOKUP($A74,Bangke,20,0),IF(VLOOKUP($A74,Bangke,21,0)=$AK$7,VLOOKUP($A74,Bangke,23,0),IF(VLOOKUP($A74,Bangke,24,0)=$AK$7,VLOOKUP($A74,Bangke,26,0),IF(VLOOKUP($A74,Bangke,27,0)=$AK$7,VLOOKUP($A74,Bangke,29,0),0)))))))))</f>
        <v/>
      </c>
      <c r="AL74" s="138" t="str">
        <f t="shared" ref="AL74:AL110" si="81">IF($A74="","",(IF(VLOOKUP($A74,Bangke,9,0)=$AL$7,VLOOKUP($A74,Bangke,11,0),IF(VLOOKUP($A74,Bangke,12,0)=$AL$7,VLOOKUP($A74,Bangke,14,0),IF(VLOOKUP($A74,Bangke,15,0)=$AL$7,VLOOKUP($A74,Bangke,17,0),IF(VLOOKUP($A74,Bangke,18,0)=$AL$7,VLOOKUP($A74,Bangke,20,0),IF(VLOOKUP($A74,Bangke,21,0)=$AL$7,VLOOKUP($A74,Bangke,23,0),IF(VLOOKUP($A74,Bangke,24,0)=$AL$7,VLOOKUP($A74,Bangke,26,0),IF(VLOOKUP($A74,Bangke,27,0)=$AL$7,VLOOKUP($A74,Bangke,29,0),0)))))))))</f>
        <v/>
      </c>
      <c r="AM74" s="259">
        <f t="shared" si="39"/>
        <v>0</v>
      </c>
      <c r="AN74" s="110"/>
    </row>
    <row r="75" spans="1:40" s="23" customFormat="1" ht="15.75" hidden="1">
      <c r="A75" s="21" t="str">
        <f>IF($A$2="","",IF(MAX($A$9:A74)+1&gt;$A$2,"",MAX($A$9:A74)+1))</f>
        <v/>
      </c>
      <c r="B75" s="18" t="str">
        <f t="shared" si="45"/>
        <v/>
      </c>
      <c r="C75" s="19" t="str">
        <f t="shared" si="46"/>
        <v/>
      </c>
      <c r="D75" s="20" t="str">
        <f t="shared" si="47"/>
        <v/>
      </c>
      <c r="E75" s="77" t="str">
        <f t="shared" si="48"/>
        <v/>
      </c>
      <c r="F75" s="138" t="str">
        <f t="shared" si="49"/>
        <v/>
      </c>
      <c r="G75" s="138" t="str">
        <f t="shared" si="50"/>
        <v/>
      </c>
      <c r="H75" s="138" t="str">
        <f t="shared" si="51"/>
        <v/>
      </c>
      <c r="I75" s="138" t="str">
        <f t="shared" si="52"/>
        <v/>
      </c>
      <c r="J75" s="138" t="str">
        <f t="shared" si="53"/>
        <v/>
      </c>
      <c r="K75" s="138" t="str">
        <f t="shared" si="54"/>
        <v/>
      </c>
      <c r="L75" s="138" t="str">
        <f t="shared" si="55"/>
        <v/>
      </c>
      <c r="M75" s="138" t="str">
        <f t="shared" si="56"/>
        <v/>
      </c>
      <c r="N75" s="138" t="str">
        <f t="shared" si="57"/>
        <v/>
      </c>
      <c r="O75" s="138" t="str">
        <f t="shared" si="58"/>
        <v/>
      </c>
      <c r="P75" s="138" t="str">
        <f t="shared" si="59"/>
        <v/>
      </c>
      <c r="Q75" s="138" t="str">
        <f t="shared" si="60"/>
        <v/>
      </c>
      <c r="R75" s="138" t="str">
        <f t="shared" si="61"/>
        <v/>
      </c>
      <c r="S75" s="138" t="str">
        <f t="shared" si="62"/>
        <v/>
      </c>
      <c r="T75" s="138" t="str">
        <f t="shared" si="63"/>
        <v/>
      </c>
      <c r="U75" s="138" t="str">
        <f t="shared" si="64"/>
        <v/>
      </c>
      <c r="V75" s="138" t="str">
        <f t="shared" si="65"/>
        <v/>
      </c>
      <c r="W75" s="138" t="str">
        <f t="shared" si="66"/>
        <v/>
      </c>
      <c r="X75" s="138" t="str">
        <f t="shared" si="67"/>
        <v/>
      </c>
      <c r="Y75" s="138" t="str">
        <f t="shared" si="68"/>
        <v/>
      </c>
      <c r="Z75" s="138" t="str">
        <f t="shared" si="69"/>
        <v/>
      </c>
      <c r="AA75" s="138" t="str">
        <f t="shared" si="70"/>
        <v/>
      </c>
      <c r="AB75" s="138" t="str">
        <f t="shared" si="71"/>
        <v/>
      </c>
      <c r="AC75" s="138" t="str">
        <f t="shared" si="72"/>
        <v/>
      </c>
      <c r="AD75" s="138" t="str">
        <f t="shared" si="73"/>
        <v/>
      </c>
      <c r="AE75" s="138" t="str">
        <f t="shared" si="74"/>
        <v/>
      </c>
      <c r="AF75" s="138" t="str">
        <f t="shared" si="75"/>
        <v/>
      </c>
      <c r="AG75" s="138" t="str">
        <f t="shared" si="76"/>
        <v/>
      </c>
      <c r="AH75" s="138" t="str">
        <f t="shared" si="77"/>
        <v/>
      </c>
      <c r="AI75" s="138" t="str">
        <f t="shared" si="78"/>
        <v/>
      </c>
      <c r="AJ75" s="138" t="str">
        <f t="shared" si="79"/>
        <v/>
      </c>
      <c r="AK75" s="138" t="str">
        <f t="shared" si="80"/>
        <v/>
      </c>
      <c r="AL75" s="138" t="str">
        <f t="shared" si="81"/>
        <v/>
      </c>
      <c r="AM75" s="259">
        <f t="shared" ref="AM75:AM99" si="82">SUM(F75:AL75)</f>
        <v>0</v>
      </c>
      <c r="AN75" s="110"/>
    </row>
    <row r="76" spans="1:40" s="23" customFormat="1" ht="15.75" hidden="1">
      <c r="A76" s="21" t="str">
        <f>IF($A$2="","",IF(MAX($A$9:A75)+1&gt;$A$2,"",MAX($A$9:A75)+1))</f>
        <v/>
      </c>
      <c r="B76" s="18" t="str">
        <f t="shared" si="45"/>
        <v/>
      </c>
      <c r="C76" s="19" t="str">
        <f t="shared" si="46"/>
        <v/>
      </c>
      <c r="D76" s="20" t="str">
        <f t="shared" si="47"/>
        <v/>
      </c>
      <c r="E76" s="77" t="str">
        <f t="shared" si="48"/>
        <v/>
      </c>
      <c r="F76" s="138" t="str">
        <f t="shared" si="49"/>
        <v/>
      </c>
      <c r="G76" s="138" t="str">
        <f t="shared" si="50"/>
        <v/>
      </c>
      <c r="H76" s="138" t="str">
        <f t="shared" si="51"/>
        <v/>
      </c>
      <c r="I76" s="138" t="str">
        <f t="shared" si="52"/>
        <v/>
      </c>
      <c r="J76" s="138" t="str">
        <f t="shared" si="53"/>
        <v/>
      </c>
      <c r="K76" s="138" t="str">
        <f t="shared" si="54"/>
        <v/>
      </c>
      <c r="L76" s="138" t="str">
        <f t="shared" si="55"/>
        <v/>
      </c>
      <c r="M76" s="138" t="str">
        <f t="shared" si="56"/>
        <v/>
      </c>
      <c r="N76" s="138" t="str">
        <f t="shared" si="57"/>
        <v/>
      </c>
      <c r="O76" s="138" t="str">
        <f t="shared" si="58"/>
        <v/>
      </c>
      <c r="P76" s="138" t="str">
        <f t="shared" si="59"/>
        <v/>
      </c>
      <c r="Q76" s="138" t="str">
        <f t="shared" si="60"/>
        <v/>
      </c>
      <c r="R76" s="138" t="str">
        <f t="shared" si="61"/>
        <v/>
      </c>
      <c r="S76" s="138" t="str">
        <f t="shared" si="62"/>
        <v/>
      </c>
      <c r="T76" s="138" t="str">
        <f t="shared" si="63"/>
        <v/>
      </c>
      <c r="U76" s="138" t="str">
        <f t="shared" si="64"/>
        <v/>
      </c>
      <c r="V76" s="138" t="str">
        <f t="shared" si="65"/>
        <v/>
      </c>
      <c r="W76" s="138" t="str">
        <f t="shared" si="66"/>
        <v/>
      </c>
      <c r="X76" s="138" t="str">
        <f t="shared" si="67"/>
        <v/>
      </c>
      <c r="Y76" s="138" t="str">
        <f t="shared" si="68"/>
        <v/>
      </c>
      <c r="Z76" s="138" t="str">
        <f t="shared" si="69"/>
        <v/>
      </c>
      <c r="AA76" s="138" t="str">
        <f t="shared" si="70"/>
        <v/>
      </c>
      <c r="AB76" s="138" t="str">
        <f t="shared" si="71"/>
        <v/>
      </c>
      <c r="AC76" s="138" t="str">
        <f t="shared" si="72"/>
        <v/>
      </c>
      <c r="AD76" s="138" t="str">
        <f t="shared" si="73"/>
        <v/>
      </c>
      <c r="AE76" s="138" t="str">
        <f t="shared" si="74"/>
        <v/>
      </c>
      <c r="AF76" s="138" t="str">
        <f t="shared" si="75"/>
        <v/>
      </c>
      <c r="AG76" s="138" t="str">
        <f t="shared" si="76"/>
        <v/>
      </c>
      <c r="AH76" s="138" t="str">
        <f t="shared" si="77"/>
        <v/>
      </c>
      <c r="AI76" s="138" t="str">
        <f t="shared" si="78"/>
        <v/>
      </c>
      <c r="AJ76" s="138" t="str">
        <f t="shared" si="79"/>
        <v/>
      </c>
      <c r="AK76" s="138" t="str">
        <f t="shared" si="80"/>
        <v/>
      </c>
      <c r="AL76" s="138" t="str">
        <f t="shared" si="81"/>
        <v/>
      </c>
      <c r="AM76" s="259">
        <f t="shared" si="82"/>
        <v>0</v>
      </c>
      <c r="AN76" s="110"/>
    </row>
    <row r="77" spans="1:40" s="107" customFormat="1" ht="15.75" hidden="1">
      <c r="A77" s="105" t="str">
        <f>IF($A$2="","",IF(MAX($A$9:A76)+1&gt;$A$2,"",MAX($A$9:A76)+1))</f>
        <v/>
      </c>
      <c r="B77" s="18" t="str">
        <f t="shared" si="45"/>
        <v/>
      </c>
      <c r="C77" s="19" t="str">
        <f t="shared" si="46"/>
        <v/>
      </c>
      <c r="D77" s="20" t="str">
        <f t="shared" si="47"/>
        <v/>
      </c>
      <c r="E77" s="77" t="str">
        <f t="shared" si="48"/>
        <v/>
      </c>
      <c r="F77" s="138" t="str">
        <f t="shared" si="49"/>
        <v/>
      </c>
      <c r="G77" s="138" t="str">
        <f t="shared" si="50"/>
        <v/>
      </c>
      <c r="H77" s="138" t="str">
        <f t="shared" si="51"/>
        <v/>
      </c>
      <c r="I77" s="138" t="str">
        <f t="shared" si="52"/>
        <v/>
      </c>
      <c r="J77" s="138" t="str">
        <f t="shared" si="53"/>
        <v/>
      </c>
      <c r="K77" s="138" t="str">
        <f t="shared" si="54"/>
        <v/>
      </c>
      <c r="L77" s="138" t="str">
        <f t="shared" si="55"/>
        <v/>
      </c>
      <c r="M77" s="138" t="str">
        <f t="shared" si="56"/>
        <v/>
      </c>
      <c r="N77" s="138" t="str">
        <f t="shared" si="57"/>
        <v/>
      </c>
      <c r="O77" s="138" t="str">
        <f t="shared" si="58"/>
        <v/>
      </c>
      <c r="P77" s="138" t="str">
        <f t="shared" si="59"/>
        <v/>
      </c>
      <c r="Q77" s="138" t="str">
        <f t="shared" si="60"/>
        <v/>
      </c>
      <c r="R77" s="138" t="str">
        <f t="shared" si="61"/>
        <v/>
      </c>
      <c r="S77" s="138" t="str">
        <f t="shared" si="62"/>
        <v/>
      </c>
      <c r="T77" s="138" t="str">
        <f t="shared" si="63"/>
        <v/>
      </c>
      <c r="U77" s="138" t="str">
        <f t="shared" si="64"/>
        <v/>
      </c>
      <c r="V77" s="138" t="str">
        <f t="shared" si="65"/>
        <v/>
      </c>
      <c r="W77" s="138" t="str">
        <f t="shared" si="66"/>
        <v/>
      </c>
      <c r="X77" s="138" t="str">
        <f t="shared" si="67"/>
        <v/>
      </c>
      <c r="Y77" s="138" t="str">
        <f t="shared" si="68"/>
        <v/>
      </c>
      <c r="Z77" s="138" t="str">
        <f t="shared" si="69"/>
        <v/>
      </c>
      <c r="AA77" s="138" t="str">
        <f t="shared" si="70"/>
        <v/>
      </c>
      <c r="AB77" s="138" t="str">
        <f t="shared" si="71"/>
        <v/>
      </c>
      <c r="AC77" s="138" t="str">
        <f t="shared" si="72"/>
        <v/>
      </c>
      <c r="AD77" s="138" t="str">
        <f t="shared" si="73"/>
        <v/>
      </c>
      <c r="AE77" s="138" t="str">
        <f t="shared" si="74"/>
        <v/>
      </c>
      <c r="AF77" s="138" t="str">
        <f t="shared" si="75"/>
        <v/>
      </c>
      <c r="AG77" s="138" t="str">
        <f t="shared" si="76"/>
        <v/>
      </c>
      <c r="AH77" s="138" t="str">
        <f t="shared" si="77"/>
        <v/>
      </c>
      <c r="AI77" s="138" t="str">
        <f t="shared" si="78"/>
        <v/>
      </c>
      <c r="AJ77" s="138" t="str">
        <f t="shared" si="79"/>
        <v/>
      </c>
      <c r="AK77" s="138" t="str">
        <f t="shared" si="80"/>
        <v/>
      </c>
      <c r="AL77" s="138" t="str">
        <f t="shared" si="81"/>
        <v/>
      </c>
      <c r="AM77" s="259">
        <f t="shared" si="82"/>
        <v>0</v>
      </c>
      <c r="AN77" s="110"/>
    </row>
    <row r="78" spans="1:40" s="23" customFormat="1" ht="15.75" hidden="1">
      <c r="A78" s="21" t="str">
        <f>IF($A$2="","",IF(MAX($A$9:A77)+1&gt;$A$2,"",MAX($A$9:A77)+1))</f>
        <v/>
      </c>
      <c r="B78" s="18" t="str">
        <f t="shared" si="45"/>
        <v/>
      </c>
      <c r="C78" s="19" t="str">
        <f t="shared" si="46"/>
        <v/>
      </c>
      <c r="D78" s="20" t="str">
        <f t="shared" si="47"/>
        <v/>
      </c>
      <c r="E78" s="77" t="str">
        <f t="shared" si="48"/>
        <v/>
      </c>
      <c r="F78" s="138" t="str">
        <f t="shared" si="49"/>
        <v/>
      </c>
      <c r="G78" s="138" t="str">
        <f t="shared" si="50"/>
        <v/>
      </c>
      <c r="H78" s="138" t="str">
        <f t="shared" si="51"/>
        <v/>
      </c>
      <c r="I78" s="138" t="str">
        <f t="shared" si="52"/>
        <v/>
      </c>
      <c r="J78" s="138" t="str">
        <f t="shared" si="53"/>
        <v/>
      </c>
      <c r="K78" s="138" t="str">
        <f t="shared" si="54"/>
        <v/>
      </c>
      <c r="L78" s="138" t="str">
        <f t="shared" si="55"/>
        <v/>
      </c>
      <c r="M78" s="138" t="str">
        <f t="shared" si="56"/>
        <v/>
      </c>
      <c r="N78" s="138" t="str">
        <f t="shared" si="57"/>
        <v/>
      </c>
      <c r="O78" s="138" t="str">
        <f t="shared" si="58"/>
        <v/>
      </c>
      <c r="P78" s="138" t="str">
        <f t="shared" si="59"/>
        <v/>
      </c>
      <c r="Q78" s="138" t="str">
        <f t="shared" si="60"/>
        <v/>
      </c>
      <c r="R78" s="138" t="str">
        <f t="shared" si="61"/>
        <v/>
      </c>
      <c r="S78" s="138" t="str">
        <f t="shared" si="62"/>
        <v/>
      </c>
      <c r="T78" s="138" t="str">
        <f t="shared" si="63"/>
        <v/>
      </c>
      <c r="U78" s="138" t="str">
        <f t="shared" si="64"/>
        <v/>
      </c>
      <c r="V78" s="138" t="str">
        <f t="shared" si="65"/>
        <v/>
      </c>
      <c r="W78" s="138" t="str">
        <f t="shared" si="66"/>
        <v/>
      </c>
      <c r="X78" s="138" t="str">
        <f t="shared" si="67"/>
        <v/>
      </c>
      <c r="Y78" s="138" t="str">
        <f t="shared" si="68"/>
        <v/>
      </c>
      <c r="Z78" s="138" t="str">
        <f t="shared" si="69"/>
        <v/>
      </c>
      <c r="AA78" s="138" t="str">
        <f t="shared" si="70"/>
        <v/>
      </c>
      <c r="AB78" s="138" t="str">
        <f t="shared" si="71"/>
        <v/>
      </c>
      <c r="AC78" s="138" t="str">
        <f t="shared" si="72"/>
        <v/>
      </c>
      <c r="AD78" s="138" t="str">
        <f t="shared" si="73"/>
        <v/>
      </c>
      <c r="AE78" s="138" t="str">
        <f t="shared" si="74"/>
        <v/>
      </c>
      <c r="AF78" s="138" t="str">
        <f t="shared" si="75"/>
        <v/>
      </c>
      <c r="AG78" s="138" t="str">
        <f t="shared" si="76"/>
        <v/>
      </c>
      <c r="AH78" s="138" t="str">
        <f t="shared" si="77"/>
        <v/>
      </c>
      <c r="AI78" s="138" t="str">
        <f t="shared" si="78"/>
        <v/>
      </c>
      <c r="AJ78" s="138" t="str">
        <f t="shared" si="79"/>
        <v/>
      </c>
      <c r="AK78" s="138" t="str">
        <f t="shared" si="80"/>
        <v/>
      </c>
      <c r="AL78" s="138" t="str">
        <f t="shared" si="81"/>
        <v/>
      </c>
      <c r="AM78" s="259">
        <f t="shared" si="82"/>
        <v>0</v>
      </c>
      <c r="AN78" s="110"/>
    </row>
    <row r="79" spans="1:40" s="23" customFormat="1" ht="15.75" hidden="1">
      <c r="A79" s="21" t="str">
        <f>IF($A$2="","",IF(MAX($A$9:A78)+1&gt;$A$2,"",MAX($A$9:A78)+1))</f>
        <v/>
      </c>
      <c r="B79" s="18" t="str">
        <f t="shared" si="45"/>
        <v/>
      </c>
      <c r="C79" s="19" t="str">
        <f t="shared" si="46"/>
        <v/>
      </c>
      <c r="D79" s="20" t="str">
        <f t="shared" si="47"/>
        <v/>
      </c>
      <c r="E79" s="77" t="str">
        <f t="shared" si="48"/>
        <v/>
      </c>
      <c r="F79" s="138" t="str">
        <f t="shared" si="49"/>
        <v/>
      </c>
      <c r="G79" s="138" t="str">
        <f t="shared" si="50"/>
        <v/>
      </c>
      <c r="H79" s="138" t="str">
        <f t="shared" si="51"/>
        <v/>
      </c>
      <c r="I79" s="138" t="str">
        <f t="shared" si="52"/>
        <v/>
      </c>
      <c r="J79" s="138" t="str">
        <f t="shared" si="53"/>
        <v/>
      </c>
      <c r="K79" s="138" t="str">
        <f t="shared" si="54"/>
        <v/>
      </c>
      <c r="L79" s="138" t="str">
        <f t="shared" si="55"/>
        <v/>
      </c>
      <c r="M79" s="138" t="str">
        <f t="shared" si="56"/>
        <v/>
      </c>
      <c r="N79" s="138" t="str">
        <f t="shared" si="57"/>
        <v/>
      </c>
      <c r="O79" s="138" t="str">
        <f t="shared" si="58"/>
        <v/>
      </c>
      <c r="P79" s="138" t="str">
        <f t="shared" si="59"/>
        <v/>
      </c>
      <c r="Q79" s="138" t="str">
        <f t="shared" si="60"/>
        <v/>
      </c>
      <c r="R79" s="138" t="str">
        <f t="shared" si="61"/>
        <v/>
      </c>
      <c r="S79" s="138" t="str">
        <f t="shared" si="62"/>
        <v/>
      </c>
      <c r="T79" s="138" t="str">
        <f t="shared" si="63"/>
        <v/>
      </c>
      <c r="U79" s="138" t="str">
        <f t="shared" si="64"/>
        <v/>
      </c>
      <c r="V79" s="138" t="str">
        <f t="shared" si="65"/>
        <v/>
      </c>
      <c r="W79" s="138" t="str">
        <f t="shared" si="66"/>
        <v/>
      </c>
      <c r="X79" s="138" t="str">
        <f t="shared" si="67"/>
        <v/>
      </c>
      <c r="Y79" s="138" t="str">
        <f t="shared" si="68"/>
        <v/>
      </c>
      <c r="Z79" s="138" t="str">
        <f t="shared" si="69"/>
        <v/>
      </c>
      <c r="AA79" s="138" t="str">
        <f t="shared" si="70"/>
        <v/>
      </c>
      <c r="AB79" s="138" t="str">
        <f t="shared" si="71"/>
        <v/>
      </c>
      <c r="AC79" s="138" t="str">
        <f t="shared" si="72"/>
        <v/>
      </c>
      <c r="AD79" s="138" t="str">
        <f t="shared" si="73"/>
        <v/>
      </c>
      <c r="AE79" s="138" t="str">
        <f t="shared" si="74"/>
        <v/>
      </c>
      <c r="AF79" s="138" t="str">
        <f t="shared" si="75"/>
        <v/>
      </c>
      <c r="AG79" s="138" t="str">
        <f t="shared" si="76"/>
        <v/>
      </c>
      <c r="AH79" s="138" t="str">
        <f t="shared" si="77"/>
        <v/>
      </c>
      <c r="AI79" s="138" t="str">
        <f t="shared" si="78"/>
        <v/>
      </c>
      <c r="AJ79" s="138" t="str">
        <f t="shared" si="79"/>
        <v/>
      </c>
      <c r="AK79" s="138" t="str">
        <f t="shared" si="80"/>
        <v/>
      </c>
      <c r="AL79" s="138" t="str">
        <f t="shared" si="81"/>
        <v/>
      </c>
      <c r="AM79" s="259">
        <f t="shared" si="82"/>
        <v>0</v>
      </c>
      <c r="AN79" s="110"/>
    </row>
    <row r="80" spans="1:40" s="23" customFormat="1" ht="15.75" hidden="1">
      <c r="A80" s="21" t="str">
        <f>IF($A$2="","",IF(MAX($A$9:A79)+1&gt;$A$2,"",MAX($A$9:A79)+1))</f>
        <v/>
      </c>
      <c r="B80" s="18" t="str">
        <f t="shared" si="45"/>
        <v/>
      </c>
      <c r="C80" s="19" t="str">
        <f t="shared" si="46"/>
        <v/>
      </c>
      <c r="D80" s="20" t="str">
        <f t="shared" si="47"/>
        <v/>
      </c>
      <c r="E80" s="77" t="str">
        <f t="shared" si="48"/>
        <v/>
      </c>
      <c r="F80" s="138" t="str">
        <f t="shared" si="49"/>
        <v/>
      </c>
      <c r="G80" s="138" t="str">
        <f t="shared" si="50"/>
        <v/>
      </c>
      <c r="H80" s="138" t="str">
        <f t="shared" si="51"/>
        <v/>
      </c>
      <c r="I80" s="138" t="str">
        <f t="shared" si="52"/>
        <v/>
      </c>
      <c r="J80" s="138" t="str">
        <f t="shared" si="53"/>
        <v/>
      </c>
      <c r="K80" s="138" t="str">
        <f t="shared" si="54"/>
        <v/>
      </c>
      <c r="L80" s="138" t="str">
        <f t="shared" si="55"/>
        <v/>
      </c>
      <c r="M80" s="138" t="str">
        <f t="shared" si="56"/>
        <v/>
      </c>
      <c r="N80" s="138" t="str">
        <f t="shared" si="57"/>
        <v/>
      </c>
      <c r="O80" s="138" t="str">
        <f t="shared" si="58"/>
        <v/>
      </c>
      <c r="P80" s="138" t="str">
        <f t="shared" si="59"/>
        <v/>
      </c>
      <c r="Q80" s="138" t="str">
        <f t="shared" si="60"/>
        <v/>
      </c>
      <c r="R80" s="138" t="str">
        <f t="shared" si="61"/>
        <v/>
      </c>
      <c r="S80" s="138" t="str">
        <f t="shared" si="62"/>
        <v/>
      </c>
      <c r="T80" s="138" t="str">
        <f t="shared" si="63"/>
        <v/>
      </c>
      <c r="U80" s="138" t="str">
        <f t="shared" si="64"/>
        <v/>
      </c>
      <c r="V80" s="138" t="str">
        <f t="shared" si="65"/>
        <v/>
      </c>
      <c r="W80" s="138" t="str">
        <f t="shared" si="66"/>
        <v/>
      </c>
      <c r="X80" s="138" t="str">
        <f t="shared" si="67"/>
        <v/>
      </c>
      <c r="Y80" s="138" t="str">
        <f t="shared" si="68"/>
        <v/>
      </c>
      <c r="Z80" s="138" t="str">
        <f t="shared" si="69"/>
        <v/>
      </c>
      <c r="AA80" s="138" t="str">
        <f t="shared" si="70"/>
        <v/>
      </c>
      <c r="AB80" s="138" t="str">
        <f t="shared" si="71"/>
        <v/>
      </c>
      <c r="AC80" s="138" t="str">
        <f t="shared" si="72"/>
        <v/>
      </c>
      <c r="AD80" s="138" t="str">
        <f t="shared" si="73"/>
        <v/>
      </c>
      <c r="AE80" s="138" t="str">
        <f t="shared" si="74"/>
        <v/>
      </c>
      <c r="AF80" s="138" t="str">
        <f t="shared" si="75"/>
        <v/>
      </c>
      <c r="AG80" s="138" t="str">
        <f t="shared" si="76"/>
        <v/>
      </c>
      <c r="AH80" s="138" t="str">
        <f t="shared" si="77"/>
        <v/>
      </c>
      <c r="AI80" s="138" t="str">
        <f t="shared" si="78"/>
        <v/>
      </c>
      <c r="AJ80" s="138" t="str">
        <f t="shared" si="79"/>
        <v/>
      </c>
      <c r="AK80" s="138" t="str">
        <f t="shared" si="80"/>
        <v/>
      </c>
      <c r="AL80" s="138" t="str">
        <f t="shared" si="81"/>
        <v/>
      </c>
      <c r="AM80" s="259">
        <f t="shared" si="82"/>
        <v>0</v>
      </c>
      <c r="AN80" s="110"/>
    </row>
    <row r="81" spans="1:40" s="107" customFormat="1" ht="15.75" hidden="1">
      <c r="A81" s="105" t="str">
        <f>IF($A$2="","",IF(MAX($A$9:A80)+1&gt;$A$2,"",MAX($A$9:A80)+1))</f>
        <v/>
      </c>
      <c r="B81" s="18" t="str">
        <f t="shared" si="45"/>
        <v/>
      </c>
      <c r="C81" s="19" t="str">
        <f t="shared" si="46"/>
        <v/>
      </c>
      <c r="D81" s="20" t="str">
        <f t="shared" si="47"/>
        <v/>
      </c>
      <c r="E81" s="77" t="str">
        <f t="shared" si="48"/>
        <v/>
      </c>
      <c r="F81" s="138" t="str">
        <f t="shared" si="49"/>
        <v/>
      </c>
      <c r="G81" s="138" t="str">
        <f t="shared" si="50"/>
        <v/>
      </c>
      <c r="H81" s="138" t="str">
        <f t="shared" si="51"/>
        <v/>
      </c>
      <c r="I81" s="138" t="str">
        <f t="shared" si="52"/>
        <v/>
      </c>
      <c r="J81" s="138" t="str">
        <f t="shared" si="53"/>
        <v/>
      </c>
      <c r="K81" s="138" t="str">
        <f t="shared" si="54"/>
        <v/>
      </c>
      <c r="L81" s="138" t="str">
        <f t="shared" si="55"/>
        <v/>
      </c>
      <c r="M81" s="138" t="str">
        <f t="shared" si="56"/>
        <v/>
      </c>
      <c r="N81" s="138" t="str">
        <f t="shared" si="57"/>
        <v/>
      </c>
      <c r="O81" s="138" t="str">
        <f t="shared" si="58"/>
        <v/>
      </c>
      <c r="P81" s="138" t="str">
        <f t="shared" si="59"/>
        <v/>
      </c>
      <c r="Q81" s="138" t="str">
        <f t="shared" si="60"/>
        <v/>
      </c>
      <c r="R81" s="138" t="str">
        <f t="shared" si="61"/>
        <v/>
      </c>
      <c r="S81" s="138" t="str">
        <f t="shared" si="62"/>
        <v/>
      </c>
      <c r="T81" s="138" t="str">
        <f t="shared" si="63"/>
        <v/>
      </c>
      <c r="U81" s="138" t="str">
        <f t="shared" si="64"/>
        <v/>
      </c>
      <c r="V81" s="138" t="str">
        <f t="shared" si="65"/>
        <v/>
      </c>
      <c r="W81" s="138" t="str">
        <f t="shared" si="66"/>
        <v/>
      </c>
      <c r="X81" s="138" t="str">
        <f t="shared" si="67"/>
        <v/>
      </c>
      <c r="Y81" s="138" t="str">
        <f t="shared" si="68"/>
        <v/>
      </c>
      <c r="Z81" s="138" t="str">
        <f t="shared" si="69"/>
        <v/>
      </c>
      <c r="AA81" s="138" t="str">
        <f t="shared" si="70"/>
        <v/>
      </c>
      <c r="AB81" s="138" t="str">
        <f t="shared" si="71"/>
        <v/>
      </c>
      <c r="AC81" s="138" t="str">
        <f t="shared" si="72"/>
        <v/>
      </c>
      <c r="AD81" s="138" t="str">
        <f t="shared" si="73"/>
        <v/>
      </c>
      <c r="AE81" s="138" t="str">
        <f t="shared" si="74"/>
        <v/>
      </c>
      <c r="AF81" s="138" t="str">
        <f t="shared" si="75"/>
        <v/>
      </c>
      <c r="AG81" s="138" t="str">
        <f t="shared" si="76"/>
        <v/>
      </c>
      <c r="AH81" s="138" t="str">
        <f t="shared" si="77"/>
        <v/>
      </c>
      <c r="AI81" s="138" t="str">
        <f t="shared" si="78"/>
        <v/>
      </c>
      <c r="AJ81" s="138" t="str">
        <f t="shared" si="79"/>
        <v/>
      </c>
      <c r="AK81" s="138" t="str">
        <f t="shared" si="80"/>
        <v/>
      </c>
      <c r="AL81" s="138" t="str">
        <f t="shared" si="81"/>
        <v/>
      </c>
      <c r="AM81" s="259">
        <f t="shared" si="82"/>
        <v>0</v>
      </c>
      <c r="AN81" s="110"/>
    </row>
    <row r="82" spans="1:40" s="23" customFormat="1" ht="15.75" hidden="1">
      <c r="A82" s="21" t="str">
        <f>IF($A$2="","",IF(MAX($A$9:A81)+1&gt;$A$2,"",MAX($A$9:A81)+1))</f>
        <v/>
      </c>
      <c r="B82" s="18" t="str">
        <f t="shared" si="45"/>
        <v/>
      </c>
      <c r="C82" s="19" t="str">
        <f t="shared" si="46"/>
        <v/>
      </c>
      <c r="D82" s="20" t="str">
        <f t="shared" si="47"/>
        <v/>
      </c>
      <c r="E82" s="77" t="str">
        <f t="shared" si="48"/>
        <v/>
      </c>
      <c r="F82" s="138" t="str">
        <f t="shared" si="49"/>
        <v/>
      </c>
      <c r="G82" s="138" t="str">
        <f t="shared" si="50"/>
        <v/>
      </c>
      <c r="H82" s="138" t="str">
        <f t="shared" si="51"/>
        <v/>
      </c>
      <c r="I82" s="138" t="str">
        <f t="shared" si="52"/>
        <v/>
      </c>
      <c r="J82" s="138" t="str">
        <f t="shared" si="53"/>
        <v/>
      </c>
      <c r="K82" s="138" t="str">
        <f t="shared" si="54"/>
        <v/>
      </c>
      <c r="L82" s="138" t="str">
        <f t="shared" si="55"/>
        <v/>
      </c>
      <c r="M82" s="138" t="str">
        <f t="shared" si="56"/>
        <v/>
      </c>
      <c r="N82" s="138" t="str">
        <f t="shared" si="57"/>
        <v/>
      </c>
      <c r="O82" s="138" t="str">
        <f t="shared" si="58"/>
        <v/>
      </c>
      <c r="P82" s="138" t="str">
        <f t="shared" si="59"/>
        <v/>
      </c>
      <c r="Q82" s="138" t="str">
        <f t="shared" si="60"/>
        <v/>
      </c>
      <c r="R82" s="138" t="str">
        <f t="shared" si="61"/>
        <v/>
      </c>
      <c r="S82" s="138" t="str">
        <f t="shared" si="62"/>
        <v/>
      </c>
      <c r="T82" s="138" t="str">
        <f t="shared" si="63"/>
        <v/>
      </c>
      <c r="U82" s="138" t="str">
        <f t="shared" si="64"/>
        <v/>
      </c>
      <c r="V82" s="138" t="str">
        <f t="shared" si="65"/>
        <v/>
      </c>
      <c r="W82" s="138" t="str">
        <f t="shared" si="66"/>
        <v/>
      </c>
      <c r="X82" s="138" t="str">
        <f t="shared" si="67"/>
        <v/>
      </c>
      <c r="Y82" s="138" t="str">
        <f t="shared" si="68"/>
        <v/>
      </c>
      <c r="Z82" s="138" t="str">
        <f t="shared" si="69"/>
        <v/>
      </c>
      <c r="AA82" s="138" t="str">
        <f t="shared" si="70"/>
        <v/>
      </c>
      <c r="AB82" s="138" t="str">
        <f t="shared" si="71"/>
        <v/>
      </c>
      <c r="AC82" s="138" t="str">
        <f t="shared" si="72"/>
        <v/>
      </c>
      <c r="AD82" s="138" t="str">
        <f t="shared" si="73"/>
        <v/>
      </c>
      <c r="AE82" s="138" t="str">
        <f t="shared" si="74"/>
        <v/>
      </c>
      <c r="AF82" s="138" t="str">
        <f t="shared" si="75"/>
        <v/>
      </c>
      <c r="AG82" s="138" t="str">
        <f t="shared" si="76"/>
        <v/>
      </c>
      <c r="AH82" s="138" t="str">
        <f t="shared" si="77"/>
        <v/>
      </c>
      <c r="AI82" s="138" t="str">
        <f t="shared" si="78"/>
        <v/>
      </c>
      <c r="AJ82" s="138" t="str">
        <f t="shared" si="79"/>
        <v/>
      </c>
      <c r="AK82" s="138" t="str">
        <f t="shared" si="80"/>
        <v/>
      </c>
      <c r="AL82" s="138" t="str">
        <f t="shared" si="81"/>
        <v/>
      </c>
      <c r="AM82" s="259">
        <f t="shared" si="82"/>
        <v>0</v>
      </c>
      <c r="AN82" s="110"/>
    </row>
    <row r="83" spans="1:40" s="23" customFormat="1" ht="15.75" hidden="1">
      <c r="A83" s="21" t="str">
        <f>IF($A$2="","",IF(MAX($A$9:A82)+1&gt;$A$2,"",MAX($A$9:A82)+1))</f>
        <v/>
      </c>
      <c r="B83" s="18" t="str">
        <f t="shared" si="45"/>
        <v/>
      </c>
      <c r="C83" s="19" t="str">
        <f t="shared" si="46"/>
        <v/>
      </c>
      <c r="D83" s="20" t="str">
        <f t="shared" si="47"/>
        <v/>
      </c>
      <c r="E83" s="77" t="str">
        <f t="shared" si="48"/>
        <v/>
      </c>
      <c r="F83" s="138" t="str">
        <f t="shared" si="49"/>
        <v/>
      </c>
      <c r="G83" s="138" t="str">
        <f t="shared" si="50"/>
        <v/>
      </c>
      <c r="H83" s="138" t="str">
        <f t="shared" si="51"/>
        <v/>
      </c>
      <c r="I83" s="138" t="str">
        <f t="shared" si="52"/>
        <v/>
      </c>
      <c r="J83" s="138" t="str">
        <f t="shared" si="53"/>
        <v/>
      </c>
      <c r="K83" s="138" t="str">
        <f t="shared" si="54"/>
        <v/>
      </c>
      <c r="L83" s="138" t="str">
        <f t="shared" si="55"/>
        <v/>
      </c>
      <c r="M83" s="138" t="str">
        <f t="shared" si="56"/>
        <v/>
      </c>
      <c r="N83" s="138" t="str">
        <f t="shared" si="57"/>
        <v/>
      </c>
      <c r="O83" s="138" t="str">
        <f t="shared" si="58"/>
        <v/>
      </c>
      <c r="P83" s="138" t="str">
        <f t="shared" si="59"/>
        <v/>
      </c>
      <c r="Q83" s="138" t="str">
        <f t="shared" si="60"/>
        <v/>
      </c>
      <c r="R83" s="138" t="str">
        <f t="shared" si="61"/>
        <v/>
      </c>
      <c r="S83" s="138" t="str">
        <f t="shared" si="62"/>
        <v/>
      </c>
      <c r="T83" s="138" t="str">
        <f t="shared" si="63"/>
        <v/>
      </c>
      <c r="U83" s="138" t="str">
        <f t="shared" si="64"/>
        <v/>
      </c>
      <c r="V83" s="138" t="str">
        <f t="shared" si="65"/>
        <v/>
      </c>
      <c r="W83" s="138" t="str">
        <f t="shared" si="66"/>
        <v/>
      </c>
      <c r="X83" s="138" t="str">
        <f t="shared" si="67"/>
        <v/>
      </c>
      <c r="Y83" s="138" t="str">
        <f t="shared" si="68"/>
        <v/>
      </c>
      <c r="Z83" s="138" t="str">
        <f t="shared" si="69"/>
        <v/>
      </c>
      <c r="AA83" s="138" t="str">
        <f t="shared" si="70"/>
        <v/>
      </c>
      <c r="AB83" s="138" t="str">
        <f t="shared" si="71"/>
        <v/>
      </c>
      <c r="AC83" s="138" t="str">
        <f t="shared" si="72"/>
        <v/>
      </c>
      <c r="AD83" s="138" t="str">
        <f t="shared" si="73"/>
        <v/>
      </c>
      <c r="AE83" s="138" t="str">
        <f t="shared" si="74"/>
        <v/>
      </c>
      <c r="AF83" s="138" t="str">
        <f t="shared" si="75"/>
        <v/>
      </c>
      <c r="AG83" s="138" t="str">
        <f t="shared" si="76"/>
        <v/>
      </c>
      <c r="AH83" s="138" t="str">
        <f t="shared" si="77"/>
        <v/>
      </c>
      <c r="AI83" s="138" t="str">
        <f t="shared" si="78"/>
        <v/>
      </c>
      <c r="AJ83" s="138" t="str">
        <f t="shared" si="79"/>
        <v/>
      </c>
      <c r="AK83" s="138" t="str">
        <f t="shared" si="80"/>
        <v/>
      </c>
      <c r="AL83" s="138" t="str">
        <f t="shared" si="81"/>
        <v/>
      </c>
      <c r="AM83" s="259">
        <f t="shared" si="82"/>
        <v>0</v>
      </c>
      <c r="AN83" s="110"/>
    </row>
    <row r="84" spans="1:40" s="23" customFormat="1" ht="15.75" hidden="1">
      <c r="A84" s="21" t="str">
        <f>IF($A$2="","",IF(MAX($A$9:A83)+1&gt;$A$2,"",MAX($A$9:A83)+1))</f>
        <v/>
      </c>
      <c r="B84" s="18" t="str">
        <f t="shared" si="45"/>
        <v/>
      </c>
      <c r="C84" s="19" t="str">
        <f t="shared" si="46"/>
        <v/>
      </c>
      <c r="D84" s="20" t="str">
        <f t="shared" si="47"/>
        <v/>
      </c>
      <c r="E84" s="77" t="str">
        <f t="shared" si="48"/>
        <v/>
      </c>
      <c r="F84" s="138" t="str">
        <f t="shared" si="49"/>
        <v/>
      </c>
      <c r="G84" s="138" t="str">
        <f t="shared" si="50"/>
        <v/>
      </c>
      <c r="H84" s="138" t="str">
        <f t="shared" si="51"/>
        <v/>
      </c>
      <c r="I84" s="138" t="str">
        <f t="shared" si="52"/>
        <v/>
      </c>
      <c r="J84" s="138" t="str">
        <f t="shared" si="53"/>
        <v/>
      </c>
      <c r="K84" s="138" t="str">
        <f t="shared" si="54"/>
        <v/>
      </c>
      <c r="L84" s="138" t="str">
        <f t="shared" si="55"/>
        <v/>
      </c>
      <c r="M84" s="138" t="str">
        <f t="shared" si="56"/>
        <v/>
      </c>
      <c r="N84" s="138" t="str">
        <f t="shared" si="57"/>
        <v/>
      </c>
      <c r="O84" s="138" t="str">
        <f t="shared" si="58"/>
        <v/>
      </c>
      <c r="P84" s="138" t="str">
        <f t="shared" si="59"/>
        <v/>
      </c>
      <c r="Q84" s="138" t="str">
        <f t="shared" si="60"/>
        <v/>
      </c>
      <c r="R84" s="138" t="str">
        <f t="shared" si="61"/>
        <v/>
      </c>
      <c r="S84" s="138" t="str">
        <f t="shared" si="62"/>
        <v/>
      </c>
      <c r="T84" s="138" t="str">
        <f t="shared" si="63"/>
        <v/>
      </c>
      <c r="U84" s="138" t="str">
        <f t="shared" si="64"/>
        <v/>
      </c>
      <c r="V84" s="138" t="str">
        <f t="shared" si="65"/>
        <v/>
      </c>
      <c r="W84" s="138" t="str">
        <f t="shared" si="66"/>
        <v/>
      </c>
      <c r="X84" s="138" t="str">
        <f t="shared" si="67"/>
        <v/>
      </c>
      <c r="Y84" s="138" t="str">
        <f t="shared" si="68"/>
        <v/>
      </c>
      <c r="Z84" s="138" t="str">
        <f t="shared" si="69"/>
        <v/>
      </c>
      <c r="AA84" s="138" t="str">
        <f t="shared" si="70"/>
        <v/>
      </c>
      <c r="AB84" s="138" t="str">
        <f t="shared" si="71"/>
        <v/>
      </c>
      <c r="AC84" s="138" t="str">
        <f t="shared" si="72"/>
        <v/>
      </c>
      <c r="AD84" s="138" t="str">
        <f t="shared" si="73"/>
        <v/>
      </c>
      <c r="AE84" s="138" t="str">
        <f t="shared" si="74"/>
        <v/>
      </c>
      <c r="AF84" s="138" t="str">
        <f t="shared" si="75"/>
        <v/>
      </c>
      <c r="AG84" s="138" t="str">
        <f t="shared" si="76"/>
        <v/>
      </c>
      <c r="AH84" s="138" t="str">
        <f t="shared" si="77"/>
        <v/>
      </c>
      <c r="AI84" s="138" t="str">
        <f t="shared" si="78"/>
        <v/>
      </c>
      <c r="AJ84" s="138" t="str">
        <f t="shared" si="79"/>
        <v/>
      </c>
      <c r="AK84" s="138" t="str">
        <f t="shared" si="80"/>
        <v/>
      </c>
      <c r="AL84" s="138" t="str">
        <f t="shared" si="81"/>
        <v/>
      </c>
      <c r="AM84" s="259">
        <f t="shared" si="82"/>
        <v>0</v>
      </c>
      <c r="AN84" s="110"/>
    </row>
    <row r="85" spans="1:40" s="23" customFormat="1" ht="15.75" hidden="1">
      <c r="A85" s="21" t="str">
        <f>IF($A$2="","",IF(MAX($A$9:A84)+1&gt;$A$2,"",MAX($A$9:A84)+1))</f>
        <v/>
      </c>
      <c r="B85" s="18" t="str">
        <f t="shared" si="45"/>
        <v/>
      </c>
      <c r="C85" s="19" t="str">
        <f t="shared" si="46"/>
        <v/>
      </c>
      <c r="D85" s="20" t="str">
        <f t="shared" si="47"/>
        <v/>
      </c>
      <c r="E85" s="77" t="str">
        <f t="shared" si="48"/>
        <v/>
      </c>
      <c r="F85" s="138" t="str">
        <f t="shared" si="49"/>
        <v/>
      </c>
      <c r="G85" s="138" t="str">
        <f t="shared" si="50"/>
        <v/>
      </c>
      <c r="H85" s="138" t="str">
        <f t="shared" si="51"/>
        <v/>
      </c>
      <c r="I85" s="138" t="str">
        <f t="shared" si="52"/>
        <v/>
      </c>
      <c r="J85" s="138" t="str">
        <f t="shared" si="53"/>
        <v/>
      </c>
      <c r="K85" s="138" t="str">
        <f t="shared" si="54"/>
        <v/>
      </c>
      <c r="L85" s="138" t="str">
        <f t="shared" si="55"/>
        <v/>
      </c>
      <c r="M85" s="138" t="str">
        <f t="shared" si="56"/>
        <v/>
      </c>
      <c r="N85" s="138" t="str">
        <f t="shared" si="57"/>
        <v/>
      </c>
      <c r="O85" s="138" t="str">
        <f t="shared" si="58"/>
        <v/>
      </c>
      <c r="P85" s="138" t="str">
        <f t="shared" si="59"/>
        <v/>
      </c>
      <c r="Q85" s="138" t="str">
        <f t="shared" si="60"/>
        <v/>
      </c>
      <c r="R85" s="138" t="str">
        <f t="shared" si="61"/>
        <v/>
      </c>
      <c r="S85" s="138" t="str">
        <f t="shared" si="62"/>
        <v/>
      </c>
      <c r="T85" s="138" t="str">
        <f t="shared" si="63"/>
        <v/>
      </c>
      <c r="U85" s="138" t="str">
        <f t="shared" si="64"/>
        <v/>
      </c>
      <c r="V85" s="138" t="str">
        <f t="shared" si="65"/>
        <v/>
      </c>
      <c r="W85" s="138" t="str">
        <f t="shared" si="66"/>
        <v/>
      </c>
      <c r="X85" s="138" t="str">
        <f t="shared" si="67"/>
        <v/>
      </c>
      <c r="Y85" s="138" t="str">
        <f t="shared" si="68"/>
        <v/>
      </c>
      <c r="Z85" s="138" t="str">
        <f t="shared" si="69"/>
        <v/>
      </c>
      <c r="AA85" s="138" t="str">
        <f t="shared" si="70"/>
        <v/>
      </c>
      <c r="AB85" s="138" t="str">
        <f t="shared" si="71"/>
        <v/>
      </c>
      <c r="AC85" s="138" t="str">
        <f t="shared" si="72"/>
        <v/>
      </c>
      <c r="AD85" s="138" t="str">
        <f t="shared" si="73"/>
        <v/>
      </c>
      <c r="AE85" s="138" t="str">
        <f t="shared" si="74"/>
        <v/>
      </c>
      <c r="AF85" s="138" t="str">
        <f t="shared" si="75"/>
        <v/>
      </c>
      <c r="AG85" s="138" t="str">
        <f t="shared" si="76"/>
        <v/>
      </c>
      <c r="AH85" s="138" t="str">
        <f t="shared" si="77"/>
        <v/>
      </c>
      <c r="AI85" s="138" t="str">
        <f t="shared" si="78"/>
        <v/>
      </c>
      <c r="AJ85" s="138" t="str">
        <f t="shared" si="79"/>
        <v/>
      </c>
      <c r="AK85" s="138" t="str">
        <f t="shared" si="80"/>
        <v/>
      </c>
      <c r="AL85" s="138" t="str">
        <f t="shared" si="81"/>
        <v/>
      </c>
      <c r="AM85" s="259">
        <f t="shared" si="82"/>
        <v>0</v>
      </c>
      <c r="AN85" s="110"/>
    </row>
    <row r="86" spans="1:40" s="23" customFormat="1" ht="15.75" hidden="1">
      <c r="A86" s="21" t="str">
        <f>IF($A$2="","",IF(MAX($A$9:A85)+1&gt;$A$2,"",MAX($A$9:A85)+1))</f>
        <v/>
      </c>
      <c r="B86" s="18" t="str">
        <f t="shared" si="45"/>
        <v/>
      </c>
      <c r="C86" s="19" t="str">
        <f t="shared" si="46"/>
        <v/>
      </c>
      <c r="D86" s="20" t="str">
        <f t="shared" si="47"/>
        <v/>
      </c>
      <c r="E86" s="77" t="str">
        <f t="shared" si="48"/>
        <v/>
      </c>
      <c r="F86" s="138" t="str">
        <f t="shared" si="49"/>
        <v/>
      </c>
      <c r="G86" s="138" t="str">
        <f t="shared" si="50"/>
        <v/>
      </c>
      <c r="H86" s="138" t="str">
        <f t="shared" si="51"/>
        <v/>
      </c>
      <c r="I86" s="138" t="str">
        <f t="shared" si="52"/>
        <v/>
      </c>
      <c r="J86" s="138" t="str">
        <f t="shared" si="53"/>
        <v/>
      </c>
      <c r="K86" s="138" t="str">
        <f t="shared" si="54"/>
        <v/>
      </c>
      <c r="L86" s="138" t="str">
        <f t="shared" si="55"/>
        <v/>
      </c>
      <c r="M86" s="138" t="str">
        <f t="shared" si="56"/>
        <v/>
      </c>
      <c r="N86" s="138" t="str">
        <f t="shared" si="57"/>
        <v/>
      </c>
      <c r="O86" s="138" t="str">
        <f t="shared" si="58"/>
        <v/>
      </c>
      <c r="P86" s="138" t="str">
        <f t="shared" si="59"/>
        <v/>
      </c>
      <c r="Q86" s="138" t="str">
        <f t="shared" si="60"/>
        <v/>
      </c>
      <c r="R86" s="138" t="str">
        <f t="shared" si="61"/>
        <v/>
      </c>
      <c r="S86" s="138" t="str">
        <f t="shared" si="62"/>
        <v/>
      </c>
      <c r="T86" s="138" t="str">
        <f t="shared" si="63"/>
        <v/>
      </c>
      <c r="U86" s="138" t="str">
        <f t="shared" si="64"/>
        <v/>
      </c>
      <c r="V86" s="138" t="str">
        <f t="shared" si="65"/>
        <v/>
      </c>
      <c r="W86" s="138" t="str">
        <f t="shared" si="66"/>
        <v/>
      </c>
      <c r="X86" s="138" t="str">
        <f t="shared" si="67"/>
        <v/>
      </c>
      <c r="Y86" s="138" t="str">
        <f t="shared" si="68"/>
        <v/>
      </c>
      <c r="Z86" s="138" t="str">
        <f t="shared" si="69"/>
        <v/>
      </c>
      <c r="AA86" s="138" t="str">
        <f t="shared" si="70"/>
        <v/>
      </c>
      <c r="AB86" s="138" t="str">
        <f t="shared" si="71"/>
        <v/>
      </c>
      <c r="AC86" s="138" t="str">
        <f t="shared" si="72"/>
        <v/>
      </c>
      <c r="AD86" s="138" t="str">
        <f t="shared" si="73"/>
        <v/>
      </c>
      <c r="AE86" s="138" t="str">
        <f t="shared" si="74"/>
        <v/>
      </c>
      <c r="AF86" s="138" t="str">
        <f t="shared" si="75"/>
        <v/>
      </c>
      <c r="AG86" s="138" t="str">
        <f t="shared" si="76"/>
        <v/>
      </c>
      <c r="AH86" s="138" t="str">
        <f t="shared" si="77"/>
        <v/>
      </c>
      <c r="AI86" s="138" t="str">
        <f t="shared" si="78"/>
        <v/>
      </c>
      <c r="AJ86" s="138" t="str">
        <f t="shared" si="79"/>
        <v/>
      </c>
      <c r="AK86" s="138" t="str">
        <f t="shared" si="80"/>
        <v/>
      </c>
      <c r="AL86" s="138" t="str">
        <f t="shared" si="81"/>
        <v/>
      </c>
      <c r="AM86" s="259">
        <f t="shared" si="82"/>
        <v>0</v>
      </c>
      <c r="AN86" s="110"/>
    </row>
    <row r="87" spans="1:40" s="23" customFormat="1" ht="15.75" hidden="1">
      <c r="A87" s="21" t="str">
        <f>IF($A$2="","",IF(MAX($A$9:A86)+1&gt;$A$2,"",MAX($A$9:A86)+1))</f>
        <v/>
      </c>
      <c r="B87" s="18" t="str">
        <f t="shared" si="45"/>
        <v/>
      </c>
      <c r="C87" s="19" t="str">
        <f t="shared" si="46"/>
        <v/>
      </c>
      <c r="D87" s="20" t="str">
        <f t="shared" si="47"/>
        <v/>
      </c>
      <c r="E87" s="77" t="str">
        <f t="shared" si="48"/>
        <v/>
      </c>
      <c r="F87" s="138" t="str">
        <f t="shared" si="49"/>
        <v/>
      </c>
      <c r="G87" s="138" t="str">
        <f t="shared" si="50"/>
        <v/>
      </c>
      <c r="H87" s="138" t="str">
        <f t="shared" si="51"/>
        <v/>
      </c>
      <c r="I87" s="138" t="str">
        <f t="shared" si="52"/>
        <v/>
      </c>
      <c r="J87" s="138" t="str">
        <f t="shared" si="53"/>
        <v/>
      </c>
      <c r="K87" s="138" t="str">
        <f t="shared" si="54"/>
        <v/>
      </c>
      <c r="L87" s="138" t="str">
        <f t="shared" si="55"/>
        <v/>
      </c>
      <c r="M87" s="138" t="str">
        <f t="shared" si="56"/>
        <v/>
      </c>
      <c r="N87" s="138" t="str">
        <f t="shared" si="57"/>
        <v/>
      </c>
      <c r="O87" s="138" t="str">
        <f t="shared" si="58"/>
        <v/>
      </c>
      <c r="P87" s="138" t="str">
        <f t="shared" si="59"/>
        <v/>
      </c>
      <c r="Q87" s="138" t="str">
        <f t="shared" si="60"/>
        <v/>
      </c>
      <c r="R87" s="138" t="str">
        <f t="shared" si="61"/>
        <v/>
      </c>
      <c r="S87" s="138" t="str">
        <f t="shared" si="62"/>
        <v/>
      </c>
      <c r="T87" s="138" t="str">
        <f t="shared" si="63"/>
        <v/>
      </c>
      <c r="U87" s="138" t="str">
        <f t="shared" si="64"/>
        <v/>
      </c>
      <c r="V87" s="138" t="str">
        <f t="shared" si="65"/>
        <v/>
      </c>
      <c r="W87" s="138" t="str">
        <f t="shared" si="66"/>
        <v/>
      </c>
      <c r="X87" s="138" t="str">
        <f t="shared" si="67"/>
        <v/>
      </c>
      <c r="Y87" s="138" t="str">
        <f t="shared" si="68"/>
        <v/>
      </c>
      <c r="Z87" s="138" t="str">
        <f t="shared" si="69"/>
        <v/>
      </c>
      <c r="AA87" s="138" t="str">
        <f t="shared" si="70"/>
        <v/>
      </c>
      <c r="AB87" s="138" t="str">
        <f t="shared" si="71"/>
        <v/>
      </c>
      <c r="AC87" s="138" t="str">
        <f t="shared" si="72"/>
        <v/>
      </c>
      <c r="AD87" s="138" t="str">
        <f t="shared" si="73"/>
        <v/>
      </c>
      <c r="AE87" s="138" t="str">
        <f t="shared" si="74"/>
        <v/>
      </c>
      <c r="AF87" s="138" t="str">
        <f t="shared" si="75"/>
        <v/>
      </c>
      <c r="AG87" s="138" t="str">
        <f t="shared" si="76"/>
        <v/>
      </c>
      <c r="AH87" s="138" t="str">
        <f t="shared" si="77"/>
        <v/>
      </c>
      <c r="AI87" s="138" t="str">
        <f t="shared" si="78"/>
        <v/>
      </c>
      <c r="AJ87" s="138" t="str">
        <f t="shared" si="79"/>
        <v/>
      </c>
      <c r="AK87" s="138" t="str">
        <f t="shared" si="80"/>
        <v/>
      </c>
      <c r="AL87" s="138" t="str">
        <f t="shared" si="81"/>
        <v/>
      </c>
      <c r="AM87" s="259">
        <f t="shared" si="82"/>
        <v>0</v>
      </c>
      <c r="AN87" s="110"/>
    </row>
    <row r="88" spans="1:40" s="23" customFormat="1" ht="15.75" hidden="1">
      <c r="A88" s="21" t="str">
        <f>IF($A$2="","",IF(MAX($A$9:A87)+1&gt;$A$2,"",MAX($A$9:A87)+1))</f>
        <v/>
      </c>
      <c r="B88" s="18" t="str">
        <f t="shared" si="45"/>
        <v/>
      </c>
      <c r="C88" s="19" t="str">
        <f t="shared" si="46"/>
        <v/>
      </c>
      <c r="D88" s="20" t="str">
        <f t="shared" si="47"/>
        <v/>
      </c>
      <c r="E88" s="77" t="str">
        <f t="shared" si="48"/>
        <v/>
      </c>
      <c r="F88" s="138" t="str">
        <f t="shared" si="49"/>
        <v/>
      </c>
      <c r="G88" s="138" t="str">
        <f t="shared" si="50"/>
        <v/>
      </c>
      <c r="H88" s="138" t="str">
        <f t="shared" si="51"/>
        <v/>
      </c>
      <c r="I88" s="138" t="str">
        <f t="shared" si="52"/>
        <v/>
      </c>
      <c r="J88" s="138" t="str">
        <f t="shared" si="53"/>
        <v/>
      </c>
      <c r="K88" s="138" t="str">
        <f t="shared" si="54"/>
        <v/>
      </c>
      <c r="L88" s="138" t="str">
        <f t="shared" si="55"/>
        <v/>
      </c>
      <c r="M88" s="138" t="str">
        <f t="shared" si="56"/>
        <v/>
      </c>
      <c r="N88" s="138" t="str">
        <f t="shared" si="57"/>
        <v/>
      </c>
      <c r="O88" s="138" t="str">
        <f t="shared" si="58"/>
        <v/>
      </c>
      <c r="P88" s="138" t="str">
        <f t="shared" si="59"/>
        <v/>
      </c>
      <c r="Q88" s="138" t="str">
        <f t="shared" si="60"/>
        <v/>
      </c>
      <c r="R88" s="138" t="str">
        <f t="shared" si="61"/>
        <v/>
      </c>
      <c r="S88" s="138" t="str">
        <f t="shared" si="62"/>
        <v/>
      </c>
      <c r="T88" s="138" t="str">
        <f t="shared" si="63"/>
        <v/>
      </c>
      <c r="U88" s="138" t="str">
        <f t="shared" si="64"/>
        <v/>
      </c>
      <c r="V88" s="138" t="str">
        <f t="shared" si="65"/>
        <v/>
      </c>
      <c r="W88" s="138" t="str">
        <f t="shared" si="66"/>
        <v/>
      </c>
      <c r="X88" s="138" t="str">
        <f t="shared" si="67"/>
        <v/>
      </c>
      <c r="Y88" s="138" t="str">
        <f t="shared" si="68"/>
        <v/>
      </c>
      <c r="Z88" s="138" t="str">
        <f t="shared" si="69"/>
        <v/>
      </c>
      <c r="AA88" s="138" t="str">
        <f t="shared" si="70"/>
        <v/>
      </c>
      <c r="AB88" s="138" t="str">
        <f t="shared" si="71"/>
        <v/>
      </c>
      <c r="AC88" s="138" t="str">
        <f t="shared" si="72"/>
        <v/>
      </c>
      <c r="AD88" s="138" t="str">
        <f t="shared" si="73"/>
        <v/>
      </c>
      <c r="AE88" s="138" t="str">
        <f t="shared" si="74"/>
        <v/>
      </c>
      <c r="AF88" s="138" t="str">
        <f t="shared" si="75"/>
        <v/>
      </c>
      <c r="AG88" s="138" t="str">
        <f t="shared" si="76"/>
        <v/>
      </c>
      <c r="AH88" s="138" t="str">
        <f t="shared" si="77"/>
        <v/>
      </c>
      <c r="AI88" s="138" t="str">
        <f t="shared" si="78"/>
        <v/>
      </c>
      <c r="AJ88" s="138" t="str">
        <f t="shared" si="79"/>
        <v/>
      </c>
      <c r="AK88" s="138" t="str">
        <f t="shared" si="80"/>
        <v/>
      </c>
      <c r="AL88" s="138" t="str">
        <f t="shared" si="81"/>
        <v/>
      </c>
      <c r="AM88" s="259">
        <f t="shared" si="82"/>
        <v>0</v>
      </c>
      <c r="AN88" s="110"/>
    </row>
    <row r="89" spans="1:40" s="23" customFormat="1" ht="15.75" hidden="1">
      <c r="A89" s="21" t="str">
        <f>IF($A$2="","",IF(MAX($A$9:A88)+1&gt;$A$2,"",MAX($A$9:A88)+1))</f>
        <v/>
      </c>
      <c r="B89" s="18" t="str">
        <f t="shared" si="45"/>
        <v/>
      </c>
      <c r="C89" s="19" t="str">
        <f t="shared" si="46"/>
        <v/>
      </c>
      <c r="D89" s="20" t="str">
        <f t="shared" si="47"/>
        <v/>
      </c>
      <c r="E89" s="77" t="str">
        <f t="shared" si="48"/>
        <v/>
      </c>
      <c r="F89" s="138" t="str">
        <f t="shared" si="49"/>
        <v/>
      </c>
      <c r="G89" s="138" t="str">
        <f t="shared" si="50"/>
        <v/>
      </c>
      <c r="H89" s="138" t="str">
        <f t="shared" si="51"/>
        <v/>
      </c>
      <c r="I89" s="138" t="str">
        <f t="shared" si="52"/>
        <v/>
      </c>
      <c r="J89" s="138" t="str">
        <f t="shared" si="53"/>
        <v/>
      </c>
      <c r="K89" s="138" t="str">
        <f t="shared" si="54"/>
        <v/>
      </c>
      <c r="L89" s="138" t="str">
        <f t="shared" si="55"/>
        <v/>
      </c>
      <c r="M89" s="138" t="str">
        <f t="shared" si="56"/>
        <v/>
      </c>
      <c r="N89" s="138" t="str">
        <f t="shared" si="57"/>
        <v/>
      </c>
      <c r="O89" s="138" t="str">
        <f t="shared" si="58"/>
        <v/>
      </c>
      <c r="P89" s="138" t="str">
        <f t="shared" si="59"/>
        <v/>
      </c>
      <c r="Q89" s="138" t="str">
        <f t="shared" si="60"/>
        <v/>
      </c>
      <c r="R89" s="138" t="str">
        <f t="shared" si="61"/>
        <v/>
      </c>
      <c r="S89" s="138" t="str">
        <f t="shared" si="62"/>
        <v/>
      </c>
      <c r="T89" s="138" t="str">
        <f t="shared" si="63"/>
        <v/>
      </c>
      <c r="U89" s="138" t="str">
        <f t="shared" si="64"/>
        <v/>
      </c>
      <c r="V89" s="138" t="str">
        <f t="shared" si="65"/>
        <v/>
      </c>
      <c r="W89" s="138" t="str">
        <f t="shared" si="66"/>
        <v/>
      </c>
      <c r="X89" s="138" t="str">
        <f t="shared" si="67"/>
        <v/>
      </c>
      <c r="Y89" s="138" t="str">
        <f t="shared" si="68"/>
        <v/>
      </c>
      <c r="Z89" s="138" t="str">
        <f t="shared" si="69"/>
        <v/>
      </c>
      <c r="AA89" s="138" t="str">
        <f t="shared" si="70"/>
        <v/>
      </c>
      <c r="AB89" s="138" t="str">
        <f t="shared" si="71"/>
        <v/>
      </c>
      <c r="AC89" s="138" t="str">
        <f t="shared" si="72"/>
        <v/>
      </c>
      <c r="AD89" s="138" t="str">
        <f t="shared" si="73"/>
        <v/>
      </c>
      <c r="AE89" s="138" t="str">
        <f t="shared" si="74"/>
        <v/>
      </c>
      <c r="AF89" s="138" t="str">
        <f t="shared" si="75"/>
        <v/>
      </c>
      <c r="AG89" s="138" t="str">
        <f t="shared" si="76"/>
        <v/>
      </c>
      <c r="AH89" s="138" t="str">
        <f t="shared" si="77"/>
        <v/>
      </c>
      <c r="AI89" s="138" t="str">
        <f t="shared" si="78"/>
        <v/>
      </c>
      <c r="AJ89" s="138" t="str">
        <f t="shared" si="79"/>
        <v/>
      </c>
      <c r="AK89" s="138" t="str">
        <f t="shared" si="80"/>
        <v/>
      </c>
      <c r="AL89" s="138" t="str">
        <f t="shared" si="81"/>
        <v/>
      </c>
      <c r="AM89" s="259">
        <f t="shared" si="82"/>
        <v>0</v>
      </c>
      <c r="AN89" s="110"/>
    </row>
    <row r="90" spans="1:40" s="23" customFormat="1" ht="15.75" hidden="1">
      <c r="A90" s="21" t="str">
        <f>IF($A$2="","",IF(MAX($A$9:A89)+1&gt;$A$2,"",MAX($A$9:A89)+1))</f>
        <v/>
      </c>
      <c r="B90" s="18" t="str">
        <f t="shared" si="45"/>
        <v/>
      </c>
      <c r="C90" s="19" t="str">
        <f t="shared" si="46"/>
        <v/>
      </c>
      <c r="D90" s="20" t="str">
        <f t="shared" si="47"/>
        <v/>
      </c>
      <c r="E90" s="77" t="str">
        <f t="shared" si="48"/>
        <v/>
      </c>
      <c r="F90" s="138" t="str">
        <f t="shared" si="49"/>
        <v/>
      </c>
      <c r="G90" s="138" t="str">
        <f t="shared" si="50"/>
        <v/>
      </c>
      <c r="H90" s="138" t="str">
        <f t="shared" si="51"/>
        <v/>
      </c>
      <c r="I90" s="138" t="str">
        <f t="shared" si="52"/>
        <v/>
      </c>
      <c r="J90" s="138" t="str">
        <f t="shared" si="53"/>
        <v/>
      </c>
      <c r="K90" s="138" t="str">
        <f t="shared" si="54"/>
        <v/>
      </c>
      <c r="L90" s="138" t="str">
        <f t="shared" si="55"/>
        <v/>
      </c>
      <c r="M90" s="138" t="str">
        <f t="shared" si="56"/>
        <v/>
      </c>
      <c r="N90" s="138" t="str">
        <f t="shared" si="57"/>
        <v/>
      </c>
      <c r="O90" s="138" t="str">
        <f t="shared" si="58"/>
        <v/>
      </c>
      <c r="P90" s="138" t="str">
        <f t="shared" si="59"/>
        <v/>
      </c>
      <c r="Q90" s="138" t="str">
        <f t="shared" si="60"/>
        <v/>
      </c>
      <c r="R90" s="138" t="str">
        <f t="shared" si="61"/>
        <v/>
      </c>
      <c r="S90" s="138" t="str">
        <f t="shared" si="62"/>
        <v/>
      </c>
      <c r="T90" s="138" t="str">
        <f t="shared" si="63"/>
        <v/>
      </c>
      <c r="U90" s="138" t="str">
        <f t="shared" si="64"/>
        <v/>
      </c>
      <c r="V90" s="138" t="str">
        <f t="shared" si="65"/>
        <v/>
      </c>
      <c r="W90" s="138" t="str">
        <f t="shared" si="66"/>
        <v/>
      </c>
      <c r="X90" s="138" t="str">
        <f t="shared" si="67"/>
        <v/>
      </c>
      <c r="Y90" s="138" t="str">
        <f t="shared" si="68"/>
        <v/>
      </c>
      <c r="Z90" s="138" t="str">
        <f t="shared" si="69"/>
        <v/>
      </c>
      <c r="AA90" s="138" t="str">
        <f t="shared" si="70"/>
        <v/>
      </c>
      <c r="AB90" s="138" t="str">
        <f t="shared" si="71"/>
        <v/>
      </c>
      <c r="AC90" s="138" t="str">
        <f t="shared" si="72"/>
        <v/>
      </c>
      <c r="AD90" s="138" t="str">
        <f t="shared" si="73"/>
        <v/>
      </c>
      <c r="AE90" s="138" t="str">
        <f t="shared" si="74"/>
        <v/>
      </c>
      <c r="AF90" s="138" t="str">
        <f t="shared" si="75"/>
        <v/>
      </c>
      <c r="AG90" s="138" t="str">
        <f t="shared" si="76"/>
        <v/>
      </c>
      <c r="AH90" s="138" t="str">
        <f t="shared" si="77"/>
        <v/>
      </c>
      <c r="AI90" s="138" t="str">
        <f t="shared" si="78"/>
        <v/>
      </c>
      <c r="AJ90" s="138" t="str">
        <f t="shared" si="79"/>
        <v/>
      </c>
      <c r="AK90" s="138" t="str">
        <f t="shared" si="80"/>
        <v/>
      </c>
      <c r="AL90" s="138" t="str">
        <f t="shared" si="81"/>
        <v/>
      </c>
      <c r="AM90" s="259">
        <f t="shared" si="82"/>
        <v>0</v>
      </c>
      <c r="AN90" s="110"/>
    </row>
    <row r="91" spans="1:40" s="23" customFormat="1" ht="15.75" hidden="1">
      <c r="A91" s="21" t="str">
        <f>IF($A$2="","",IF(MAX($A$9:A90)+1&gt;$A$2,"",MAX($A$9:A90)+1))</f>
        <v/>
      </c>
      <c r="B91" s="18" t="str">
        <f t="shared" si="45"/>
        <v/>
      </c>
      <c r="C91" s="19" t="str">
        <f t="shared" si="46"/>
        <v/>
      </c>
      <c r="D91" s="20" t="str">
        <f t="shared" si="47"/>
        <v/>
      </c>
      <c r="E91" s="77" t="str">
        <f t="shared" si="48"/>
        <v/>
      </c>
      <c r="F91" s="138" t="str">
        <f t="shared" si="49"/>
        <v/>
      </c>
      <c r="G91" s="138" t="str">
        <f t="shared" si="50"/>
        <v/>
      </c>
      <c r="H91" s="138" t="str">
        <f t="shared" si="51"/>
        <v/>
      </c>
      <c r="I91" s="138" t="str">
        <f t="shared" si="52"/>
        <v/>
      </c>
      <c r="J91" s="138" t="str">
        <f t="shared" si="53"/>
        <v/>
      </c>
      <c r="K91" s="138" t="str">
        <f t="shared" si="54"/>
        <v/>
      </c>
      <c r="L91" s="138" t="str">
        <f t="shared" si="55"/>
        <v/>
      </c>
      <c r="M91" s="138" t="str">
        <f t="shared" si="56"/>
        <v/>
      </c>
      <c r="N91" s="138" t="str">
        <f t="shared" si="57"/>
        <v/>
      </c>
      <c r="O91" s="138" t="str">
        <f t="shared" si="58"/>
        <v/>
      </c>
      <c r="P91" s="138" t="str">
        <f t="shared" si="59"/>
        <v/>
      </c>
      <c r="Q91" s="138" t="str">
        <f t="shared" si="60"/>
        <v/>
      </c>
      <c r="R91" s="138" t="str">
        <f t="shared" si="61"/>
        <v/>
      </c>
      <c r="S91" s="138" t="str">
        <f t="shared" si="62"/>
        <v/>
      </c>
      <c r="T91" s="138" t="str">
        <f t="shared" si="63"/>
        <v/>
      </c>
      <c r="U91" s="138" t="str">
        <f t="shared" si="64"/>
        <v/>
      </c>
      <c r="V91" s="138" t="str">
        <f t="shared" si="65"/>
        <v/>
      </c>
      <c r="W91" s="138" t="str">
        <f t="shared" si="66"/>
        <v/>
      </c>
      <c r="X91" s="138" t="str">
        <f t="shared" si="67"/>
        <v/>
      </c>
      <c r="Y91" s="138" t="str">
        <f t="shared" si="68"/>
        <v/>
      </c>
      <c r="Z91" s="138" t="str">
        <f t="shared" si="69"/>
        <v/>
      </c>
      <c r="AA91" s="138" t="str">
        <f t="shared" si="70"/>
        <v/>
      </c>
      <c r="AB91" s="138" t="str">
        <f t="shared" si="71"/>
        <v/>
      </c>
      <c r="AC91" s="138" t="str">
        <f t="shared" si="72"/>
        <v/>
      </c>
      <c r="AD91" s="138" t="str">
        <f t="shared" si="73"/>
        <v/>
      </c>
      <c r="AE91" s="138" t="str">
        <f t="shared" si="74"/>
        <v/>
      </c>
      <c r="AF91" s="138" t="str">
        <f t="shared" si="75"/>
        <v/>
      </c>
      <c r="AG91" s="138" t="str">
        <f t="shared" si="76"/>
        <v/>
      </c>
      <c r="AH91" s="138" t="str">
        <f t="shared" si="77"/>
        <v/>
      </c>
      <c r="AI91" s="138" t="str">
        <f t="shared" si="78"/>
        <v/>
      </c>
      <c r="AJ91" s="138" t="str">
        <f t="shared" si="79"/>
        <v/>
      </c>
      <c r="AK91" s="138" t="str">
        <f t="shared" si="80"/>
        <v/>
      </c>
      <c r="AL91" s="138" t="str">
        <f t="shared" si="81"/>
        <v/>
      </c>
      <c r="AM91" s="259">
        <f t="shared" si="82"/>
        <v>0</v>
      </c>
      <c r="AN91" s="110"/>
    </row>
    <row r="92" spans="1:40" s="23" customFormat="1" ht="15.75" hidden="1">
      <c r="A92" s="21" t="str">
        <f>IF($A$2="","",IF(MAX($A$9:A91)+1&gt;$A$2,"",MAX($A$9:A91)+1))</f>
        <v/>
      </c>
      <c r="B92" s="18" t="str">
        <f t="shared" si="45"/>
        <v/>
      </c>
      <c r="C92" s="19" t="str">
        <f t="shared" si="46"/>
        <v/>
      </c>
      <c r="D92" s="20" t="str">
        <f t="shared" si="47"/>
        <v/>
      </c>
      <c r="E92" s="77" t="str">
        <f t="shared" si="48"/>
        <v/>
      </c>
      <c r="F92" s="138" t="str">
        <f t="shared" si="49"/>
        <v/>
      </c>
      <c r="G92" s="138" t="str">
        <f t="shared" si="50"/>
        <v/>
      </c>
      <c r="H92" s="138" t="str">
        <f t="shared" si="51"/>
        <v/>
      </c>
      <c r="I92" s="138" t="str">
        <f t="shared" si="52"/>
        <v/>
      </c>
      <c r="J92" s="138" t="str">
        <f t="shared" si="53"/>
        <v/>
      </c>
      <c r="K92" s="138" t="str">
        <f t="shared" si="54"/>
        <v/>
      </c>
      <c r="L92" s="138" t="str">
        <f t="shared" si="55"/>
        <v/>
      </c>
      <c r="M92" s="138" t="str">
        <f t="shared" si="56"/>
        <v/>
      </c>
      <c r="N92" s="138" t="str">
        <f t="shared" si="57"/>
        <v/>
      </c>
      <c r="O92" s="138" t="str">
        <f t="shared" si="58"/>
        <v/>
      </c>
      <c r="P92" s="138" t="str">
        <f t="shared" si="59"/>
        <v/>
      </c>
      <c r="Q92" s="138" t="str">
        <f t="shared" si="60"/>
        <v/>
      </c>
      <c r="R92" s="138" t="str">
        <f t="shared" si="61"/>
        <v/>
      </c>
      <c r="S92" s="138" t="str">
        <f t="shared" si="62"/>
        <v/>
      </c>
      <c r="T92" s="138" t="str">
        <f t="shared" si="63"/>
        <v/>
      </c>
      <c r="U92" s="138" t="str">
        <f t="shared" si="64"/>
        <v/>
      </c>
      <c r="V92" s="138" t="str">
        <f t="shared" si="65"/>
        <v/>
      </c>
      <c r="W92" s="138" t="str">
        <f t="shared" si="66"/>
        <v/>
      </c>
      <c r="X92" s="138" t="str">
        <f t="shared" si="67"/>
        <v/>
      </c>
      <c r="Y92" s="138" t="str">
        <f t="shared" si="68"/>
        <v/>
      </c>
      <c r="Z92" s="138" t="str">
        <f t="shared" si="69"/>
        <v/>
      </c>
      <c r="AA92" s="138" t="str">
        <f t="shared" si="70"/>
        <v/>
      </c>
      <c r="AB92" s="138" t="str">
        <f t="shared" si="71"/>
        <v/>
      </c>
      <c r="AC92" s="138" t="str">
        <f t="shared" si="72"/>
        <v/>
      </c>
      <c r="AD92" s="138" t="str">
        <f t="shared" si="73"/>
        <v/>
      </c>
      <c r="AE92" s="138" t="str">
        <f t="shared" si="74"/>
        <v/>
      </c>
      <c r="AF92" s="138" t="str">
        <f t="shared" si="75"/>
        <v/>
      </c>
      <c r="AG92" s="138" t="str">
        <f t="shared" si="76"/>
        <v/>
      </c>
      <c r="AH92" s="138" t="str">
        <f t="shared" si="77"/>
        <v/>
      </c>
      <c r="AI92" s="138" t="str">
        <f t="shared" si="78"/>
        <v/>
      </c>
      <c r="AJ92" s="138" t="str">
        <f t="shared" si="79"/>
        <v/>
      </c>
      <c r="AK92" s="138" t="str">
        <f t="shared" si="80"/>
        <v/>
      </c>
      <c r="AL92" s="138" t="str">
        <f t="shared" si="81"/>
        <v/>
      </c>
      <c r="AM92" s="259">
        <f t="shared" si="82"/>
        <v>0</v>
      </c>
      <c r="AN92" s="110"/>
    </row>
    <row r="93" spans="1:40" s="107" customFormat="1" ht="15.75" hidden="1">
      <c r="A93" s="105" t="str">
        <f>IF($A$2="","",IF(MAX($A$9:A92)+1&gt;$A$2,"",MAX($A$9:A92)+1))</f>
        <v/>
      </c>
      <c r="B93" s="18" t="str">
        <f t="shared" si="45"/>
        <v/>
      </c>
      <c r="C93" s="19" t="str">
        <f t="shared" si="46"/>
        <v/>
      </c>
      <c r="D93" s="20" t="str">
        <f t="shared" si="47"/>
        <v/>
      </c>
      <c r="E93" s="77" t="str">
        <f t="shared" si="48"/>
        <v/>
      </c>
      <c r="F93" s="138" t="str">
        <f t="shared" si="49"/>
        <v/>
      </c>
      <c r="G93" s="138" t="str">
        <f t="shared" si="50"/>
        <v/>
      </c>
      <c r="H93" s="138" t="str">
        <f t="shared" si="51"/>
        <v/>
      </c>
      <c r="I93" s="138" t="str">
        <f t="shared" si="52"/>
        <v/>
      </c>
      <c r="J93" s="138" t="str">
        <f t="shared" si="53"/>
        <v/>
      </c>
      <c r="K93" s="138" t="str">
        <f t="shared" si="54"/>
        <v/>
      </c>
      <c r="L93" s="138" t="str">
        <f t="shared" si="55"/>
        <v/>
      </c>
      <c r="M93" s="138" t="str">
        <f t="shared" si="56"/>
        <v/>
      </c>
      <c r="N93" s="138" t="str">
        <f t="shared" si="57"/>
        <v/>
      </c>
      <c r="O93" s="138" t="str">
        <f t="shared" si="58"/>
        <v/>
      </c>
      <c r="P93" s="138" t="str">
        <f t="shared" si="59"/>
        <v/>
      </c>
      <c r="Q93" s="138" t="str">
        <f t="shared" si="60"/>
        <v/>
      </c>
      <c r="R93" s="138" t="str">
        <f t="shared" si="61"/>
        <v/>
      </c>
      <c r="S93" s="138" t="str">
        <f t="shared" si="62"/>
        <v/>
      </c>
      <c r="T93" s="138" t="str">
        <f t="shared" si="63"/>
        <v/>
      </c>
      <c r="U93" s="138" t="str">
        <f t="shared" si="64"/>
        <v/>
      </c>
      <c r="V93" s="138" t="str">
        <f t="shared" si="65"/>
        <v/>
      </c>
      <c r="W93" s="138" t="str">
        <f t="shared" si="66"/>
        <v/>
      </c>
      <c r="X93" s="138" t="str">
        <f t="shared" si="67"/>
        <v/>
      </c>
      <c r="Y93" s="138" t="str">
        <f t="shared" si="68"/>
        <v/>
      </c>
      <c r="Z93" s="138" t="str">
        <f t="shared" si="69"/>
        <v/>
      </c>
      <c r="AA93" s="138" t="str">
        <f t="shared" si="70"/>
        <v/>
      </c>
      <c r="AB93" s="138" t="str">
        <f t="shared" si="71"/>
        <v/>
      </c>
      <c r="AC93" s="138" t="str">
        <f t="shared" si="72"/>
        <v/>
      </c>
      <c r="AD93" s="138" t="str">
        <f t="shared" si="73"/>
        <v/>
      </c>
      <c r="AE93" s="138" t="str">
        <f t="shared" si="74"/>
        <v/>
      </c>
      <c r="AF93" s="138" t="str">
        <f t="shared" si="75"/>
        <v/>
      </c>
      <c r="AG93" s="138" t="str">
        <f t="shared" si="76"/>
        <v/>
      </c>
      <c r="AH93" s="138" t="str">
        <f t="shared" si="77"/>
        <v/>
      </c>
      <c r="AI93" s="138" t="str">
        <f t="shared" si="78"/>
        <v/>
      </c>
      <c r="AJ93" s="138" t="str">
        <f t="shared" si="79"/>
        <v/>
      </c>
      <c r="AK93" s="138" t="str">
        <f t="shared" si="80"/>
        <v/>
      </c>
      <c r="AL93" s="138" t="str">
        <f t="shared" si="81"/>
        <v/>
      </c>
      <c r="AM93" s="259">
        <f t="shared" si="82"/>
        <v>0</v>
      </c>
      <c r="AN93" s="110"/>
    </row>
    <row r="94" spans="1:40" s="23" customFormat="1" ht="15.75" hidden="1">
      <c r="A94" s="21" t="str">
        <f>IF($A$2="","",IF(MAX($A$9:A93)+1&gt;$A$2,"",MAX($A$9:A93)+1))</f>
        <v/>
      </c>
      <c r="B94" s="18" t="str">
        <f t="shared" si="45"/>
        <v/>
      </c>
      <c r="C94" s="19" t="str">
        <f t="shared" si="46"/>
        <v/>
      </c>
      <c r="D94" s="20" t="str">
        <f t="shared" si="47"/>
        <v/>
      </c>
      <c r="E94" s="77" t="str">
        <f t="shared" si="48"/>
        <v/>
      </c>
      <c r="F94" s="138" t="str">
        <f t="shared" si="49"/>
        <v/>
      </c>
      <c r="G94" s="138" t="str">
        <f t="shared" si="50"/>
        <v/>
      </c>
      <c r="H94" s="138" t="str">
        <f t="shared" si="51"/>
        <v/>
      </c>
      <c r="I94" s="138" t="str">
        <f t="shared" si="52"/>
        <v/>
      </c>
      <c r="J94" s="138" t="str">
        <f t="shared" si="53"/>
        <v/>
      </c>
      <c r="K94" s="138" t="str">
        <f t="shared" si="54"/>
        <v/>
      </c>
      <c r="L94" s="138" t="str">
        <f t="shared" si="55"/>
        <v/>
      </c>
      <c r="M94" s="138" t="str">
        <f t="shared" si="56"/>
        <v/>
      </c>
      <c r="N94" s="138" t="str">
        <f t="shared" si="57"/>
        <v/>
      </c>
      <c r="O94" s="138" t="str">
        <f t="shared" si="58"/>
        <v/>
      </c>
      <c r="P94" s="138" t="str">
        <f t="shared" si="59"/>
        <v/>
      </c>
      <c r="Q94" s="138" t="str">
        <f t="shared" si="60"/>
        <v/>
      </c>
      <c r="R94" s="138" t="str">
        <f t="shared" si="61"/>
        <v/>
      </c>
      <c r="S94" s="138" t="str">
        <f t="shared" si="62"/>
        <v/>
      </c>
      <c r="T94" s="138" t="str">
        <f t="shared" si="63"/>
        <v/>
      </c>
      <c r="U94" s="138" t="str">
        <f t="shared" si="64"/>
        <v/>
      </c>
      <c r="V94" s="138" t="str">
        <f t="shared" si="65"/>
        <v/>
      </c>
      <c r="W94" s="138" t="str">
        <f t="shared" si="66"/>
        <v/>
      </c>
      <c r="X94" s="138" t="str">
        <f t="shared" si="67"/>
        <v/>
      </c>
      <c r="Y94" s="138" t="str">
        <f t="shared" si="68"/>
        <v/>
      </c>
      <c r="Z94" s="138" t="str">
        <f t="shared" si="69"/>
        <v/>
      </c>
      <c r="AA94" s="138" t="str">
        <f t="shared" si="70"/>
        <v/>
      </c>
      <c r="AB94" s="138" t="str">
        <f t="shared" si="71"/>
        <v/>
      </c>
      <c r="AC94" s="138" t="str">
        <f t="shared" si="72"/>
        <v/>
      </c>
      <c r="AD94" s="138" t="str">
        <f t="shared" si="73"/>
        <v/>
      </c>
      <c r="AE94" s="138" t="str">
        <f t="shared" si="74"/>
        <v/>
      </c>
      <c r="AF94" s="138" t="str">
        <f t="shared" si="75"/>
        <v/>
      </c>
      <c r="AG94" s="138" t="str">
        <f t="shared" si="76"/>
        <v/>
      </c>
      <c r="AH94" s="138" t="str">
        <f t="shared" si="77"/>
        <v/>
      </c>
      <c r="AI94" s="138" t="str">
        <f t="shared" si="78"/>
        <v/>
      </c>
      <c r="AJ94" s="138" t="str">
        <f t="shared" si="79"/>
        <v/>
      </c>
      <c r="AK94" s="138" t="str">
        <f t="shared" si="80"/>
        <v/>
      </c>
      <c r="AL94" s="138" t="str">
        <f t="shared" si="81"/>
        <v/>
      </c>
      <c r="AM94" s="259">
        <f t="shared" si="82"/>
        <v>0</v>
      </c>
      <c r="AN94" s="110"/>
    </row>
    <row r="95" spans="1:40" s="23" customFormat="1" ht="15.75" hidden="1">
      <c r="A95" s="21" t="str">
        <f>IF($A$2="","",IF(MAX($A$9:A94)+1&gt;$A$2,"",MAX($A$9:A94)+1))</f>
        <v/>
      </c>
      <c r="B95" s="18" t="str">
        <f t="shared" si="45"/>
        <v/>
      </c>
      <c r="C95" s="19" t="str">
        <f t="shared" si="46"/>
        <v/>
      </c>
      <c r="D95" s="20" t="str">
        <f t="shared" si="47"/>
        <v/>
      </c>
      <c r="E95" s="77" t="str">
        <f t="shared" si="48"/>
        <v/>
      </c>
      <c r="F95" s="138" t="str">
        <f t="shared" si="49"/>
        <v/>
      </c>
      <c r="G95" s="138" t="str">
        <f t="shared" si="50"/>
        <v/>
      </c>
      <c r="H95" s="138" t="str">
        <f t="shared" si="51"/>
        <v/>
      </c>
      <c r="I95" s="138" t="str">
        <f t="shared" si="52"/>
        <v/>
      </c>
      <c r="J95" s="138" t="str">
        <f t="shared" si="53"/>
        <v/>
      </c>
      <c r="K95" s="138" t="str">
        <f t="shared" si="54"/>
        <v/>
      </c>
      <c r="L95" s="138" t="str">
        <f t="shared" si="55"/>
        <v/>
      </c>
      <c r="M95" s="138" t="str">
        <f t="shared" si="56"/>
        <v/>
      </c>
      <c r="N95" s="138" t="str">
        <f t="shared" si="57"/>
        <v/>
      </c>
      <c r="O95" s="138" t="str">
        <f t="shared" si="58"/>
        <v/>
      </c>
      <c r="P95" s="138" t="str">
        <f t="shared" si="59"/>
        <v/>
      </c>
      <c r="Q95" s="138" t="str">
        <f t="shared" si="60"/>
        <v/>
      </c>
      <c r="R95" s="138" t="str">
        <f t="shared" si="61"/>
        <v/>
      </c>
      <c r="S95" s="138" t="str">
        <f t="shared" si="62"/>
        <v/>
      </c>
      <c r="T95" s="138" t="str">
        <f t="shared" si="63"/>
        <v/>
      </c>
      <c r="U95" s="138" t="str">
        <f t="shared" si="64"/>
        <v/>
      </c>
      <c r="V95" s="138" t="str">
        <f t="shared" si="65"/>
        <v/>
      </c>
      <c r="W95" s="138" t="str">
        <f t="shared" si="66"/>
        <v/>
      </c>
      <c r="X95" s="138" t="str">
        <f t="shared" si="67"/>
        <v/>
      </c>
      <c r="Y95" s="138" t="str">
        <f t="shared" si="68"/>
        <v/>
      </c>
      <c r="Z95" s="138" t="str">
        <f t="shared" si="69"/>
        <v/>
      </c>
      <c r="AA95" s="138" t="str">
        <f t="shared" si="70"/>
        <v/>
      </c>
      <c r="AB95" s="138" t="str">
        <f t="shared" si="71"/>
        <v/>
      </c>
      <c r="AC95" s="138" t="str">
        <f t="shared" si="72"/>
        <v/>
      </c>
      <c r="AD95" s="138" t="str">
        <f t="shared" si="73"/>
        <v/>
      </c>
      <c r="AE95" s="138" t="str">
        <f t="shared" si="74"/>
        <v/>
      </c>
      <c r="AF95" s="138" t="str">
        <f t="shared" si="75"/>
        <v/>
      </c>
      <c r="AG95" s="138" t="str">
        <f t="shared" si="76"/>
        <v/>
      </c>
      <c r="AH95" s="138" t="str">
        <f t="shared" si="77"/>
        <v/>
      </c>
      <c r="AI95" s="138" t="str">
        <f t="shared" si="78"/>
        <v/>
      </c>
      <c r="AJ95" s="138" t="str">
        <f t="shared" si="79"/>
        <v/>
      </c>
      <c r="AK95" s="138" t="str">
        <f t="shared" si="80"/>
        <v/>
      </c>
      <c r="AL95" s="138" t="str">
        <f t="shared" si="81"/>
        <v/>
      </c>
      <c r="AM95" s="259">
        <f t="shared" si="82"/>
        <v>0</v>
      </c>
      <c r="AN95" s="110"/>
    </row>
    <row r="96" spans="1:40" s="23" customFormat="1" ht="15.75" hidden="1">
      <c r="A96" s="21" t="str">
        <f>IF($A$2="","",IF(MAX($A$9:A95)+1&gt;$A$2,"",MAX($A$9:A95)+1))</f>
        <v/>
      </c>
      <c r="B96" s="18" t="str">
        <f t="shared" si="45"/>
        <v/>
      </c>
      <c r="C96" s="19" t="str">
        <f t="shared" si="46"/>
        <v/>
      </c>
      <c r="D96" s="20" t="str">
        <f t="shared" si="47"/>
        <v/>
      </c>
      <c r="E96" s="77" t="str">
        <f t="shared" si="48"/>
        <v/>
      </c>
      <c r="F96" s="138" t="str">
        <f t="shared" si="49"/>
        <v/>
      </c>
      <c r="G96" s="138" t="str">
        <f t="shared" si="50"/>
        <v/>
      </c>
      <c r="H96" s="138" t="str">
        <f t="shared" si="51"/>
        <v/>
      </c>
      <c r="I96" s="138" t="str">
        <f t="shared" si="52"/>
        <v/>
      </c>
      <c r="J96" s="138" t="str">
        <f t="shared" si="53"/>
        <v/>
      </c>
      <c r="K96" s="138" t="str">
        <f t="shared" si="54"/>
        <v/>
      </c>
      <c r="L96" s="138" t="str">
        <f t="shared" si="55"/>
        <v/>
      </c>
      <c r="M96" s="138" t="str">
        <f t="shared" si="56"/>
        <v/>
      </c>
      <c r="N96" s="138" t="str">
        <f t="shared" si="57"/>
        <v/>
      </c>
      <c r="O96" s="138" t="str">
        <f t="shared" si="58"/>
        <v/>
      </c>
      <c r="P96" s="138" t="str">
        <f t="shared" si="59"/>
        <v/>
      </c>
      <c r="Q96" s="138" t="str">
        <f t="shared" si="60"/>
        <v/>
      </c>
      <c r="R96" s="138" t="str">
        <f t="shared" si="61"/>
        <v/>
      </c>
      <c r="S96" s="138" t="str">
        <f t="shared" si="62"/>
        <v/>
      </c>
      <c r="T96" s="138" t="str">
        <f t="shared" si="63"/>
        <v/>
      </c>
      <c r="U96" s="138" t="str">
        <f t="shared" si="64"/>
        <v/>
      </c>
      <c r="V96" s="138" t="str">
        <f t="shared" si="65"/>
        <v/>
      </c>
      <c r="W96" s="138" t="str">
        <f t="shared" si="66"/>
        <v/>
      </c>
      <c r="X96" s="138" t="str">
        <f t="shared" si="67"/>
        <v/>
      </c>
      <c r="Y96" s="138" t="str">
        <f t="shared" si="68"/>
        <v/>
      </c>
      <c r="Z96" s="138" t="str">
        <f t="shared" si="69"/>
        <v/>
      </c>
      <c r="AA96" s="138" t="str">
        <f t="shared" si="70"/>
        <v/>
      </c>
      <c r="AB96" s="138" t="str">
        <f t="shared" si="71"/>
        <v/>
      </c>
      <c r="AC96" s="138" t="str">
        <f t="shared" si="72"/>
        <v/>
      </c>
      <c r="AD96" s="138" t="str">
        <f t="shared" si="73"/>
        <v/>
      </c>
      <c r="AE96" s="138" t="str">
        <f t="shared" si="74"/>
        <v/>
      </c>
      <c r="AF96" s="138" t="str">
        <f t="shared" si="75"/>
        <v/>
      </c>
      <c r="AG96" s="138" t="str">
        <f t="shared" si="76"/>
        <v/>
      </c>
      <c r="AH96" s="138" t="str">
        <f t="shared" si="77"/>
        <v/>
      </c>
      <c r="AI96" s="138" t="str">
        <f t="shared" si="78"/>
        <v/>
      </c>
      <c r="AJ96" s="138" t="str">
        <f t="shared" si="79"/>
        <v/>
      </c>
      <c r="AK96" s="138" t="str">
        <f t="shared" si="80"/>
        <v/>
      </c>
      <c r="AL96" s="138" t="str">
        <f t="shared" si="81"/>
        <v/>
      </c>
      <c r="AM96" s="259">
        <f t="shared" si="82"/>
        <v>0</v>
      </c>
      <c r="AN96" s="110"/>
    </row>
    <row r="97" spans="1:40" s="23" customFormat="1" ht="15.75" hidden="1">
      <c r="A97" s="21" t="str">
        <f>IF($A$2="","",IF(MAX($A$9:A96)+1&gt;$A$2,"",MAX($A$9:A96)+1))</f>
        <v/>
      </c>
      <c r="B97" s="18" t="str">
        <f t="shared" si="45"/>
        <v/>
      </c>
      <c r="C97" s="19" t="str">
        <f t="shared" si="46"/>
        <v/>
      </c>
      <c r="D97" s="20" t="str">
        <f t="shared" si="47"/>
        <v/>
      </c>
      <c r="E97" s="77" t="str">
        <f t="shared" si="48"/>
        <v/>
      </c>
      <c r="F97" s="138" t="str">
        <f t="shared" si="49"/>
        <v/>
      </c>
      <c r="G97" s="138" t="str">
        <f t="shared" si="50"/>
        <v/>
      </c>
      <c r="H97" s="138" t="str">
        <f t="shared" si="51"/>
        <v/>
      </c>
      <c r="I97" s="138" t="str">
        <f t="shared" si="52"/>
        <v/>
      </c>
      <c r="J97" s="138" t="str">
        <f t="shared" si="53"/>
        <v/>
      </c>
      <c r="K97" s="138" t="str">
        <f t="shared" si="54"/>
        <v/>
      </c>
      <c r="L97" s="138" t="str">
        <f t="shared" si="55"/>
        <v/>
      </c>
      <c r="M97" s="138" t="str">
        <f t="shared" si="56"/>
        <v/>
      </c>
      <c r="N97" s="138" t="str">
        <f t="shared" si="57"/>
        <v/>
      </c>
      <c r="O97" s="138" t="str">
        <f t="shared" si="58"/>
        <v/>
      </c>
      <c r="P97" s="138" t="str">
        <f t="shared" si="59"/>
        <v/>
      </c>
      <c r="Q97" s="138" t="str">
        <f t="shared" si="60"/>
        <v/>
      </c>
      <c r="R97" s="138" t="str">
        <f t="shared" si="61"/>
        <v/>
      </c>
      <c r="S97" s="138" t="str">
        <f t="shared" si="62"/>
        <v/>
      </c>
      <c r="T97" s="138" t="str">
        <f t="shared" si="63"/>
        <v/>
      </c>
      <c r="U97" s="138" t="str">
        <f t="shared" si="64"/>
        <v/>
      </c>
      <c r="V97" s="138" t="str">
        <f t="shared" si="65"/>
        <v/>
      </c>
      <c r="W97" s="138" t="str">
        <f t="shared" si="66"/>
        <v/>
      </c>
      <c r="X97" s="138" t="str">
        <f t="shared" si="67"/>
        <v/>
      </c>
      <c r="Y97" s="138" t="str">
        <f t="shared" si="68"/>
        <v/>
      </c>
      <c r="Z97" s="138" t="str">
        <f t="shared" si="69"/>
        <v/>
      </c>
      <c r="AA97" s="138" t="str">
        <f t="shared" si="70"/>
        <v/>
      </c>
      <c r="AB97" s="138" t="str">
        <f t="shared" si="71"/>
        <v/>
      </c>
      <c r="AC97" s="138" t="str">
        <f t="shared" si="72"/>
        <v/>
      </c>
      <c r="AD97" s="138" t="str">
        <f t="shared" si="73"/>
        <v/>
      </c>
      <c r="AE97" s="138" t="str">
        <f t="shared" si="74"/>
        <v/>
      </c>
      <c r="AF97" s="138" t="str">
        <f t="shared" si="75"/>
        <v/>
      </c>
      <c r="AG97" s="138" t="str">
        <f t="shared" si="76"/>
        <v/>
      </c>
      <c r="AH97" s="138" t="str">
        <f t="shared" si="77"/>
        <v/>
      </c>
      <c r="AI97" s="138" t="str">
        <f t="shared" si="78"/>
        <v/>
      </c>
      <c r="AJ97" s="138" t="str">
        <f t="shared" si="79"/>
        <v/>
      </c>
      <c r="AK97" s="138" t="str">
        <f t="shared" si="80"/>
        <v/>
      </c>
      <c r="AL97" s="138" t="str">
        <f t="shared" si="81"/>
        <v/>
      </c>
      <c r="AM97" s="259">
        <f t="shared" si="82"/>
        <v>0</v>
      </c>
      <c r="AN97" s="110"/>
    </row>
    <row r="98" spans="1:40" s="23" customFormat="1" ht="15.75" hidden="1">
      <c r="A98" s="21" t="str">
        <f>IF($A$2="","",IF(MAX($A$9:A97)+1&gt;$A$2,"",MAX($A$9:A97)+1))</f>
        <v/>
      </c>
      <c r="B98" s="18" t="str">
        <f t="shared" si="45"/>
        <v/>
      </c>
      <c r="C98" s="19" t="str">
        <f t="shared" si="46"/>
        <v/>
      </c>
      <c r="D98" s="20" t="str">
        <f t="shared" si="47"/>
        <v/>
      </c>
      <c r="E98" s="77" t="str">
        <f t="shared" si="48"/>
        <v/>
      </c>
      <c r="F98" s="138" t="str">
        <f t="shared" si="49"/>
        <v/>
      </c>
      <c r="G98" s="138" t="str">
        <f t="shared" si="50"/>
        <v/>
      </c>
      <c r="H98" s="138" t="str">
        <f t="shared" si="51"/>
        <v/>
      </c>
      <c r="I98" s="138" t="str">
        <f t="shared" si="52"/>
        <v/>
      </c>
      <c r="J98" s="138" t="str">
        <f t="shared" si="53"/>
        <v/>
      </c>
      <c r="K98" s="138" t="str">
        <f t="shared" si="54"/>
        <v/>
      </c>
      <c r="L98" s="138" t="str">
        <f t="shared" si="55"/>
        <v/>
      </c>
      <c r="M98" s="138" t="str">
        <f t="shared" si="56"/>
        <v/>
      </c>
      <c r="N98" s="138" t="str">
        <f t="shared" si="57"/>
        <v/>
      </c>
      <c r="O98" s="138" t="str">
        <f t="shared" si="58"/>
        <v/>
      </c>
      <c r="P98" s="138" t="str">
        <f t="shared" si="59"/>
        <v/>
      </c>
      <c r="Q98" s="138" t="str">
        <f t="shared" si="60"/>
        <v/>
      </c>
      <c r="R98" s="138" t="str">
        <f t="shared" si="61"/>
        <v/>
      </c>
      <c r="S98" s="138" t="str">
        <f t="shared" si="62"/>
        <v/>
      </c>
      <c r="T98" s="138" t="str">
        <f t="shared" si="63"/>
        <v/>
      </c>
      <c r="U98" s="138" t="str">
        <f t="shared" si="64"/>
        <v/>
      </c>
      <c r="V98" s="138" t="str">
        <f t="shared" si="65"/>
        <v/>
      </c>
      <c r="W98" s="138" t="str">
        <f t="shared" si="66"/>
        <v/>
      </c>
      <c r="X98" s="138" t="str">
        <f t="shared" si="67"/>
        <v/>
      </c>
      <c r="Y98" s="138" t="str">
        <f t="shared" si="68"/>
        <v/>
      </c>
      <c r="Z98" s="138" t="str">
        <f t="shared" si="69"/>
        <v/>
      </c>
      <c r="AA98" s="138" t="str">
        <f t="shared" si="70"/>
        <v/>
      </c>
      <c r="AB98" s="138" t="str">
        <f t="shared" si="71"/>
        <v/>
      </c>
      <c r="AC98" s="138" t="str">
        <f t="shared" si="72"/>
        <v/>
      </c>
      <c r="AD98" s="138" t="str">
        <f t="shared" si="73"/>
        <v/>
      </c>
      <c r="AE98" s="138" t="str">
        <f t="shared" si="74"/>
        <v/>
      </c>
      <c r="AF98" s="138" t="str">
        <f t="shared" si="75"/>
        <v/>
      </c>
      <c r="AG98" s="138" t="str">
        <f t="shared" si="76"/>
        <v/>
      </c>
      <c r="AH98" s="138" t="str">
        <f t="shared" si="77"/>
        <v/>
      </c>
      <c r="AI98" s="138" t="str">
        <f t="shared" si="78"/>
        <v/>
      </c>
      <c r="AJ98" s="138" t="str">
        <f t="shared" si="79"/>
        <v/>
      </c>
      <c r="AK98" s="138" t="str">
        <f t="shared" si="80"/>
        <v/>
      </c>
      <c r="AL98" s="138" t="str">
        <f t="shared" si="81"/>
        <v/>
      </c>
      <c r="AM98" s="259">
        <f t="shared" si="82"/>
        <v>0</v>
      </c>
      <c r="AN98" s="110"/>
    </row>
    <row r="99" spans="1:40" s="23" customFormat="1" ht="15.75" hidden="1">
      <c r="A99" s="21" t="str">
        <f>IF($A$2="","",IF(MAX($A$9:A98)+1&gt;$A$2,"",MAX($A$9:A98)+1))</f>
        <v/>
      </c>
      <c r="B99" s="18" t="str">
        <f t="shared" si="45"/>
        <v/>
      </c>
      <c r="C99" s="19" t="str">
        <f t="shared" si="46"/>
        <v/>
      </c>
      <c r="D99" s="20" t="str">
        <f t="shared" si="47"/>
        <v/>
      </c>
      <c r="E99" s="77" t="str">
        <f t="shared" si="48"/>
        <v/>
      </c>
      <c r="F99" s="138" t="str">
        <f t="shared" si="49"/>
        <v/>
      </c>
      <c r="G99" s="138" t="str">
        <f t="shared" si="50"/>
        <v/>
      </c>
      <c r="H99" s="138" t="str">
        <f t="shared" si="51"/>
        <v/>
      </c>
      <c r="I99" s="138" t="str">
        <f t="shared" si="52"/>
        <v/>
      </c>
      <c r="J99" s="138" t="str">
        <f t="shared" si="53"/>
        <v/>
      </c>
      <c r="K99" s="138" t="str">
        <f t="shared" si="54"/>
        <v/>
      </c>
      <c r="L99" s="138" t="str">
        <f t="shared" si="55"/>
        <v/>
      </c>
      <c r="M99" s="138" t="str">
        <f t="shared" si="56"/>
        <v/>
      </c>
      <c r="N99" s="138" t="str">
        <f t="shared" si="57"/>
        <v/>
      </c>
      <c r="O99" s="138" t="str">
        <f t="shared" si="58"/>
        <v/>
      </c>
      <c r="P99" s="138" t="str">
        <f t="shared" si="59"/>
        <v/>
      </c>
      <c r="Q99" s="138" t="str">
        <f t="shared" si="60"/>
        <v/>
      </c>
      <c r="R99" s="138" t="str">
        <f t="shared" si="61"/>
        <v/>
      </c>
      <c r="S99" s="138" t="str">
        <f t="shared" si="62"/>
        <v/>
      </c>
      <c r="T99" s="138" t="str">
        <f t="shared" si="63"/>
        <v/>
      </c>
      <c r="U99" s="138" t="str">
        <f t="shared" si="64"/>
        <v/>
      </c>
      <c r="V99" s="138" t="str">
        <f t="shared" si="65"/>
        <v/>
      </c>
      <c r="W99" s="138" t="str">
        <f t="shared" si="66"/>
        <v/>
      </c>
      <c r="X99" s="138" t="str">
        <f t="shared" si="67"/>
        <v/>
      </c>
      <c r="Y99" s="138" t="str">
        <f t="shared" si="68"/>
        <v/>
      </c>
      <c r="Z99" s="138" t="str">
        <f t="shared" si="69"/>
        <v/>
      </c>
      <c r="AA99" s="138" t="str">
        <f t="shared" si="70"/>
        <v/>
      </c>
      <c r="AB99" s="138" t="str">
        <f t="shared" si="71"/>
        <v/>
      </c>
      <c r="AC99" s="138" t="str">
        <f t="shared" si="72"/>
        <v/>
      </c>
      <c r="AD99" s="138" t="str">
        <f t="shared" si="73"/>
        <v/>
      </c>
      <c r="AE99" s="138" t="str">
        <f t="shared" si="74"/>
        <v/>
      </c>
      <c r="AF99" s="138" t="str">
        <f t="shared" si="75"/>
        <v/>
      </c>
      <c r="AG99" s="138" t="str">
        <f t="shared" si="76"/>
        <v/>
      </c>
      <c r="AH99" s="138" t="str">
        <f t="shared" si="77"/>
        <v/>
      </c>
      <c r="AI99" s="138" t="str">
        <f t="shared" si="78"/>
        <v/>
      </c>
      <c r="AJ99" s="138" t="str">
        <f t="shared" si="79"/>
        <v/>
      </c>
      <c r="AK99" s="138" t="str">
        <f t="shared" si="80"/>
        <v/>
      </c>
      <c r="AL99" s="138" t="str">
        <f t="shared" si="81"/>
        <v/>
      </c>
      <c r="AM99" s="259">
        <f t="shared" si="82"/>
        <v>0</v>
      </c>
      <c r="AN99" s="110"/>
    </row>
    <row r="100" spans="1:40" s="23" customFormat="1" ht="15.75" hidden="1">
      <c r="A100" s="21" t="str">
        <f>IF($A$2="","",IF(MAX($A$9:A99)+1&gt;$A$2,"",MAX($A$9:A99)+1))</f>
        <v/>
      </c>
      <c r="B100" s="18" t="str">
        <f t="shared" ref="B100:B110" si="83">IF(A100="","",IF(VLOOKUP(A100,Bangke,3,0)="","",VLOOKUP(A100,Bangke,3,0)))</f>
        <v/>
      </c>
      <c r="C100" s="19" t="str">
        <f t="shared" ref="C100:C110" si="84">IF(A100="","",IF(VLOOKUP(A100,Bangke,4,0)="","",VLOOKUP(A100,Bangke,4,0)))</f>
        <v/>
      </c>
      <c r="D100" s="20" t="str">
        <f t="shared" ref="D100:D110" si="85">IF(A100="","",VLOOKUP(A100,Bangke,6,0))</f>
        <v/>
      </c>
      <c r="E100" s="77" t="str">
        <f t="shared" ref="E100:E110" si="86">IF(A100="","",VLOOKUP(A100,Bangke,8,0))</f>
        <v/>
      </c>
      <c r="F100" s="138" t="str">
        <f t="shared" si="49"/>
        <v/>
      </c>
      <c r="G100" s="138" t="str">
        <f t="shared" si="50"/>
        <v/>
      </c>
      <c r="H100" s="138" t="str">
        <f t="shared" si="51"/>
        <v/>
      </c>
      <c r="I100" s="138" t="str">
        <f t="shared" si="52"/>
        <v/>
      </c>
      <c r="J100" s="138" t="str">
        <f t="shared" si="53"/>
        <v/>
      </c>
      <c r="K100" s="138" t="str">
        <f t="shared" si="54"/>
        <v/>
      </c>
      <c r="L100" s="138" t="str">
        <f t="shared" si="55"/>
        <v/>
      </c>
      <c r="M100" s="138" t="str">
        <f t="shared" si="56"/>
        <v/>
      </c>
      <c r="N100" s="138" t="str">
        <f t="shared" si="57"/>
        <v/>
      </c>
      <c r="O100" s="138" t="str">
        <f t="shared" si="58"/>
        <v/>
      </c>
      <c r="P100" s="138" t="str">
        <f t="shared" si="59"/>
        <v/>
      </c>
      <c r="Q100" s="138" t="str">
        <f t="shared" si="60"/>
        <v/>
      </c>
      <c r="R100" s="138" t="str">
        <f t="shared" si="61"/>
        <v/>
      </c>
      <c r="S100" s="138" t="str">
        <f t="shared" si="62"/>
        <v/>
      </c>
      <c r="T100" s="138" t="str">
        <f t="shared" si="63"/>
        <v/>
      </c>
      <c r="U100" s="138" t="str">
        <f t="shared" si="64"/>
        <v/>
      </c>
      <c r="V100" s="138" t="str">
        <f t="shared" si="65"/>
        <v/>
      </c>
      <c r="W100" s="138" t="str">
        <f t="shared" si="66"/>
        <v/>
      </c>
      <c r="X100" s="138" t="str">
        <f t="shared" si="67"/>
        <v/>
      </c>
      <c r="Y100" s="138" t="str">
        <f t="shared" si="68"/>
        <v/>
      </c>
      <c r="Z100" s="138" t="str">
        <f t="shared" si="69"/>
        <v/>
      </c>
      <c r="AA100" s="138" t="str">
        <f t="shared" si="70"/>
        <v/>
      </c>
      <c r="AB100" s="138" t="str">
        <f t="shared" si="71"/>
        <v/>
      </c>
      <c r="AC100" s="138" t="str">
        <f t="shared" si="72"/>
        <v/>
      </c>
      <c r="AD100" s="138" t="str">
        <f t="shared" si="73"/>
        <v/>
      </c>
      <c r="AE100" s="138" t="str">
        <f t="shared" si="74"/>
        <v/>
      </c>
      <c r="AF100" s="138" t="str">
        <f t="shared" si="75"/>
        <v/>
      </c>
      <c r="AG100" s="138" t="str">
        <f t="shared" si="76"/>
        <v/>
      </c>
      <c r="AH100" s="138" t="str">
        <f t="shared" si="77"/>
        <v/>
      </c>
      <c r="AI100" s="138" t="str">
        <f t="shared" si="78"/>
        <v/>
      </c>
      <c r="AJ100" s="138" t="str">
        <f t="shared" si="79"/>
        <v/>
      </c>
      <c r="AK100" s="138" t="str">
        <f t="shared" si="80"/>
        <v/>
      </c>
      <c r="AL100" s="138" t="str">
        <f t="shared" si="81"/>
        <v/>
      </c>
      <c r="AM100" s="259">
        <f t="shared" ref="AM100:AM110" si="87">SUM(F100:AL100)</f>
        <v>0</v>
      </c>
      <c r="AN100" s="110"/>
    </row>
    <row r="101" spans="1:40" s="23" customFormat="1" ht="15.75" hidden="1">
      <c r="A101" s="21" t="str">
        <f>IF($A$2="","",IF(MAX($A$9:A100)+1&gt;$A$2,"",MAX($A$9:A100)+1))</f>
        <v/>
      </c>
      <c r="B101" s="18" t="str">
        <f t="shared" si="83"/>
        <v/>
      </c>
      <c r="C101" s="19" t="str">
        <f t="shared" si="84"/>
        <v/>
      </c>
      <c r="D101" s="20" t="str">
        <f t="shared" si="85"/>
        <v/>
      </c>
      <c r="E101" s="77" t="str">
        <f t="shared" si="86"/>
        <v/>
      </c>
      <c r="F101" s="138" t="str">
        <f t="shared" si="49"/>
        <v/>
      </c>
      <c r="G101" s="138" t="str">
        <f t="shared" si="50"/>
        <v/>
      </c>
      <c r="H101" s="138" t="str">
        <f t="shared" si="51"/>
        <v/>
      </c>
      <c r="I101" s="138" t="str">
        <f t="shared" si="52"/>
        <v/>
      </c>
      <c r="J101" s="138" t="str">
        <f t="shared" si="53"/>
        <v/>
      </c>
      <c r="K101" s="138" t="str">
        <f t="shared" si="54"/>
        <v/>
      </c>
      <c r="L101" s="138" t="str">
        <f t="shared" si="55"/>
        <v/>
      </c>
      <c r="M101" s="138" t="str">
        <f t="shared" si="56"/>
        <v/>
      </c>
      <c r="N101" s="138" t="str">
        <f t="shared" si="57"/>
        <v/>
      </c>
      <c r="O101" s="138" t="str">
        <f t="shared" si="58"/>
        <v/>
      </c>
      <c r="P101" s="138" t="str">
        <f t="shared" si="59"/>
        <v/>
      </c>
      <c r="Q101" s="138" t="str">
        <f t="shared" si="60"/>
        <v/>
      </c>
      <c r="R101" s="138" t="str">
        <f t="shared" si="61"/>
        <v/>
      </c>
      <c r="S101" s="138" t="str">
        <f t="shared" si="62"/>
        <v/>
      </c>
      <c r="T101" s="138" t="str">
        <f t="shared" si="63"/>
        <v/>
      </c>
      <c r="U101" s="138" t="str">
        <f t="shared" si="64"/>
        <v/>
      </c>
      <c r="V101" s="138" t="str">
        <f t="shared" si="65"/>
        <v/>
      </c>
      <c r="W101" s="138" t="str">
        <f t="shared" si="66"/>
        <v/>
      </c>
      <c r="X101" s="138" t="str">
        <f t="shared" si="67"/>
        <v/>
      </c>
      <c r="Y101" s="138" t="str">
        <f t="shared" si="68"/>
        <v/>
      </c>
      <c r="Z101" s="138" t="str">
        <f t="shared" si="69"/>
        <v/>
      </c>
      <c r="AA101" s="138" t="str">
        <f t="shared" si="70"/>
        <v/>
      </c>
      <c r="AB101" s="138" t="str">
        <f t="shared" si="71"/>
        <v/>
      </c>
      <c r="AC101" s="138" t="str">
        <f t="shared" si="72"/>
        <v/>
      </c>
      <c r="AD101" s="138" t="str">
        <f t="shared" si="73"/>
        <v/>
      </c>
      <c r="AE101" s="138" t="str">
        <f t="shared" si="74"/>
        <v/>
      </c>
      <c r="AF101" s="138" t="str">
        <f t="shared" si="75"/>
        <v/>
      </c>
      <c r="AG101" s="138" t="str">
        <f t="shared" si="76"/>
        <v/>
      </c>
      <c r="AH101" s="138" t="str">
        <f t="shared" si="77"/>
        <v/>
      </c>
      <c r="AI101" s="138" t="str">
        <f t="shared" si="78"/>
        <v/>
      </c>
      <c r="AJ101" s="138" t="str">
        <f t="shared" si="79"/>
        <v/>
      </c>
      <c r="AK101" s="138" t="str">
        <f t="shared" si="80"/>
        <v/>
      </c>
      <c r="AL101" s="138" t="str">
        <f t="shared" si="81"/>
        <v/>
      </c>
      <c r="AM101" s="259">
        <f t="shared" si="87"/>
        <v>0</v>
      </c>
      <c r="AN101" s="110"/>
    </row>
    <row r="102" spans="1:40" s="23" customFormat="1" ht="15.75" hidden="1">
      <c r="A102" s="21" t="str">
        <f>IF($A$2="","",IF(MAX($A$9:A101)+1&gt;$A$2,"",MAX($A$9:A101)+1))</f>
        <v/>
      </c>
      <c r="B102" s="18" t="str">
        <f t="shared" si="83"/>
        <v/>
      </c>
      <c r="C102" s="19" t="str">
        <f t="shared" si="84"/>
        <v/>
      </c>
      <c r="D102" s="20" t="str">
        <f t="shared" si="85"/>
        <v/>
      </c>
      <c r="E102" s="77" t="str">
        <f t="shared" si="86"/>
        <v/>
      </c>
      <c r="F102" s="138" t="str">
        <f t="shared" si="49"/>
        <v/>
      </c>
      <c r="G102" s="138" t="str">
        <f t="shared" si="50"/>
        <v/>
      </c>
      <c r="H102" s="138" t="str">
        <f t="shared" si="51"/>
        <v/>
      </c>
      <c r="I102" s="138" t="str">
        <f t="shared" si="52"/>
        <v/>
      </c>
      <c r="J102" s="138" t="str">
        <f t="shared" si="53"/>
        <v/>
      </c>
      <c r="K102" s="138" t="str">
        <f t="shared" si="54"/>
        <v/>
      </c>
      <c r="L102" s="138" t="str">
        <f t="shared" si="55"/>
        <v/>
      </c>
      <c r="M102" s="138" t="str">
        <f t="shared" si="56"/>
        <v/>
      </c>
      <c r="N102" s="138" t="str">
        <f t="shared" si="57"/>
        <v/>
      </c>
      <c r="O102" s="138" t="str">
        <f t="shared" si="58"/>
        <v/>
      </c>
      <c r="P102" s="138" t="str">
        <f t="shared" si="59"/>
        <v/>
      </c>
      <c r="Q102" s="138" t="str">
        <f t="shared" si="60"/>
        <v/>
      </c>
      <c r="R102" s="138" t="str">
        <f t="shared" si="61"/>
        <v/>
      </c>
      <c r="S102" s="138" t="str">
        <f t="shared" si="62"/>
        <v/>
      </c>
      <c r="T102" s="138" t="str">
        <f t="shared" si="63"/>
        <v/>
      </c>
      <c r="U102" s="138" t="str">
        <f t="shared" si="64"/>
        <v/>
      </c>
      <c r="V102" s="138" t="str">
        <f t="shared" si="65"/>
        <v/>
      </c>
      <c r="W102" s="138" t="str">
        <f t="shared" si="66"/>
        <v/>
      </c>
      <c r="X102" s="138" t="str">
        <f t="shared" si="67"/>
        <v/>
      </c>
      <c r="Y102" s="138" t="str">
        <f t="shared" si="68"/>
        <v/>
      </c>
      <c r="Z102" s="138" t="str">
        <f t="shared" si="69"/>
        <v/>
      </c>
      <c r="AA102" s="138" t="str">
        <f t="shared" si="70"/>
        <v/>
      </c>
      <c r="AB102" s="138" t="str">
        <f t="shared" si="71"/>
        <v/>
      </c>
      <c r="AC102" s="138" t="str">
        <f t="shared" si="72"/>
        <v/>
      </c>
      <c r="AD102" s="138" t="str">
        <f t="shared" si="73"/>
        <v/>
      </c>
      <c r="AE102" s="138" t="str">
        <f t="shared" si="74"/>
        <v/>
      </c>
      <c r="AF102" s="138" t="str">
        <f t="shared" si="75"/>
        <v/>
      </c>
      <c r="AG102" s="138" t="str">
        <f t="shared" si="76"/>
        <v/>
      </c>
      <c r="AH102" s="138" t="str">
        <f t="shared" si="77"/>
        <v/>
      </c>
      <c r="AI102" s="138" t="str">
        <f t="shared" si="78"/>
        <v/>
      </c>
      <c r="AJ102" s="138" t="str">
        <f t="shared" si="79"/>
        <v/>
      </c>
      <c r="AK102" s="138" t="str">
        <f t="shared" si="80"/>
        <v/>
      </c>
      <c r="AL102" s="138" t="str">
        <f t="shared" si="81"/>
        <v/>
      </c>
      <c r="AM102" s="259">
        <f t="shared" si="87"/>
        <v>0</v>
      </c>
      <c r="AN102" s="110"/>
    </row>
    <row r="103" spans="1:40" s="23" customFormat="1" ht="15.75" hidden="1">
      <c r="A103" s="21" t="str">
        <f>IF($A$2="","",IF(MAX($A$9:A102)+1&gt;$A$2,"",MAX($A$9:A102)+1))</f>
        <v/>
      </c>
      <c r="B103" s="18" t="str">
        <f t="shared" si="83"/>
        <v/>
      </c>
      <c r="C103" s="19" t="str">
        <f t="shared" si="84"/>
        <v/>
      </c>
      <c r="D103" s="20" t="str">
        <f t="shared" si="85"/>
        <v/>
      </c>
      <c r="E103" s="77" t="str">
        <f t="shared" si="86"/>
        <v/>
      </c>
      <c r="F103" s="138" t="str">
        <f t="shared" si="49"/>
        <v/>
      </c>
      <c r="G103" s="138" t="str">
        <f t="shared" si="50"/>
        <v/>
      </c>
      <c r="H103" s="138" t="str">
        <f t="shared" si="51"/>
        <v/>
      </c>
      <c r="I103" s="138" t="str">
        <f t="shared" si="52"/>
        <v/>
      </c>
      <c r="J103" s="138" t="str">
        <f t="shared" si="53"/>
        <v/>
      </c>
      <c r="K103" s="138" t="str">
        <f t="shared" si="54"/>
        <v/>
      </c>
      <c r="L103" s="138" t="str">
        <f t="shared" si="55"/>
        <v/>
      </c>
      <c r="M103" s="138" t="str">
        <f t="shared" si="56"/>
        <v/>
      </c>
      <c r="N103" s="138" t="str">
        <f t="shared" si="57"/>
        <v/>
      </c>
      <c r="O103" s="138" t="str">
        <f t="shared" si="58"/>
        <v/>
      </c>
      <c r="P103" s="138" t="str">
        <f t="shared" si="59"/>
        <v/>
      </c>
      <c r="Q103" s="138" t="str">
        <f t="shared" si="60"/>
        <v/>
      </c>
      <c r="R103" s="138" t="str">
        <f t="shared" si="61"/>
        <v/>
      </c>
      <c r="S103" s="138" t="str">
        <f t="shared" si="62"/>
        <v/>
      </c>
      <c r="T103" s="138" t="str">
        <f t="shared" si="63"/>
        <v/>
      </c>
      <c r="U103" s="138" t="str">
        <f t="shared" si="64"/>
        <v/>
      </c>
      <c r="V103" s="138" t="str">
        <f t="shared" si="65"/>
        <v/>
      </c>
      <c r="W103" s="138" t="str">
        <f t="shared" si="66"/>
        <v/>
      </c>
      <c r="X103" s="138" t="str">
        <f t="shared" si="67"/>
        <v/>
      </c>
      <c r="Y103" s="138" t="str">
        <f t="shared" si="68"/>
        <v/>
      </c>
      <c r="Z103" s="138" t="str">
        <f t="shared" si="69"/>
        <v/>
      </c>
      <c r="AA103" s="138" t="str">
        <f t="shared" si="70"/>
        <v/>
      </c>
      <c r="AB103" s="138" t="str">
        <f t="shared" si="71"/>
        <v/>
      </c>
      <c r="AC103" s="138" t="str">
        <f t="shared" si="72"/>
        <v/>
      </c>
      <c r="AD103" s="138" t="str">
        <f t="shared" si="73"/>
        <v/>
      </c>
      <c r="AE103" s="138" t="str">
        <f t="shared" si="74"/>
        <v/>
      </c>
      <c r="AF103" s="138" t="str">
        <f t="shared" si="75"/>
        <v/>
      </c>
      <c r="AG103" s="138" t="str">
        <f t="shared" si="76"/>
        <v/>
      </c>
      <c r="AH103" s="138" t="str">
        <f t="shared" si="77"/>
        <v/>
      </c>
      <c r="AI103" s="138" t="str">
        <f t="shared" si="78"/>
        <v/>
      </c>
      <c r="AJ103" s="138" t="str">
        <f t="shared" si="79"/>
        <v/>
      </c>
      <c r="AK103" s="138" t="str">
        <f t="shared" si="80"/>
        <v/>
      </c>
      <c r="AL103" s="138" t="str">
        <f t="shared" si="81"/>
        <v/>
      </c>
      <c r="AM103" s="259">
        <f t="shared" si="87"/>
        <v>0</v>
      </c>
      <c r="AN103" s="110"/>
    </row>
    <row r="104" spans="1:40" s="23" customFormat="1" ht="15.75" hidden="1">
      <c r="A104" s="21" t="str">
        <f>IF($A$2="","",IF(MAX($A$9:A103)+1&gt;$A$2,"",MAX($A$9:A103)+1))</f>
        <v/>
      </c>
      <c r="B104" s="18" t="str">
        <f t="shared" si="83"/>
        <v/>
      </c>
      <c r="C104" s="19" t="str">
        <f t="shared" si="84"/>
        <v/>
      </c>
      <c r="D104" s="20" t="str">
        <f t="shared" si="85"/>
        <v/>
      </c>
      <c r="E104" s="77" t="str">
        <f t="shared" si="86"/>
        <v/>
      </c>
      <c r="F104" s="138" t="str">
        <f t="shared" si="49"/>
        <v/>
      </c>
      <c r="G104" s="138" t="str">
        <f t="shared" si="50"/>
        <v/>
      </c>
      <c r="H104" s="138" t="str">
        <f t="shared" si="51"/>
        <v/>
      </c>
      <c r="I104" s="138" t="str">
        <f t="shared" si="52"/>
        <v/>
      </c>
      <c r="J104" s="138" t="str">
        <f t="shared" si="53"/>
        <v/>
      </c>
      <c r="K104" s="138" t="str">
        <f t="shared" si="54"/>
        <v/>
      </c>
      <c r="L104" s="138" t="str">
        <f t="shared" si="55"/>
        <v/>
      </c>
      <c r="M104" s="138" t="str">
        <f t="shared" si="56"/>
        <v/>
      </c>
      <c r="N104" s="138" t="str">
        <f t="shared" si="57"/>
        <v/>
      </c>
      <c r="O104" s="138" t="str">
        <f t="shared" si="58"/>
        <v/>
      </c>
      <c r="P104" s="138" t="str">
        <f t="shared" si="59"/>
        <v/>
      </c>
      <c r="Q104" s="138" t="str">
        <f t="shared" si="60"/>
        <v/>
      </c>
      <c r="R104" s="138" t="str">
        <f t="shared" si="61"/>
        <v/>
      </c>
      <c r="S104" s="138" t="str">
        <f t="shared" si="62"/>
        <v/>
      </c>
      <c r="T104" s="138" t="str">
        <f t="shared" si="63"/>
        <v/>
      </c>
      <c r="U104" s="138" t="str">
        <f t="shared" si="64"/>
        <v/>
      </c>
      <c r="V104" s="138" t="str">
        <f t="shared" si="65"/>
        <v/>
      </c>
      <c r="W104" s="138" t="str">
        <f t="shared" si="66"/>
        <v/>
      </c>
      <c r="X104" s="138" t="str">
        <f t="shared" si="67"/>
        <v/>
      </c>
      <c r="Y104" s="138" t="str">
        <f t="shared" si="68"/>
        <v/>
      </c>
      <c r="Z104" s="138" t="str">
        <f t="shared" si="69"/>
        <v/>
      </c>
      <c r="AA104" s="138" t="str">
        <f t="shared" si="70"/>
        <v/>
      </c>
      <c r="AB104" s="138" t="str">
        <f t="shared" si="71"/>
        <v/>
      </c>
      <c r="AC104" s="138" t="str">
        <f t="shared" si="72"/>
        <v/>
      </c>
      <c r="AD104" s="138" t="str">
        <f t="shared" si="73"/>
        <v/>
      </c>
      <c r="AE104" s="138" t="str">
        <f t="shared" si="74"/>
        <v/>
      </c>
      <c r="AF104" s="138" t="str">
        <f t="shared" si="75"/>
        <v/>
      </c>
      <c r="AG104" s="138" t="str">
        <f t="shared" si="76"/>
        <v/>
      </c>
      <c r="AH104" s="138" t="str">
        <f t="shared" si="77"/>
        <v/>
      </c>
      <c r="AI104" s="138" t="str">
        <f t="shared" si="78"/>
        <v/>
      </c>
      <c r="AJ104" s="138" t="str">
        <f t="shared" si="79"/>
        <v/>
      </c>
      <c r="AK104" s="138" t="str">
        <f t="shared" si="80"/>
        <v/>
      </c>
      <c r="AL104" s="138" t="str">
        <f t="shared" si="81"/>
        <v/>
      </c>
      <c r="AM104" s="259">
        <f t="shared" si="87"/>
        <v>0</v>
      </c>
      <c r="AN104" s="110"/>
    </row>
    <row r="105" spans="1:40" s="23" customFormat="1" ht="15.75" hidden="1">
      <c r="A105" s="21" t="str">
        <f>IF($A$2="","",IF(MAX($A$9:A104)+1&gt;$A$2,"",MAX($A$9:A104)+1))</f>
        <v/>
      </c>
      <c r="B105" s="18" t="str">
        <f t="shared" si="83"/>
        <v/>
      </c>
      <c r="C105" s="19" t="str">
        <f t="shared" si="84"/>
        <v/>
      </c>
      <c r="D105" s="20" t="str">
        <f t="shared" si="85"/>
        <v/>
      </c>
      <c r="E105" s="77" t="str">
        <f t="shared" si="86"/>
        <v/>
      </c>
      <c r="F105" s="138" t="str">
        <f t="shared" si="49"/>
        <v/>
      </c>
      <c r="G105" s="138" t="str">
        <f t="shared" si="50"/>
        <v/>
      </c>
      <c r="H105" s="138" t="str">
        <f t="shared" si="51"/>
        <v/>
      </c>
      <c r="I105" s="138" t="str">
        <f t="shared" si="52"/>
        <v/>
      </c>
      <c r="J105" s="138" t="str">
        <f t="shared" si="53"/>
        <v/>
      </c>
      <c r="K105" s="138" t="str">
        <f t="shared" si="54"/>
        <v/>
      </c>
      <c r="L105" s="138" t="str">
        <f t="shared" si="55"/>
        <v/>
      </c>
      <c r="M105" s="138" t="str">
        <f t="shared" si="56"/>
        <v/>
      </c>
      <c r="N105" s="138" t="str">
        <f t="shared" si="57"/>
        <v/>
      </c>
      <c r="O105" s="138" t="str">
        <f t="shared" si="58"/>
        <v/>
      </c>
      <c r="P105" s="138" t="str">
        <f t="shared" si="59"/>
        <v/>
      </c>
      <c r="Q105" s="138" t="str">
        <f t="shared" si="60"/>
        <v/>
      </c>
      <c r="R105" s="138" t="str">
        <f t="shared" si="61"/>
        <v/>
      </c>
      <c r="S105" s="138" t="str">
        <f t="shared" si="62"/>
        <v/>
      </c>
      <c r="T105" s="138" t="str">
        <f t="shared" si="63"/>
        <v/>
      </c>
      <c r="U105" s="138" t="str">
        <f t="shared" si="64"/>
        <v/>
      </c>
      <c r="V105" s="138" t="str">
        <f t="shared" si="65"/>
        <v/>
      </c>
      <c r="W105" s="138" t="str">
        <f t="shared" si="66"/>
        <v/>
      </c>
      <c r="X105" s="138" t="str">
        <f t="shared" si="67"/>
        <v/>
      </c>
      <c r="Y105" s="138" t="str">
        <f t="shared" si="68"/>
        <v/>
      </c>
      <c r="Z105" s="138" t="str">
        <f t="shared" si="69"/>
        <v/>
      </c>
      <c r="AA105" s="138" t="str">
        <f t="shared" si="70"/>
        <v/>
      </c>
      <c r="AB105" s="138" t="str">
        <f t="shared" si="71"/>
        <v/>
      </c>
      <c r="AC105" s="138" t="str">
        <f t="shared" si="72"/>
        <v/>
      </c>
      <c r="AD105" s="138" t="str">
        <f t="shared" si="73"/>
        <v/>
      </c>
      <c r="AE105" s="138" t="str">
        <f t="shared" si="74"/>
        <v/>
      </c>
      <c r="AF105" s="138" t="str">
        <f t="shared" si="75"/>
        <v/>
      </c>
      <c r="AG105" s="138" t="str">
        <f t="shared" si="76"/>
        <v/>
      </c>
      <c r="AH105" s="138" t="str">
        <f t="shared" si="77"/>
        <v/>
      </c>
      <c r="AI105" s="138" t="str">
        <f t="shared" si="78"/>
        <v/>
      </c>
      <c r="AJ105" s="138" t="str">
        <f t="shared" si="79"/>
        <v/>
      </c>
      <c r="AK105" s="138" t="str">
        <f t="shared" si="80"/>
        <v/>
      </c>
      <c r="AL105" s="138" t="str">
        <f t="shared" si="81"/>
        <v/>
      </c>
      <c r="AM105" s="259">
        <f t="shared" si="87"/>
        <v>0</v>
      </c>
      <c r="AN105" s="110"/>
    </row>
    <row r="106" spans="1:40" s="23" customFormat="1" ht="15.75" hidden="1">
      <c r="A106" s="21" t="str">
        <f>IF($A$2="","",IF(MAX($A$9:A105)+1&gt;$A$2,"",MAX($A$9:A105)+1))</f>
        <v/>
      </c>
      <c r="B106" s="18" t="str">
        <f t="shared" si="83"/>
        <v/>
      </c>
      <c r="C106" s="19" t="str">
        <f t="shared" si="84"/>
        <v/>
      </c>
      <c r="D106" s="20" t="str">
        <f t="shared" si="85"/>
        <v/>
      </c>
      <c r="E106" s="77" t="str">
        <f t="shared" si="86"/>
        <v/>
      </c>
      <c r="F106" s="138" t="str">
        <f t="shared" si="49"/>
        <v/>
      </c>
      <c r="G106" s="138" t="str">
        <f t="shared" si="50"/>
        <v/>
      </c>
      <c r="H106" s="138" t="str">
        <f t="shared" si="51"/>
        <v/>
      </c>
      <c r="I106" s="138" t="str">
        <f t="shared" si="52"/>
        <v/>
      </c>
      <c r="J106" s="138" t="str">
        <f t="shared" si="53"/>
        <v/>
      </c>
      <c r="K106" s="138" t="str">
        <f t="shared" si="54"/>
        <v/>
      </c>
      <c r="L106" s="138" t="str">
        <f t="shared" si="55"/>
        <v/>
      </c>
      <c r="M106" s="138" t="str">
        <f t="shared" si="56"/>
        <v/>
      </c>
      <c r="N106" s="138" t="str">
        <f t="shared" si="57"/>
        <v/>
      </c>
      <c r="O106" s="138" t="str">
        <f t="shared" si="58"/>
        <v/>
      </c>
      <c r="P106" s="138" t="str">
        <f t="shared" si="59"/>
        <v/>
      </c>
      <c r="Q106" s="138" t="str">
        <f t="shared" si="60"/>
        <v/>
      </c>
      <c r="R106" s="138" t="str">
        <f t="shared" si="61"/>
        <v/>
      </c>
      <c r="S106" s="138" t="str">
        <f t="shared" si="62"/>
        <v/>
      </c>
      <c r="T106" s="138" t="str">
        <f t="shared" si="63"/>
        <v/>
      </c>
      <c r="U106" s="138" t="str">
        <f t="shared" si="64"/>
        <v/>
      </c>
      <c r="V106" s="138" t="str">
        <f t="shared" si="65"/>
        <v/>
      </c>
      <c r="W106" s="138" t="str">
        <f t="shared" si="66"/>
        <v/>
      </c>
      <c r="X106" s="138" t="str">
        <f t="shared" si="67"/>
        <v/>
      </c>
      <c r="Y106" s="138" t="str">
        <f t="shared" si="68"/>
        <v/>
      </c>
      <c r="Z106" s="138" t="str">
        <f t="shared" si="69"/>
        <v/>
      </c>
      <c r="AA106" s="138" t="str">
        <f t="shared" si="70"/>
        <v/>
      </c>
      <c r="AB106" s="138" t="str">
        <f t="shared" si="71"/>
        <v/>
      </c>
      <c r="AC106" s="138" t="str">
        <f t="shared" si="72"/>
        <v/>
      </c>
      <c r="AD106" s="138" t="str">
        <f t="shared" si="73"/>
        <v/>
      </c>
      <c r="AE106" s="138" t="str">
        <f t="shared" si="74"/>
        <v/>
      </c>
      <c r="AF106" s="138" t="str">
        <f t="shared" si="75"/>
        <v/>
      </c>
      <c r="AG106" s="138" t="str">
        <f t="shared" si="76"/>
        <v/>
      </c>
      <c r="AH106" s="138" t="str">
        <f t="shared" si="77"/>
        <v/>
      </c>
      <c r="AI106" s="138" t="str">
        <f t="shared" si="78"/>
        <v/>
      </c>
      <c r="AJ106" s="138" t="str">
        <f t="shared" si="79"/>
        <v/>
      </c>
      <c r="AK106" s="138" t="str">
        <f t="shared" si="80"/>
        <v/>
      </c>
      <c r="AL106" s="138" t="str">
        <f t="shared" si="81"/>
        <v/>
      </c>
      <c r="AM106" s="259">
        <f t="shared" si="87"/>
        <v>0</v>
      </c>
      <c r="AN106" s="110"/>
    </row>
    <row r="107" spans="1:40" s="23" customFormat="1" ht="15.75" hidden="1">
      <c r="A107" s="21" t="str">
        <f>IF($A$2="","",IF(MAX($A$9:A106)+1&gt;$A$2,"",MAX($A$9:A106)+1))</f>
        <v/>
      </c>
      <c r="B107" s="18" t="str">
        <f t="shared" si="83"/>
        <v/>
      </c>
      <c r="C107" s="19" t="str">
        <f t="shared" si="84"/>
        <v/>
      </c>
      <c r="D107" s="20" t="str">
        <f t="shared" si="85"/>
        <v/>
      </c>
      <c r="E107" s="77" t="str">
        <f t="shared" si="86"/>
        <v/>
      </c>
      <c r="F107" s="138" t="str">
        <f t="shared" si="49"/>
        <v/>
      </c>
      <c r="G107" s="138" t="str">
        <f t="shared" si="50"/>
        <v/>
      </c>
      <c r="H107" s="138" t="str">
        <f t="shared" si="51"/>
        <v/>
      </c>
      <c r="I107" s="138" t="str">
        <f t="shared" si="52"/>
        <v/>
      </c>
      <c r="J107" s="138" t="str">
        <f t="shared" si="53"/>
        <v/>
      </c>
      <c r="K107" s="138" t="str">
        <f t="shared" si="54"/>
        <v/>
      </c>
      <c r="L107" s="138" t="str">
        <f t="shared" si="55"/>
        <v/>
      </c>
      <c r="M107" s="138" t="str">
        <f t="shared" si="56"/>
        <v/>
      </c>
      <c r="N107" s="138" t="str">
        <f t="shared" si="57"/>
        <v/>
      </c>
      <c r="O107" s="138" t="str">
        <f t="shared" si="58"/>
        <v/>
      </c>
      <c r="P107" s="138" t="str">
        <f t="shared" si="59"/>
        <v/>
      </c>
      <c r="Q107" s="138" t="str">
        <f t="shared" si="60"/>
        <v/>
      </c>
      <c r="R107" s="138" t="str">
        <f t="shared" si="61"/>
        <v/>
      </c>
      <c r="S107" s="138" t="str">
        <f t="shared" si="62"/>
        <v/>
      </c>
      <c r="T107" s="138" t="str">
        <f t="shared" si="63"/>
        <v/>
      </c>
      <c r="U107" s="138" t="str">
        <f t="shared" si="64"/>
        <v/>
      </c>
      <c r="V107" s="138" t="str">
        <f t="shared" si="65"/>
        <v/>
      </c>
      <c r="W107" s="138" t="str">
        <f t="shared" si="66"/>
        <v/>
      </c>
      <c r="X107" s="138" t="str">
        <f t="shared" si="67"/>
        <v/>
      </c>
      <c r="Y107" s="138" t="str">
        <f t="shared" si="68"/>
        <v/>
      </c>
      <c r="Z107" s="138" t="str">
        <f t="shared" si="69"/>
        <v/>
      </c>
      <c r="AA107" s="138" t="str">
        <f t="shared" si="70"/>
        <v/>
      </c>
      <c r="AB107" s="138" t="str">
        <f t="shared" si="71"/>
        <v/>
      </c>
      <c r="AC107" s="138" t="str">
        <f t="shared" si="72"/>
        <v/>
      </c>
      <c r="AD107" s="138" t="str">
        <f t="shared" si="73"/>
        <v/>
      </c>
      <c r="AE107" s="138" t="str">
        <f t="shared" si="74"/>
        <v/>
      </c>
      <c r="AF107" s="138" t="str">
        <f t="shared" si="75"/>
        <v/>
      </c>
      <c r="AG107" s="138" t="str">
        <f t="shared" si="76"/>
        <v/>
      </c>
      <c r="AH107" s="138" t="str">
        <f t="shared" si="77"/>
        <v/>
      </c>
      <c r="AI107" s="138" t="str">
        <f t="shared" si="78"/>
        <v/>
      </c>
      <c r="AJ107" s="138" t="str">
        <f t="shared" si="79"/>
        <v/>
      </c>
      <c r="AK107" s="138" t="str">
        <f t="shared" si="80"/>
        <v/>
      </c>
      <c r="AL107" s="138" t="str">
        <f t="shared" si="81"/>
        <v/>
      </c>
      <c r="AM107" s="259">
        <f t="shared" si="87"/>
        <v>0</v>
      </c>
      <c r="AN107" s="110"/>
    </row>
    <row r="108" spans="1:40" s="23" customFormat="1" ht="15.75" hidden="1">
      <c r="A108" s="21" t="str">
        <f>IF($A$2="","",IF(MAX($A$9:A107)+1&gt;$A$2,"",MAX($A$9:A107)+1))</f>
        <v/>
      </c>
      <c r="B108" s="18" t="str">
        <f t="shared" si="83"/>
        <v/>
      </c>
      <c r="C108" s="19" t="str">
        <f t="shared" si="84"/>
        <v/>
      </c>
      <c r="D108" s="20" t="str">
        <f t="shared" si="85"/>
        <v/>
      </c>
      <c r="E108" s="77" t="str">
        <f t="shared" si="86"/>
        <v/>
      </c>
      <c r="F108" s="138" t="str">
        <f t="shared" si="49"/>
        <v/>
      </c>
      <c r="G108" s="138" t="str">
        <f t="shared" si="50"/>
        <v/>
      </c>
      <c r="H108" s="138" t="str">
        <f t="shared" si="51"/>
        <v/>
      </c>
      <c r="I108" s="138" t="str">
        <f t="shared" si="52"/>
        <v/>
      </c>
      <c r="J108" s="138" t="str">
        <f t="shared" si="53"/>
        <v/>
      </c>
      <c r="K108" s="138" t="str">
        <f t="shared" si="54"/>
        <v/>
      </c>
      <c r="L108" s="138" t="str">
        <f t="shared" si="55"/>
        <v/>
      </c>
      <c r="M108" s="138" t="str">
        <f t="shared" si="56"/>
        <v/>
      </c>
      <c r="N108" s="138" t="str">
        <f t="shared" si="57"/>
        <v/>
      </c>
      <c r="O108" s="138" t="str">
        <f t="shared" si="58"/>
        <v/>
      </c>
      <c r="P108" s="138" t="str">
        <f t="shared" si="59"/>
        <v/>
      </c>
      <c r="Q108" s="138" t="str">
        <f t="shared" si="60"/>
        <v/>
      </c>
      <c r="R108" s="138" t="str">
        <f t="shared" si="61"/>
        <v/>
      </c>
      <c r="S108" s="138" t="str">
        <f t="shared" si="62"/>
        <v/>
      </c>
      <c r="T108" s="138" t="str">
        <f t="shared" si="63"/>
        <v/>
      </c>
      <c r="U108" s="138" t="str">
        <f t="shared" si="64"/>
        <v/>
      </c>
      <c r="V108" s="138" t="str">
        <f t="shared" si="65"/>
        <v/>
      </c>
      <c r="W108" s="138" t="str">
        <f t="shared" si="66"/>
        <v/>
      </c>
      <c r="X108" s="138" t="str">
        <f t="shared" si="67"/>
        <v/>
      </c>
      <c r="Y108" s="138" t="str">
        <f t="shared" si="68"/>
        <v/>
      </c>
      <c r="Z108" s="138" t="str">
        <f t="shared" si="69"/>
        <v/>
      </c>
      <c r="AA108" s="138" t="str">
        <f t="shared" si="70"/>
        <v/>
      </c>
      <c r="AB108" s="138" t="str">
        <f t="shared" si="71"/>
        <v/>
      </c>
      <c r="AC108" s="138" t="str">
        <f t="shared" si="72"/>
        <v/>
      </c>
      <c r="AD108" s="138" t="str">
        <f t="shared" si="73"/>
        <v/>
      </c>
      <c r="AE108" s="138" t="str">
        <f t="shared" si="74"/>
        <v/>
      </c>
      <c r="AF108" s="138" t="str">
        <f t="shared" si="75"/>
        <v/>
      </c>
      <c r="AG108" s="138" t="str">
        <f t="shared" si="76"/>
        <v/>
      </c>
      <c r="AH108" s="138" t="str">
        <f t="shared" si="77"/>
        <v/>
      </c>
      <c r="AI108" s="138" t="str">
        <f t="shared" si="78"/>
        <v/>
      </c>
      <c r="AJ108" s="138" t="str">
        <f t="shared" si="79"/>
        <v/>
      </c>
      <c r="AK108" s="138" t="str">
        <f t="shared" si="80"/>
        <v/>
      </c>
      <c r="AL108" s="138" t="str">
        <f t="shared" si="81"/>
        <v/>
      </c>
      <c r="AM108" s="259">
        <f t="shared" si="87"/>
        <v>0</v>
      </c>
      <c r="AN108" s="110"/>
    </row>
    <row r="109" spans="1:40" s="23" customFormat="1" ht="15.75" hidden="1">
      <c r="A109" s="21" t="str">
        <f>IF($A$2="","",IF(MAX($A$9:A108)+1&gt;$A$2,"",MAX($A$9:A108)+1))</f>
        <v/>
      </c>
      <c r="B109" s="18" t="str">
        <f t="shared" si="83"/>
        <v/>
      </c>
      <c r="C109" s="19" t="str">
        <f t="shared" si="84"/>
        <v/>
      </c>
      <c r="D109" s="20" t="str">
        <f t="shared" si="85"/>
        <v/>
      </c>
      <c r="E109" s="77" t="str">
        <f t="shared" si="86"/>
        <v/>
      </c>
      <c r="F109" s="138" t="str">
        <f t="shared" si="49"/>
        <v/>
      </c>
      <c r="G109" s="138" t="str">
        <f t="shared" si="50"/>
        <v/>
      </c>
      <c r="H109" s="138" t="str">
        <f t="shared" si="51"/>
        <v/>
      </c>
      <c r="I109" s="138" t="str">
        <f t="shared" si="52"/>
        <v/>
      </c>
      <c r="J109" s="138" t="str">
        <f t="shared" si="53"/>
        <v/>
      </c>
      <c r="K109" s="138" t="str">
        <f t="shared" si="54"/>
        <v/>
      </c>
      <c r="L109" s="138" t="str">
        <f t="shared" si="55"/>
        <v/>
      </c>
      <c r="M109" s="138" t="str">
        <f t="shared" si="56"/>
        <v/>
      </c>
      <c r="N109" s="138" t="str">
        <f t="shared" si="57"/>
        <v/>
      </c>
      <c r="O109" s="138" t="str">
        <f t="shared" si="58"/>
        <v/>
      </c>
      <c r="P109" s="138" t="str">
        <f t="shared" si="59"/>
        <v/>
      </c>
      <c r="Q109" s="138" t="str">
        <f t="shared" si="60"/>
        <v/>
      </c>
      <c r="R109" s="138" t="str">
        <f t="shared" si="61"/>
        <v/>
      </c>
      <c r="S109" s="138" t="str">
        <f t="shared" si="62"/>
        <v/>
      </c>
      <c r="T109" s="138" t="str">
        <f t="shared" si="63"/>
        <v/>
      </c>
      <c r="U109" s="138" t="str">
        <f t="shared" si="64"/>
        <v/>
      </c>
      <c r="V109" s="138" t="str">
        <f t="shared" si="65"/>
        <v/>
      </c>
      <c r="W109" s="138" t="str">
        <f t="shared" si="66"/>
        <v/>
      </c>
      <c r="X109" s="138" t="str">
        <f t="shared" si="67"/>
        <v/>
      </c>
      <c r="Y109" s="138" t="str">
        <f t="shared" si="68"/>
        <v/>
      </c>
      <c r="Z109" s="138" t="str">
        <f t="shared" si="69"/>
        <v/>
      </c>
      <c r="AA109" s="138" t="str">
        <f t="shared" si="70"/>
        <v/>
      </c>
      <c r="AB109" s="138" t="str">
        <f t="shared" si="71"/>
        <v/>
      </c>
      <c r="AC109" s="138" t="str">
        <f t="shared" si="72"/>
        <v/>
      </c>
      <c r="AD109" s="138" t="str">
        <f t="shared" si="73"/>
        <v/>
      </c>
      <c r="AE109" s="138" t="str">
        <f t="shared" si="74"/>
        <v/>
      </c>
      <c r="AF109" s="138" t="str">
        <f t="shared" si="75"/>
        <v/>
      </c>
      <c r="AG109" s="138" t="str">
        <f t="shared" si="76"/>
        <v/>
      </c>
      <c r="AH109" s="138" t="str">
        <f t="shared" si="77"/>
        <v/>
      </c>
      <c r="AI109" s="138" t="str">
        <f t="shared" si="78"/>
        <v/>
      </c>
      <c r="AJ109" s="138" t="str">
        <f t="shared" si="79"/>
        <v/>
      </c>
      <c r="AK109" s="138" t="str">
        <f t="shared" si="80"/>
        <v/>
      </c>
      <c r="AL109" s="138" t="str">
        <f t="shared" si="81"/>
        <v/>
      </c>
      <c r="AM109" s="259">
        <f t="shared" si="87"/>
        <v>0</v>
      </c>
      <c r="AN109" s="110"/>
    </row>
    <row r="110" spans="1:40" s="23" customFormat="1" ht="15.75" hidden="1">
      <c r="A110" s="21" t="str">
        <f>IF($A$2="","",IF(MAX($A$9:A109)+1&gt;$A$2,"",MAX($A$9:A109)+1))</f>
        <v/>
      </c>
      <c r="B110" s="18" t="str">
        <f t="shared" si="83"/>
        <v/>
      </c>
      <c r="C110" s="19" t="str">
        <f t="shared" si="84"/>
        <v/>
      </c>
      <c r="D110" s="20" t="str">
        <f t="shared" si="85"/>
        <v/>
      </c>
      <c r="E110" s="77" t="str">
        <f t="shared" si="86"/>
        <v/>
      </c>
      <c r="F110" s="138" t="str">
        <f t="shared" si="49"/>
        <v/>
      </c>
      <c r="G110" s="138" t="str">
        <f t="shared" si="50"/>
        <v/>
      </c>
      <c r="H110" s="138" t="str">
        <f t="shared" si="51"/>
        <v/>
      </c>
      <c r="I110" s="138" t="str">
        <f t="shared" si="52"/>
        <v/>
      </c>
      <c r="J110" s="138" t="str">
        <f t="shared" si="53"/>
        <v/>
      </c>
      <c r="K110" s="138" t="str">
        <f t="shared" si="54"/>
        <v/>
      </c>
      <c r="L110" s="138" t="str">
        <f t="shared" si="55"/>
        <v/>
      </c>
      <c r="M110" s="138" t="str">
        <f t="shared" si="56"/>
        <v/>
      </c>
      <c r="N110" s="138" t="str">
        <f t="shared" si="57"/>
        <v/>
      </c>
      <c r="O110" s="138" t="str">
        <f t="shared" si="58"/>
        <v/>
      </c>
      <c r="P110" s="138" t="str">
        <f t="shared" si="59"/>
        <v/>
      </c>
      <c r="Q110" s="138" t="str">
        <f t="shared" si="60"/>
        <v/>
      </c>
      <c r="R110" s="138" t="str">
        <f t="shared" si="61"/>
        <v/>
      </c>
      <c r="S110" s="138" t="str">
        <f t="shared" si="62"/>
        <v/>
      </c>
      <c r="T110" s="138" t="str">
        <f t="shared" si="63"/>
        <v/>
      </c>
      <c r="U110" s="138" t="str">
        <f t="shared" si="64"/>
        <v/>
      </c>
      <c r="V110" s="138" t="str">
        <f t="shared" si="65"/>
        <v/>
      </c>
      <c r="W110" s="138" t="str">
        <f t="shared" si="66"/>
        <v/>
      </c>
      <c r="X110" s="138" t="str">
        <f t="shared" si="67"/>
        <v/>
      </c>
      <c r="Y110" s="138" t="str">
        <f t="shared" si="68"/>
        <v/>
      </c>
      <c r="Z110" s="138" t="str">
        <f t="shared" si="69"/>
        <v/>
      </c>
      <c r="AA110" s="138" t="str">
        <f t="shared" si="70"/>
        <v/>
      </c>
      <c r="AB110" s="138" t="str">
        <f t="shared" si="71"/>
        <v/>
      </c>
      <c r="AC110" s="138" t="str">
        <f t="shared" si="72"/>
        <v/>
      </c>
      <c r="AD110" s="138" t="str">
        <f t="shared" si="73"/>
        <v/>
      </c>
      <c r="AE110" s="138" t="str">
        <f t="shared" si="74"/>
        <v/>
      </c>
      <c r="AF110" s="138" t="str">
        <f t="shared" si="75"/>
        <v/>
      </c>
      <c r="AG110" s="138" t="str">
        <f t="shared" si="76"/>
        <v/>
      </c>
      <c r="AH110" s="138" t="str">
        <f t="shared" si="77"/>
        <v/>
      </c>
      <c r="AI110" s="138" t="str">
        <f t="shared" si="78"/>
        <v/>
      </c>
      <c r="AJ110" s="138" t="str">
        <f t="shared" si="79"/>
        <v/>
      </c>
      <c r="AK110" s="138" t="str">
        <f t="shared" si="80"/>
        <v/>
      </c>
      <c r="AL110" s="138" t="str">
        <f t="shared" si="81"/>
        <v/>
      </c>
      <c r="AM110" s="259">
        <f t="shared" si="87"/>
        <v>0</v>
      </c>
      <c r="AN110" s="110"/>
    </row>
    <row r="111" spans="1:40">
      <c r="A111" s="662"/>
      <c r="B111" s="663"/>
      <c r="C111" s="662"/>
      <c r="D111" s="664"/>
      <c r="E111" s="662"/>
      <c r="F111" s="665"/>
      <c r="G111" s="665"/>
      <c r="H111" s="666"/>
      <c r="I111" s="666"/>
      <c r="J111" s="666"/>
      <c r="K111" s="666"/>
      <c r="L111" s="666"/>
      <c r="M111" s="666"/>
      <c r="N111" s="666"/>
      <c r="O111" s="666"/>
      <c r="P111" s="666"/>
      <c r="Q111" s="666"/>
      <c r="R111" s="666"/>
      <c r="S111" s="666"/>
      <c r="T111" s="666"/>
      <c r="U111" s="666"/>
      <c r="V111" s="666"/>
      <c r="W111" s="666"/>
      <c r="X111" s="666"/>
      <c r="Y111" s="666"/>
      <c r="Z111" s="666"/>
      <c r="AA111" s="666"/>
      <c r="AB111" s="666"/>
      <c r="AC111" s="666"/>
      <c r="AD111" s="666"/>
      <c r="AE111" s="666"/>
      <c r="AF111" s="666"/>
      <c r="AG111" s="666"/>
      <c r="AH111" s="666"/>
      <c r="AI111" s="666"/>
      <c r="AJ111" s="666"/>
      <c r="AK111" s="666"/>
      <c r="AL111" s="667"/>
      <c r="AM111" s="668"/>
      <c r="AN111" s="662"/>
    </row>
    <row r="112" spans="1:40">
      <c r="K112" s="264"/>
      <c r="L112" s="264"/>
      <c r="M112" s="264"/>
      <c r="P112" s="264"/>
      <c r="Q112" s="264"/>
      <c r="T112" s="264"/>
      <c r="U112" s="264"/>
      <c r="V112" s="264"/>
      <c r="W112" s="264"/>
      <c r="X112" s="264"/>
      <c r="Y112" s="264"/>
      <c r="Z112" s="264"/>
      <c r="AA112" s="264"/>
      <c r="AB112" s="264"/>
      <c r="AC112" s="264"/>
      <c r="AD112" s="264"/>
      <c r="AE112" s="264"/>
      <c r="AF112" s="264"/>
      <c r="AG112" s="264"/>
      <c r="AH112" s="264"/>
      <c r="AI112" s="264"/>
      <c r="AJ112" s="264"/>
      <c r="AK112" s="264"/>
    </row>
    <row r="113" spans="1:39" ht="18.75">
      <c r="A113" s="40"/>
      <c r="B113" s="40"/>
      <c r="C113" s="40"/>
      <c r="E113" s="40"/>
      <c r="F113" s="264"/>
      <c r="G113" s="264"/>
      <c r="K113" s="264"/>
      <c r="L113" s="264"/>
      <c r="M113" s="40"/>
      <c r="N113" s="258"/>
      <c r="O113" s="258"/>
      <c r="P113" s="258"/>
      <c r="Q113" s="258"/>
      <c r="R113" s="258"/>
      <c r="S113" s="258"/>
      <c r="T113" s="258"/>
      <c r="U113" s="258"/>
      <c r="V113" s="258"/>
      <c r="W113" s="258"/>
      <c r="X113" s="258"/>
      <c r="Y113" s="258"/>
      <c r="Z113" s="258"/>
      <c r="AA113" s="258"/>
      <c r="AB113" s="258"/>
      <c r="AC113" s="258"/>
      <c r="AD113" s="258"/>
      <c r="AE113" s="258"/>
      <c r="AF113" s="258"/>
      <c r="AG113" s="258"/>
      <c r="AH113" s="258"/>
      <c r="AI113" s="258"/>
      <c r="AJ113" s="258"/>
      <c r="AK113" s="258"/>
      <c r="AL113" s="258"/>
      <c r="AM113" s="40"/>
    </row>
    <row r="114" spans="1:39" ht="18.75">
      <c r="A114" s="40"/>
      <c r="B114" s="40"/>
      <c r="C114" s="40"/>
      <c r="E114" s="832"/>
      <c r="F114" s="264"/>
      <c r="G114" s="264"/>
      <c r="I114" s="831"/>
      <c r="K114" s="264"/>
      <c r="L114" s="264"/>
      <c r="M114" s="40"/>
      <c r="N114" s="258"/>
      <c r="O114" s="258"/>
      <c r="P114" s="258"/>
      <c r="Q114" s="258"/>
      <c r="R114" s="258"/>
      <c r="S114" s="258"/>
      <c r="T114" s="258"/>
      <c r="U114" s="258"/>
      <c r="V114" s="258"/>
      <c r="W114" s="258"/>
      <c r="X114" s="258"/>
      <c r="Y114" s="258"/>
      <c r="Z114" s="258"/>
      <c r="AA114" s="258"/>
      <c r="AB114" s="258"/>
      <c r="AC114" s="258"/>
      <c r="AD114" s="258"/>
      <c r="AE114" s="258"/>
      <c r="AF114" s="258"/>
      <c r="AG114" s="258"/>
      <c r="AH114" s="258"/>
      <c r="AI114" s="258"/>
      <c r="AJ114" s="258"/>
      <c r="AK114" s="258"/>
      <c r="AL114" s="258"/>
      <c r="AM114" s="40"/>
    </row>
    <row r="115" spans="1:39" ht="18.75">
      <c r="A115" s="942"/>
      <c r="B115" s="942"/>
      <c r="C115" s="942"/>
      <c r="D115" s="942"/>
      <c r="E115" s="942"/>
      <c r="F115" s="264"/>
      <c r="G115" s="264"/>
      <c r="K115" s="264"/>
      <c r="L115" s="264"/>
      <c r="M115" s="40"/>
      <c r="N115" s="258"/>
      <c r="O115" s="258"/>
      <c r="P115" s="258"/>
      <c r="Q115" s="258"/>
      <c r="R115" s="258"/>
      <c r="S115" s="258"/>
      <c r="T115" s="258"/>
      <c r="U115" s="258"/>
      <c r="V115" s="258"/>
      <c r="W115" s="258"/>
      <c r="X115" s="258"/>
      <c r="Y115" s="258"/>
      <c r="Z115" s="258"/>
      <c r="AA115" s="258"/>
      <c r="AB115" s="258"/>
      <c r="AC115" s="258"/>
      <c r="AD115" s="258"/>
      <c r="AE115" s="258"/>
      <c r="AF115" s="258"/>
      <c r="AG115" s="258"/>
      <c r="AH115" s="258"/>
      <c r="AI115" s="258"/>
      <c r="AJ115" s="258"/>
      <c r="AK115" s="258"/>
      <c r="AL115" s="258"/>
      <c r="AM115" s="40"/>
    </row>
    <row r="116" spans="1:39" ht="18.75">
      <c r="A116" s="942"/>
      <c r="B116" s="942"/>
      <c r="C116" s="942"/>
      <c r="D116" s="942"/>
      <c r="E116" s="942"/>
      <c r="F116" s="264"/>
      <c r="G116" s="264"/>
      <c r="K116" s="264"/>
      <c r="L116" s="264"/>
      <c r="M116" s="43"/>
      <c r="N116" s="258"/>
      <c r="O116" s="258"/>
      <c r="P116" s="258"/>
      <c r="Q116" s="258"/>
      <c r="R116" s="258"/>
      <c r="S116" s="258"/>
      <c r="T116" s="258"/>
      <c r="U116" s="258"/>
      <c r="V116" s="258"/>
      <c r="W116" s="258"/>
      <c r="X116" s="258"/>
      <c r="Y116" s="258"/>
      <c r="Z116" s="258"/>
      <c r="AA116" s="258"/>
      <c r="AB116" s="258"/>
      <c r="AC116" s="258"/>
      <c r="AD116" s="258"/>
      <c r="AE116" s="258"/>
      <c r="AF116" s="258"/>
      <c r="AG116" s="258"/>
      <c r="AH116" s="258"/>
      <c r="AI116" s="258"/>
      <c r="AJ116" s="258"/>
      <c r="AK116" s="258"/>
      <c r="AL116" s="258"/>
      <c r="AM116" s="43"/>
    </row>
    <row r="117" spans="1:39">
      <c r="A117" s="942"/>
      <c r="B117" s="942"/>
      <c r="C117" s="942"/>
      <c r="D117" s="942"/>
      <c r="E117" s="942"/>
      <c r="K117" s="264"/>
      <c r="L117" s="264"/>
      <c r="M117" s="264"/>
      <c r="P117" s="264"/>
      <c r="Q117" s="264"/>
      <c r="T117" s="264"/>
      <c r="U117" s="264"/>
      <c r="V117" s="264"/>
      <c r="W117" s="264"/>
      <c r="X117" s="264"/>
      <c r="Y117" s="264"/>
      <c r="Z117" s="264"/>
      <c r="AA117" s="264"/>
      <c r="AB117" s="264"/>
      <c r="AC117" s="264"/>
      <c r="AD117" s="264"/>
      <c r="AE117" s="264"/>
      <c r="AF117" s="264"/>
      <c r="AG117" s="264"/>
      <c r="AH117" s="264"/>
      <c r="AI117" s="264"/>
      <c r="AJ117" s="264"/>
      <c r="AK117" s="264"/>
    </row>
    <row r="118" spans="1:39">
      <c r="A118" s="942"/>
      <c r="B118" s="942"/>
      <c r="C118" s="942"/>
      <c r="D118" s="942"/>
      <c r="E118" s="942"/>
      <c r="K118" s="264"/>
      <c r="L118" s="264"/>
      <c r="M118" s="264"/>
      <c r="P118" s="264"/>
      <c r="Q118" s="264"/>
      <c r="T118" s="264"/>
      <c r="U118" s="264"/>
      <c r="V118" s="264"/>
      <c r="W118" s="264"/>
      <c r="X118" s="264"/>
      <c r="Y118" s="264"/>
      <c r="Z118" s="264"/>
      <c r="AA118" s="264"/>
      <c r="AB118" s="264"/>
      <c r="AC118" s="264"/>
      <c r="AD118" s="264"/>
      <c r="AE118" s="264"/>
      <c r="AF118" s="264"/>
      <c r="AG118" s="264"/>
      <c r="AH118" s="264"/>
      <c r="AI118" s="264"/>
      <c r="AJ118" s="264"/>
      <c r="AK118" s="264"/>
    </row>
    <row r="119" spans="1:39">
      <c r="A119" s="942"/>
      <c r="B119" s="942"/>
      <c r="C119" s="942"/>
      <c r="D119" s="942"/>
      <c r="E119" s="942"/>
      <c r="K119" s="264"/>
      <c r="L119" s="264"/>
      <c r="M119" s="264"/>
      <c r="P119" s="264"/>
      <c r="Q119" s="264"/>
      <c r="T119" s="264"/>
      <c r="U119" s="264"/>
      <c r="V119" s="264"/>
      <c r="W119" s="264"/>
      <c r="X119" s="264"/>
      <c r="Y119" s="264"/>
      <c r="Z119" s="264"/>
      <c r="AA119" s="264"/>
      <c r="AB119" s="264"/>
      <c r="AC119" s="264"/>
      <c r="AD119" s="264"/>
      <c r="AE119" s="264"/>
      <c r="AF119" s="264"/>
      <c r="AG119" s="264"/>
      <c r="AH119" s="264"/>
      <c r="AI119" s="264"/>
      <c r="AJ119" s="264"/>
      <c r="AK119" s="264"/>
    </row>
    <row r="120" spans="1:39">
      <c r="A120" s="942"/>
      <c r="B120" s="942"/>
      <c r="C120" s="942"/>
      <c r="D120" s="942"/>
      <c r="E120" s="942"/>
      <c r="K120" s="264"/>
      <c r="L120" s="264"/>
      <c r="M120" s="264"/>
      <c r="P120" s="264"/>
      <c r="Q120" s="264"/>
      <c r="T120" s="264"/>
      <c r="U120" s="264"/>
      <c r="V120" s="264"/>
      <c r="W120" s="264"/>
      <c r="X120" s="264"/>
      <c r="Y120" s="264"/>
      <c r="Z120" s="264"/>
      <c r="AA120" s="264"/>
      <c r="AB120" s="264"/>
      <c r="AC120" s="264"/>
      <c r="AD120" s="264"/>
      <c r="AE120" s="264"/>
      <c r="AF120" s="264"/>
      <c r="AG120" s="264"/>
      <c r="AH120" s="264"/>
      <c r="AI120" s="264"/>
      <c r="AJ120" s="264"/>
      <c r="AK120" s="264"/>
    </row>
    <row r="121" spans="1:39">
      <c r="K121" s="264"/>
      <c r="L121" s="264"/>
      <c r="M121" s="264"/>
      <c r="P121" s="264"/>
      <c r="Q121" s="264"/>
      <c r="T121" s="264"/>
      <c r="U121" s="264"/>
      <c r="V121" s="264"/>
      <c r="W121" s="264"/>
      <c r="X121" s="264"/>
      <c r="Y121" s="264"/>
      <c r="Z121" s="264"/>
      <c r="AA121" s="264"/>
      <c r="AB121" s="264"/>
      <c r="AC121" s="264"/>
      <c r="AD121" s="264"/>
      <c r="AE121" s="264"/>
      <c r="AF121" s="264"/>
      <c r="AG121" s="264"/>
      <c r="AH121" s="264"/>
      <c r="AI121" s="264"/>
      <c r="AJ121" s="264"/>
      <c r="AK121" s="264"/>
    </row>
    <row r="122" spans="1:39">
      <c r="K122" s="264"/>
      <c r="L122" s="264"/>
      <c r="M122" s="264"/>
      <c r="P122" s="264"/>
      <c r="Q122" s="264"/>
      <c r="T122" s="264"/>
      <c r="U122" s="264"/>
      <c r="V122" s="264"/>
      <c r="W122" s="264"/>
      <c r="X122" s="264"/>
      <c r="Y122" s="264"/>
      <c r="Z122" s="264"/>
      <c r="AA122" s="264"/>
      <c r="AB122" s="264"/>
      <c r="AC122" s="264"/>
      <c r="AD122" s="264"/>
      <c r="AE122" s="264"/>
      <c r="AF122" s="264"/>
      <c r="AG122" s="264"/>
      <c r="AH122" s="264"/>
      <c r="AI122" s="264"/>
      <c r="AJ122" s="264"/>
      <c r="AK122" s="264"/>
    </row>
    <row r="123" spans="1:39">
      <c r="K123" s="264"/>
      <c r="L123" s="264"/>
      <c r="M123" s="264"/>
      <c r="P123" s="264"/>
      <c r="Q123" s="264"/>
      <c r="T123" s="264"/>
      <c r="U123" s="264"/>
      <c r="V123" s="264"/>
      <c r="W123" s="264"/>
      <c r="X123" s="264"/>
      <c r="Y123" s="264"/>
      <c r="Z123" s="264"/>
      <c r="AA123" s="264"/>
      <c r="AB123" s="264"/>
      <c r="AC123" s="264"/>
      <c r="AD123" s="264"/>
      <c r="AE123" s="264"/>
      <c r="AF123" s="264"/>
      <c r="AG123" s="264"/>
      <c r="AH123" s="264"/>
      <c r="AI123" s="264"/>
      <c r="AJ123" s="264"/>
      <c r="AK123" s="264"/>
    </row>
    <row r="124" spans="1:39">
      <c r="K124" s="264"/>
      <c r="L124" s="264"/>
      <c r="M124" s="264"/>
      <c r="P124" s="264"/>
      <c r="Q124" s="264"/>
      <c r="T124" s="264"/>
      <c r="U124" s="264"/>
      <c r="V124" s="264"/>
      <c r="W124" s="264"/>
      <c r="X124" s="264"/>
      <c r="Y124" s="264"/>
      <c r="Z124" s="264"/>
      <c r="AA124" s="264"/>
      <c r="AB124" s="264"/>
      <c r="AC124" s="264"/>
      <c r="AD124" s="264"/>
      <c r="AE124" s="264"/>
      <c r="AF124" s="264"/>
      <c r="AG124" s="264"/>
      <c r="AH124" s="264"/>
      <c r="AI124" s="264"/>
      <c r="AJ124" s="264"/>
      <c r="AK124" s="264"/>
    </row>
    <row r="125" spans="1:39">
      <c r="K125" s="264"/>
      <c r="L125" s="264"/>
      <c r="M125" s="264"/>
      <c r="P125" s="264"/>
      <c r="Q125" s="264"/>
      <c r="T125" s="264"/>
      <c r="U125" s="264"/>
      <c r="V125" s="264"/>
      <c r="W125" s="264"/>
      <c r="X125" s="264"/>
      <c r="Y125" s="264"/>
      <c r="Z125" s="264"/>
      <c r="AA125" s="264"/>
      <c r="AB125" s="264"/>
      <c r="AC125" s="264"/>
      <c r="AD125" s="264"/>
      <c r="AE125" s="264"/>
      <c r="AF125" s="264"/>
      <c r="AG125" s="264"/>
      <c r="AH125" s="264"/>
      <c r="AI125" s="264"/>
      <c r="AJ125" s="264"/>
      <c r="AK125" s="264"/>
    </row>
    <row r="126" spans="1:39">
      <c r="K126" s="264"/>
      <c r="L126" s="264"/>
      <c r="M126" s="264"/>
      <c r="P126" s="264"/>
      <c r="Q126" s="264"/>
      <c r="T126" s="264"/>
      <c r="U126" s="264"/>
      <c r="V126" s="264"/>
      <c r="W126" s="264"/>
      <c r="X126" s="264"/>
      <c r="Y126" s="264"/>
      <c r="Z126" s="264"/>
      <c r="AA126" s="264"/>
      <c r="AB126" s="264"/>
      <c r="AC126" s="264"/>
      <c r="AD126" s="264"/>
      <c r="AE126" s="264"/>
      <c r="AF126" s="264"/>
      <c r="AG126" s="264"/>
      <c r="AH126" s="264"/>
      <c r="AI126" s="264"/>
      <c r="AJ126" s="264"/>
      <c r="AK126" s="264"/>
    </row>
    <row r="127" spans="1:39">
      <c r="K127" s="264"/>
      <c r="L127" s="264"/>
      <c r="M127" s="264"/>
      <c r="P127" s="264"/>
      <c r="Q127" s="264"/>
      <c r="T127" s="264"/>
      <c r="U127" s="264"/>
      <c r="V127" s="264"/>
      <c r="W127" s="264"/>
      <c r="X127" s="264"/>
      <c r="Y127" s="264"/>
      <c r="Z127" s="264"/>
      <c r="AA127" s="264"/>
      <c r="AB127" s="264"/>
      <c r="AC127" s="264"/>
      <c r="AD127" s="264"/>
      <c r="AE127" s="264"/>
      <c r="AF127" s="264"/>
      <c r="AG127" s="264"/>
      <c r="AH127" s="264"/>
      <c r="AI127" s="264"/>
      <c r="AJ127" s="264"/>
      <c r="AK127" s="264"/>
    </row>
    <row r="128" spans="1:39">
      <c r="K128" s="264"/>
      <c r="L128" s="264"/>
      <c r="M128" s="264"/>
      <c r="P128" s="264"/>
      <c r="Q128" s="264"/>
      <c r="T128" s="264"/>
      <c r="U128" s="264"/>
      <c r="V128" s="264"/>
      <c r="W128" s="264"/>
      <c r="X128" s="264"/>
      <c r="Y128" s="264"/>
      <c r="Z128" s="264"/>
      <c r="AA128" s="264"/>
      <c r="AB128" s="264"/>
      <c r="AC128" s="264"/>
      <c r="AD128" s="264"/>
      <c r="AE128" s="264"/>
      <c r="AF128" s="264"/>
      <c r="AG128" s="264"/>
      <c r="AH128" s="264"/>
      <c r="AI128" s="264"/>
      <c r="AJ128" s="264"/>
      <c r="AK128" s="264"/>
    </row>
    <row r="129" spans="11:37">
      <c r="K129" s="264"/>
      <c r="L129" s="264"/>
      <c r="M129" s="264"/>
      <c r="P129" s="264"/>
      <c r="Q129" s="264"/>
      <c r="T129" s="264"/>
      <c r="U129" s="264"/>
      <c r="V129" s="264"/>
      <c r="W129" s="264"/>
      <c r="X129" s="264"/>
      <c r="Y129" s="264"/>
      <c r="Z129" s="264"/>
      <c r="AA129" s="264"/>
      <c r="AB129" s="264"/>
      <c r="AC129" s="264"/>
      <c r="AD129" s="264"/>
      <c r="AE129" s="264"/>
      <c r="AF129" s="264"/>
      <c r="AG129" s="264"/>
      <c r="AH129" s="264"/>
      <c r="AI129" s="264"/>
      <c r="AJ129" s="264"/>
      <c r="AK129" s="264"/>
    </row>
    <row r="130" spans="11:37">
      <c r="K130" s="264"/>
      <c r="L130" s="264"/>
      <c r="M130" s="264"/>
      <c r="P130" s="264"/>
      <c r="Q130" s="264"/>
      <c r="T130" s="264"/>
      <c r="U130" s="264"/>
      <c r="V130" s="264"/>
      <c r="W130" s="264"/>
      <c r="X130" s="264"/>
      <c r="Y130" s="264"/>
      <c r="Z130" s="264"/>
      <c r="AA130" s="264"/>
      <c r="AB130" s="264"/>
      <c r="AC130" s="264"/>
      <c r="AD130" s="264"/>
      <c r="AE130" s="264"/>
      <c r="AF130" s="264"/>
      <c r="AG130" s="264"/>
      <c r="AH130" s="264"/>
      <c r="AI130" s="264"/>
      <c r="AJ130" s="264"/>
      <c r="AK130" s="264"/>
    </row>
    <row r="131" spans="11:37">
      <c r="K131" s="264"/>
      <c r="L131" s="264"/>
      <c r="M131" s="264"/>
      <c r="P131" s="264"/>
      <c r="Q131" s="264"/>
      <c r="T131" s="264"/>
      <c r="U131" s="264"/>
      <c r="V131" s="264"/>
      <c r="W131" s="264"/>
      <c r="X131" s="264"/>
      <c r="Y131" s="264"/>
      <c r="Z131" s="264"/>
      <c r="AA131" s="264"/>
      <c r="AB131" s="264"/>
      <c r="AC131" s="264"/>
      <c r="AD131" s="264"/>
      <c r="AE131" s="264"/>
      <c r="AF131" s="264"/>
      <c r="AG131" s="264"/>
      <c r="AH131" s="264"/>
      <c r="AI131" s="264"/>
      <c r="AJ131" s="264"/>
      <c r="AK131" s="264"/>
    </row>
    <row r="132" spans="11:37">
      <c r="K132" s="264"/>
      <c r="L132" s="264"/>
      <c r="M132" s="264"/>
      <c r="P132" s="264"/>
      <c r="Q132" s="264"/>
      <c r="T132" s="264"/>
      <c r="U132" s="264"/>
      <c r="V132" s="264"/>
      <c r="W132" s="264"/>
      <c r="X132" s="264"/>
      <c r="Y132" s="264"/>
      <c r="Z132" s="264"/>
      <c r="AA132" s="264"/>
      <c r="AB132" s="264"/>
      <c r="AC132" s="264"/>
      <c r="AD132" s="264"/>
      <c r="AE132" s="264"/>
      <c r="AF132" s="264"/>
      <c r="AG132" s="264"/>
      <c r="AH132" s="264"/>
      <c r="AI132" s="264"/>
      <c r="AJ132" s="264"/>
      <c r="AK132" s="264"/>
    </row>
    <row r="133" spans="11:37">
      <c r="K133" s="264"/>
      <c r="L133" s="264"/>
      <c r="M133" s="264"/>
      <c r="P133" s="264"/>
      <c r="Q133" s="264"/>
      <c r="T133" s="264"/>
      <c r="U133" s="264"/>
      <c r="V133" s="264"/>
      <c r="W133" s="264"/>
      <c r="X133" s="264"/>
      <c r="Y133" s="264"/>
      <c r="Z133" s="264"/>
      <c r="AA133" s="264"/>
      <c r="AB133" s="264"/>
      <c r="AC133" s="264"/>
      <c r="AD133" s="264"/>
      <c r="AE133" s="264"/>
      <c r="AF133" s="264"/>
      <c r="AG133" s="264"/>
      <c r="AH133" s="264"/>
      <c r="AI133" s="264"/>
      <c r="AJ133" s="264"/>
      <c r="AK133" s="264"/>
    </row>
    <row r="134" spans="11:37">
      <c r="K134" s="264"/>
      <c r="L134" s="264"/>
      <c r="M134" s="264"/>
      <c r="P134" s="264"/>
      <c r="Q134" s="264"/>
      <c r="T134" s="264"/>
      <c r="U134" s="264"/>
      <c r="V134" s="264"/>
      <c r="W134" s="264"/>
      <c r="X134" s="264"/>
      <c r="Y134" s="264"/>
      <c r="Z134" s="264"/>
      <c r="AA134" s="264"/>
      <c r="AB134" s="264"/>
      <c r="AC134" s="264"/>
      <c r="AD134" s="264"/>
      <c r="AE134" s="264"/>
      <c r="AF134" s="264"/>
      <c r="AG134" s="264"/>
      <c r="AH134" s="264"/>
      <c r="AI134" s="264"/>
      <c r="AJ134" s="264"/>
      <c r="AK134" s="264"/>
    </row>
    <row r="135" spans="11:37">
      <c r="K135" s="264"/>
      <c r="L135" s="264"/>
      <c r="M135" s="264"/>
      <c r="P135" s="264"/>
      <c r="Q135" s="264"/>
      <c r="T135" s="264"/>
      <c r="U135" s="264"/>
      <c r="V135" s="264"/>
      <c r="W135" s="264"/>
      <c r="X135" s="264"/>
      <c r="Y135" s="264"/>
      <c r="Z135" s="264"/>
      <c r="AA135" s="264"/>
      <c r="AB135" s="264"/>
      <c r="AC135" s="264"/>
      <c r="AD135" s="264"/>
      <c r="AE135" s="264"/>
      <c r="AF135" s="264"/>
      <c r="AG135" s="264"/>
      <c r="AH135" s="264"/>
      <c r="AI135" s="264"/>
      <c r="AJ135" s="264"/>
      <c r="AK135" s="264"/>
    </row>
  </sheetData>
  <sheetProtection formatCells="0" formatColumns="0" formatRows="0"/>
  <mergeCells count="7">
    <mergeCell ref="A115:E120"/>
    <mergeCell ref="E1:AN2"/>
    <mergeCell ref="F6:AM6"/>
    <mergeCell ref="AN6:AN7"/>
    <mergeCell ref="B6:D6"/>
    <mergeCell ref="A6:A7"/>
    <mergeCell ref="E6:E7"/>
  </mergeCells>
  <phoneticPr fontId="1" type="noConversion"/>
  <printOptions horizontalCentered="1"/>
  <pageMargins left="0.24" right="0.19" top="0.47244094488188981" bottom="0.35433070866141736" header="0.31496062992125984" footer="0.31496062992125984"/>
  <pageSetup paperSize="9" scale="65" fitToHeight="9" orientation="landscape" verticalDpi="300" r:id="rId1"/>
  <headerFooter alignWithMargins="0">
    <oddFooter>&amp;C&amp;P</oddFooter>
  </headerFooter>
  <drawing r:id="rId2"/>
  <legacyDrawing r:id="rId3"/>
  <controls>
    <mc:AlternateContent xmlns:mc="http://schemas.openxmlformats.org/markup-compatibility/2006">
      <mc:Choice Requires="x14">
        <control shapeId="3147" r:id="rId4" name="HopChon">
          <controlPr defaultSize="0" print="0" autoLine="0" linkedCell="A3" listFillRange="DSNV" r:id="rId5">
            <anchor moveWithCells="1">
              <from>
                <xdr:col>0</xdr:col>
                <xdr:colOff>19050</xdr:colOff>
                <xdr:row>2</xdr:row>
                <xdr:rowOff>9525</xdr:rowOff>
              </from>
              <to>
                <xdr:col>4</xdr:col>
                <xdr:colOff>0</xdr:colOff>
                <xdr:row>3</xdr:row>
                <xdr:rowOff>57150</xdr:rowOff>
              </to>
            </anchor>
          </controlPr>
        </control>
      </mc:Choice>
      <mc:Fallback>
        <control shapeId="3147" r:id="rId4" name="HopChon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K34"/>
  <sheetViews>
    <sheetView workbookViewId="0">
      <selection activeCell="H11" sqref="H11"/>
    </sheetView>
  </sheetViews>
  <sheetFormatPr defaultRowHeight="16.5"/>
  <cols>
    <col min="1" max="1" width="4.140625" style="794" customWidth="1"/>
    <col min="2" max="2" width="5.85546875" style="794" customWidth="1"/>
    <col min="3" max="3" width="11.28515625" style="794" customWidth="1"/>
    <col min="4" max="4" width="6" style="794" customWidth="1"/>
    <col min="5" max="5" width="11" style="794" customWidth="1"/>
    <col min="6" max="6" width="6.7109375" style="794" customWidth="1"/>
    <col min="7" max="7" width="7.42578125" style="794" customWidth="1"/>
    <col min="8" max="8" width="54.5703125" style="794" customWidth="1"/>
    <col min="9" max="9" width="7.42578125" style="794" customWidth="1"/>
    <col min="10" max="10" width="12" style="794" customWidth="1"/>
    <col min="11" max="11" width="14.28515625" style="794" customWidth="1"/>
    <col min="12" max="16384" width="9.140625" style="219"/>
  </cols>
  <sheetData>
    <row r="1" spans="1:11">
      <c r="A1" s="793"/>
      <c r="B1" s="793"/>
      <c r="C1" s="793"/>
      <c r="D1" s="793"/>
      <c r="H1" s="795"/>
      <c r="J1" s="954" t="s">
        <v>639</v>
      </c>
      <c r="K1" s="954"/>
    </row>
    <row r="2" spans="1:11" ht="8.25" customHeight="1">
      <c r="A2" s="793"/>
      <c r="B2" s="793"/>
      <c r="C2" s="793"/>
      <c r="D2" s="793"/>
      <c r="H2" s="795"/>
      <c r="J2" s="796"/>
      <c r="K2" s="796"/>
    </row>
    <row r="3" spans="1:11">
      <c r="B3" s="797"/>
      <c r="C3" s="797"/>
      <c r="D3" s="797"/>
      <c r="E3" s="797" t="s">
        <v>656</v>
      </c>
      <c r="F3" s="797"/>
      <c r="G3" s="797"/>
      <c r="H3" s="797"/>
      <c r="I3" s="797"/>
      <c r="J3" s="797"/>
      <c r="K3" s="797"/>
    </row>
    <row r="4" spans="1:11">
      <c r="B4" s="797"/>
      <c r="C4" s="797"/>
      <c r="D4" s="797"/>
      <c r="E4" s="797" t="s">
        <v>655</v>
      </c>
      <c r="F4" s="797"/>
      <c r="G4" s="797"/>
      <c r="H4" s="797"/>
      <c r="I4" s="797"/>
      <c r="J4" s="797"/>
      <c r="K4" s="797"/>
    </row>
    <row r="5" spans="1:11">
      <c r="B5" s="797"/>
      <c r="C5" s="797"/>
      <c r="D5" s="797"/>
      <c r="E5" s="797" t="s">
        <v>653</v>
      </c>
      <c r="F5" s="797"/>
      <c r="G5" s="797"/>
      <c r="H5" s="797"/>
      <c r="I5" s="797"/>
      <c r="J5" s="797"/>
      <c r="K5" s="797"/>
    </row>
    <row r="6" spans="1:11">
      <c r="B6" s="797"/>
      <c r="C6" s="797"/>
      <c r="D6" s="797"/>
      <c r="E6" s="797" t="s">
        <v>654</v>
      </c>
      <c r="F6" s="797"/>
      <c r="G6" s="797"/>
      <c r="H6" s="797"/>
      <c r="I6" s="797"/>
      <c r="J6" s="797"/>
      <c r="K6" s="797"/>
    </row>
    <row r="7" spans="1:11" ht="8.25" customHeight="1">
      <c r="A7" s="795"/>
      <c r="B7" s="795"/>
      <c r="C7" s="795"/>
      <c r="D7" s="795"/>
      <c r="E7" s="795"/>
      <c r="F7" s="795"/>
      <c r="G7" s="795"/>
      <c r="H7" s="795"/>
    </row>
    <row r="8" spans="1:11" ht="18.75">
      <c r="A8" s="952" t="s">
        <v>640</v>
      </c>
      <c r="B8" s="952"/>
      <c r="C8" s="952"/>
      <c r="D8" s="952"/>
      <c r="E8" s="952"/>
      <c r="F8" s="952"/>
      <c r="G8" s="952"/>
      <c r="H8" s="952"/>
      <c r="I8" s="952"/>
      <c r="J8" s="952"/>
      <c r="K8" s="952"/>
    </row>
    <row r="9" spans="1:11" ht="6" customHeight="1">
      <c r="A9" s="798"/>
      <c r="B9" s="798"/>
      <c r="C9" s="798"/>
      <c r="D9" s="798"/>
      <c r="E9" s="798"/>
      <c r="F9" s="798"/>
      <c r="G9" s="798"/>
      <c r="H9" s="798"/>
    </row>
    <row r="10" spans="1:11">
      <c r="C10" s="799"/>
      <c r="D10" s="799"/>
      <c r="E10" s="799"/>
      <c r="F10" s="799"/>
      <c r="G10" s="799" t="s">
        <v>652</v>
      </c>
      <c r="H10" s="799"/>
    </row>
    <row r="11" spans="1:11">
      <c r="C11" s="799"/>
      <c r="D11" s="799"/>
      <c r="E11" s="799"/>
      <c r="F11" s="799"/>
      <c r="G11" s="799" t="s">
        <v>650</v>
      </c>
      <c r="H11" s="799"/>
    </row>
    <row r="12" spans="1:11">
      <c r="C12" s="799"/>
      <c r="D12" s="799"/>
      <c r="E12" s="799"/>
      <c r="F12" s="799"/>
      <c r="G12" s="799" t="s">
        <v>651</v>
      </c>
      <c r="H12" s="799"/>
      <c r="J12" s="800"/>
    </row>
    <row r="13" spans="1:11" ht="9" customHeight="1"/>
    <row r="14" spans="1:11" ht="21.75" customHeight="1">
      <c r="A14" s="955" t="s">
        <v>0</v>
      </c>
      <c r="B14" s="957" t="s">
        <v>641</v>
      </c>
      <c r="C14" s="958"/>
      <c r="D14" s="957" t="s">
        <v>1</v>
      </c>
      <c r="E14" s="958"/>
      <c r="F14" s="955" t="s">
        <v>642</v>
      </c>
      <c r="G14" s="955" t="s">
        <v>124</v>
      </c>
      <c r="H14" s="955" t="s">
        <v>86</v>
      </c>
      <c r="I14" s="957" t="s">
        <v>544</v>
      </c>
      <c r="J14" s="960"/>
      <c r="K14" s="958"/>
    </row>
    <row r="15" spans="1:11" ht="33" customHeight="1">
      <c r="A15" s="956"/>
      <c r="B15" s="801" t="s">
        <v>347</v>
      </c>
      <c r="C15" s="801" t="s">
        <v>649</v>
      </c>
      <c r="D15" s="801" t="s">
        <v>347</v>
      </c>
      <c r="E15" s="801" t="s">
        <v>649</v>
      </c>
      <c r="F15" s="956"/>
      <c r="G15" s="956"/>
      <c r="H15" s="956"/>
      <c r="I15" s="801" t="s">
        <v>643</v>
      </c>
      <c r="J15" s="801" t="s">
        <v>644</v>
      </c>
      <c r="K15" s="801" t="s">
        <v>645</v>
      </c>
    </row>
    <row r="16" spans="1:11" ht="15.75">
      <c r="A16" s="802">
        <v>1</v>
      </c>
      <c r="B16" s="809"/>
      <c r="C16" s="810"/>
      <c r="D16" s="809"/>
      <c r="E16" s="810"/>
      <c r="F16" s="803">
        <f>'In Giay RDT'!L15</f>
        <v>223</v>
      </c>
      <c r="G16" s="804">
        <f>'In Giay RDT'!H15</f>
        <v>6501</v>
      </c>
      <c r="H16" s="805" t="str">
        <f>'In Giay RDT'!B15</f>
        <v>Thanh toán kinh phí XL đường ĐH.95 Thụy Dân-Thụy Ninh</v>
      </c>
      <c r="I16" s="811">
        <v>15</v>
      </c>
      <c r="J16" s="806">
        <f t="shared" ref="J16:J22" si="0">IF(I16="","",K16/I16)</f>
        <v>333333.33333333331</v>
      </c>
      <c r="K16" s="806">
        <f>'In Giay RDT'!P15</f>
        <v>5000000</v>
      </c>
    </row>
    <row r="17" spans="1:11" ht="15.75">
      <c r="A17" s="802">
        <v>2</v>
      </c>
      <c r="B17" s="809"/>
      <c r="C17" s="810"/>
      <c r="D17" s="809"/>
      <c r="E17" s="810"/>
      <c r="F17" s="803">
        <f>'In Giay RDT'!L16</f>
        <v>223</v>
      </c>
      <c r="G17" s="804">
        <f>'In Giay RDT'!H16</f>
        <v>6922</v>
      </c>
      <c r="H17" s="805" t="str">
        <f>'In Giay RDT'!B16</f>
        <v>Thanh toán tiền thẩm định</v>
      </c>
      <c r="I17" s="811"/>
      <c r="J17" s="806" t="str">
        <f t="shared" si="0"/>
        <v/>
      </c>
      <c r="K17" s="806">
        <f>'In Giay RDT'!P16</f>
        <v>30000</v>
      </c>
    </row>
    <row r="18" spans="1:11" ht="15.75">
      <c r="A18" s="802">
        <v>3</v>
      </c>
      <c r="B18" s="809"/>
      <c r="C18" s="810"/>
      <c r="D18" s="809"/>
      <c r="E18" s="810"/>
      <c r="F18" s="803">
        <f>'In Giay RDT'!L17</f>
        <v>223</v>
      </c>
      <c r="G18" s="804">
        <f>'In Giay RDT'!H17</f>
        <v>6922</v>
      </c>
      <c r="H18" s="805" t="str">
        <f>'In Giay RDT'!B17</f>
        <v>Thanh toán tiền VPP</v>
      </c>
      <c r="I18" s="811"/>
      <c r="J18" s="806" t="str">
        <f t="shared" si="0"/>
        <v/>
      </c>
      <c r="K18" s="806">
        <f>'In Giay RDT'!P17</f>
        <v>21000</v>
      </c>
    </row>
    <row r="19" spans="1:11" ht="15.75">
      <c r="A19" s="802">
        <v>4</v>
      </c>
      <c r="B19" s="809"/>
      <c r="C19" s="810"/>
      <c r="D19" s="809"/>
      <c r="E19" s="810"/>
      <c r="F19" s="803">
        <f>'In Giay RDT'!L18</f>
        <v>223</v>
      </c>
      <c r="G19" s="804">
        <f>'In Giay RDT'!H18</f>
        <v>6922</v>
      </c>
      <c r="H19" s="805" t="str">
        <f>'In Giay RDT'!B18</f>
        <v>Thanh toán tiền giám sát</v>
      </c>
      <c r="I19" s="811"/>
      <c r="J19" s="806" t="str">
        <f t="shared" si="0"/>
        <v/>
      </c>
      <c r="K19" s="806">
        <f>'In Giay RDT'!P18</f>
        <v>22500</v>
      </c>
    </row>
    <row r="20" spans="1:11" ht="15.75">
      <c r="A20" s="802">
        <v>5</v>
      </c>
      <c r="B20" s="809"/>
      <c r="C20" s="810"/>
      <c r="D20" s="809"/>
      <c r="E20" s="810"/>
      <c r="F20" s="803">
        <f>'In Giay RDT'!L19</f>
        <v>223</v>
      </c>
      <c r="G20" s="804">
        <f>'In Giay RDT'!H19</f>
        <v>6922</v>
      </c>
      <c r="H20" s="805" t="str">
        <f>'In Giay RDT'!B19</f>
        <v/>
      </c>
      <c r="I20" s="811"/>
      <c r="J20" s="806" t="str">
        <f t="shared" si="0"/>
        <v/>
      </c>
      <c r="K20" s="806">
        <f>'In Giay RDT'!P19</f>
        <v>50000</v>
      </c>
    </row>
    <row r="21" spans="1:11" ht="15.75">
      <c r="A21" s="802">
        <v>6</v>
      </c>
      <c r="B21" s="809"/>
      <c r="C21" s="810"/>
      <c r="D21" s="809"/>
      <c r="E21" s="810"/>
      <c r="F21" s="803">
        <f>'In Giay RDT'!L20</f>
        <v>223</v>
      </c>
      <c r="G21" s="804">
        <f>'In Giay RDT'!H20</f>
        <v>6922</v>
      </c>
      <c r="H21" s="805" t="str">
        <f>'In Giay RDT'!B20</f>
        <v/>
      </c>
      <c r="I21" s="811"/>
      <c r="J21" s="806" t="str">
        <f t="shared" si="0"/>
        <v/>
      </c>
      <c r="K21" s="806">
        <f>'In Giay RDT'!P20</f>
        <v>51000</v>
      </c>
    </row>
    <row r="22" spans="1:11" ht="15.75">
      <c r="A22" s="802">
        <v>7</v>
      </c>
      <c r="B22" s="809"/>
      <c r="C22" s="810"/>
      <c r="D22" s="809"/>
      <c r="E22" s="810"/>
      <c r="F22" s="803">
        <f>'In Giay RDT'!L21</f>
        <v>223</v>
      </c>
      <c r="G22" s="804">
        <f>'In Giay RDT'!H21</f>
        <v>6922</v>
      </c>
      <c r="H22" s="805" t="str">
        <f>'In Giay RDT'!B21</f>
        <v/>
      </c>
      <c r="I22" s="811"/>
      <c r="J22" s="806" t="str">
        <f t="shared" si="0"/>
        <v/>
      </c>
      <c r="K22" s="806">
        <f>'In Giay RDT'!P21</f>
        <v>5255</v>
      </c>
    </row>
    <row r="23" spans="1:11" ht="22.5" customHeight="1">
      <c r="A23" s="961" t="s">
        <v>646</v>
      </c>
      <c r="B23" s="962"/>
      <c r="C23" s="962"/>
      <c r="D23" s="962"/>
      <c r="E23" s="962"/>
      <c r="F23" s="962"/>
      <c r="G23" s="962"/>
      <c r="H23" s="962"/>
      <c r="I23" s="962"/>
      <c r="J23" s="963"/>
      <c r="K23" s="807">
        <f>SUM(K16:K22)</f>
        <v>5179755</v>
      </c>
    </row>
    <row r="24" spans="1:11" ht="22.5" customHeight="1">
      <c r="A24" s="964" t="str">
        <f>"Tổng số tiền ghi bằng chữ: ("&amp;dso(K23)&amp;" đồng.)"</f>
        <v>Tổng số tiền ghi bằng chữ: (Năm triệu một trăm bảy mươi chín nghìn bảy trăm năm mươi lăm đồng.)</v>
      </c>
      <c r="B24" s="964"/>
      <c r="C24" s="964"/>
      <c r="D24" s="964"/>
      <c r="E24" s="964"/>
      <c r="F24" s="964"/>
      <c r="G24" s="964"/>
      <c r="H24" s="964"/>
      <c r="I24" s="964"/>
      <c r="J24" s="964"/>
      <c r="K24" s="964"/>
    </row>
    <row r="25" spans="1:11" ht="10.5" customHeight="1"/>
    <row r="26" spans="1:11">
      <c r="A26" s="799"/>
      <c r="B26" s="799"/>
      <c r="C26" s="799"/>
      <c r="D26" s="799"/>
      <c r="E26" s="799"/>
      <c r="F26" s="799"/>
      <c r="G26" s="799"/>
      <c r="H26" s="953" t="str">
        <f>'In Giay RDT'!I35</f>
        <v>Ngày 24 tháng 6 năm 2017</v>
      </c>
      <c r="I26" s="953"/>
      <c r="J26" s="953"/>
      <c r="K26" s="953"/>
    </row>
    <row r="27" spans="1:11">
      <c r="A27" s="965" t="s">
        <v>570</v>
      </c>
      <c r="B27" s="965"/>
      <c r="C27" s="965"/>
      <c r="D27" s="965"/>
      <c r="E27" s="965"/>
      <c r="F27" s="965"/>
      <c r="G27" s="965"/>
      <c r="H27" s="965" t="s">
        <v>93</v>
      </c>
      <c r="I27" s="965"/>
      <c r="J27" s="965"/>
      <c r="K27" s="965"/>
    </row>
    <row r="28" spans="1:11">
      <c r="H28" s="808"/>
      <c r="I28" s="808"/>
      <c r="J28" s="808"/>
      <c r="K28" s="808"/>
    </row>
    <row r="29" spans="1:11">
      <c r="H29" s="808"/>
      <c r="I29" s="808"/>
      <c r="J29" s="808"/>
      <c r="K29" s="808"/>
    </row>
    <row r="30" spans="1:11">
      <c r="H30" s="808"/>
      <c r="I30" s="808"/>
      <c r="J30" s="808"/>
      <c r="K30" s="808"/>
    </row>
    <row r="31" spans="1:11">
      <c r="A31" s="959" t="s">
        <v>353</v>
      </c>
      <c r="B31" s="959"/>
      <c r="C31" s="959"/>
      <c r="D31" s="959"/>
      <c r="E31" s="959"/>
      <c r="F31" s="959"/>
      <c r="G31" s="959"/>
      <c r="H31" s="959" t="s">
        <v>614</v>
      </c>
      <c r="I31" s="959"/>
      <c r="J31" s="959"/>
      <c r="K31" s="959"/>
    </row>
    <row r="32" spans="1:11">
      <c r="A32" s="808"/>
      <c r="B32" s="808"/>
      <c r="C32" s="808"/>
      <c r="D32" s="808"/>
      <c r="E32" s="808"/>
      <c r="H32" s="795"/>
      <c r="I32" s="795"/>
      <c r="J32" s="795"/>
      <c r="K32" s="795"/>
    </row>
    <row r="33" spans="1:11">
      <c r="A33" s="808"/>
      <c r="B33" s="808"/>
      <c r="C33" s="808"/>
      <c r="D33" s="808"/>
      <c r="E33" s="808"/>
      <c r="H33" s="795"/>
      <c r="I33" s="795"/>
      <c r="J33" s="795"/>
      <c r="K33" s="795"/>
    </row>
    <row r="34" spans="1:11">
      <c r="A34" s="808"/>
      <c r="B34" s="808"/>
      <c r="C34" s="808"/>
      <c r="D34" s="808"/>
      <c r="E34" s="808"/>
      <c r="H34" s="795"/>
      <c r="I34" s="795"/>
      <c r="J34" s="795"/>
      <c r="K34" s="795"/>
    </row>
  </sheetData>
  <mergeCells count="16">
    <mergeCell ref="H31:K31"/>
    <mergeCell ref="I14:K14"/>
    <mergeCell ref="A23:J23"/>
    <mergeCell ref="A24:K24"/>
    <mergeCell ref="H27:K27"/>
    <mergeCell ref="A27:G27"/>
    <mergeCell ref="A31:G31"/>
    <mergeCell ref="A8:K8"/>
    <mergeCell ref="H26:K26"/>
    <mergeCell ref="J1:K1"/>
    <mergeCell ref="A14:A15"/>
    <mergeCell ref="B14:C14"/>
    <mergeCell ref="D14:E14"/>
    <mergeCell ref="F14:F15"/>
    <mergeCell ref="G14:G15"/>
    <mergeCell ref="H14:H15"/>
  </mergeCells>
  <pageMargins left="0.74803149606299213" right="0.27559055118110237" top="0.39370078740157483" bottom="0.43307086614173229" header="0.31496062992125984" footer="0.23622047244094491"/>
  <pageSetup paperSize="9" scale="67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7030A0"/>
  </sheetPr>
  <dimension ref="A1:I101"/>
  <sheetViews>
    <sheetView showZeros="0" zoomScaleNormal="100" workbookViewId="0">
      <pane ySplit="9" topLeftCell="A10" activePane="bottomLeft" state="frozen"/>
      <selection activeCell="W62" sqref="W62"/>
      <selection pane="bottomLeft" activeCell="F8" sqref="F8"/>
    </sheetView>
  </sheetViews>
  <sheetFormatPr defaultRowHeight="12.75"/>
  <cols>
    <col min="1" max="1" width="4.28515625" style="258" customWidth="1"/>
    <col min="2" max="2" width="10.85546875" style="258" customWidth="1"/>
    <col min="3" max="3" width="10.5703125" style="262" customWidth="1"/>
    <col min="4" max="4" width="76.85546875" style="258" customWidth="1"/>
    <col min="5" max="5" width="18.5703125" style="267" customWidth="1"/>
    <col min="6" max="6" width="15.5703125" style="258" customWidth="1"/>
    <col min="7" max="7" width="0" style="257" hidden="1" customWidth="1"/>
    <col min="8" max="8" width="0" style="258" hidden="1" customWidth="1"/>
    <col min="9" max="9" width="11.7109375" style="258" hidden="1" customWidth="1"/>
    <col min="10" max="38" width="0" style="258" hidden="1" customWidth="1"/>
    <col min="39" max="16384" width="9.140625" style="258"/>
  </cols>
  <sheetData>
    <row r="1" spans="1:9" s="250" customFormat="1" ht="19.5" customHeight="1">
      <c r="A1" s="249" t="str">
        <f>IF(MAX('Nhap lieu'!G9:G200)=0,"",MAX('Nhap lieu'!G9:G200))</f>
        <v/>
      </c>
      <c r="C1" s="251"/>
      <c r="D1" s="705" t="s">
        <v>357</v>
      </c>
      <c r="E1" s="251"/>
      <c r="F1" s="251"/>
    </row>
    <row r="2" spans="1:9" s="327" customFormat="1" ht="18.75" customHeight="1">
      <c r="A2" s="969" t="s">
        <v>523</v>
      </c>
      <c r="B2" s="969"/>
      <c r="C2" s="969"/>
      <c r="D2" s="340" t="s">
        <v>24</v>
      </c>
    </row>
    <row r="3" spans="1:9" s="253" customFormat="1" ht="6.75" hidden="1" customHeight="1">
      <c r="E3" s="254"/>
      <c r="F3" s="252" t="e">
        <f>IF(MAX('Nhap lieu'!#REF!)=0,"",MAX('Nhap lieu'!#REF!))</f>
        <v>#REF!</v>
      </c>
    </row>
    <row r="4" spans="1:9" ht="23.25" customHeight="1">
      <c r="A4" s="255" t="str">
        <f>"Chi tiết phát sinh từ ngày "&amp;IF(A1="","… tháng … năm … … đến ngày … tháng … năm … … ",DAY(MIN(C9:C100))&amp;" tháng "&amp;MONTH(MIN(C9:C100))&amp;" năm "&amp;YEAR(MIN(C9:C100)))&amp;" đến ngày "&amp;DAY(MAX(C9:C100))&amp;" tháng "&amp;MONTH(MAX(C9:C100))&amp;" năm "&amp;YEAR(MAX(C9:C100))</f>
        <v>Chi tiết phát sinh từ ngày … tháng … năm … … đến ngày … tháng … năm … …  đến ngày 0 tháng 1 năm 1900</v>
      </c>
      <c r="B4" s="255"/>
      <c r="C4" s="255"/>
      <c r="D4" s="255"/>
      <c r="E4" s="256" t="s">
        <v>463</v>
      </c>
      <c r="F4" s="256"/>
    </row>
    <row r="5" spans="1:9" ht="23.25" hidden="1" customHeight="1">
      <c r="A5" s="255">
        <v>2</v>
      </c>
      <c r="B5" s="255">
        <v>3</v>
      </c>
      <c r="C5" s="255">
        <v>4</v>
      </c>
      <c r="D5" s="255">
        <v>5</v>
      </c>
      <c r="E5" s="255">
        <v>17</v>
      </c>
      <c r="F5" s="255">
        <v>18</v>
      </c>
    </row>
    <row r="6" spans="1:9" s="8" customFormat="1" ht="17.25" customHeight="1">
      <c r="A6" s="966" t="s">
        <v>96</v>
      </c>
      <c r="B6" s="970" t="s">
        <v>1</v>
      </c>
      <c r="C6" s="971"/>
      <c r="D6" s="966" t="s">
        <v>81</v>
      </c>
      <c r="E6" s="967" t="s">
        <v>521</v>
      </c>
      <c r="F6" s="966" t="s">
        <v>27</v>
      </c>
    </row>
    <row r="7" spans="1:9" s="8" customFormat="1" ht="15.75" customHeight="1">
      <c r="A7" s="966"/>
      <c r="B7" s="7" t="s">
        <v>23</v>
      </c>
      <c r="C7" s="10" t="s">
        <v>520</v>
      </c>
      <c r="D7" s="966"/>
      <c r="E7" s="968"/>
      <c r="F7" s="966"/>
    </row>
    <row r="8" spans="1:9" s="17" customFormat="1" ht="19.5" customHeight="1">
      <c r="A8" s="11"/>
      <c r="B8" s="13"/>
      <c r="C8" s="14"/>
      <c r="D8" s="15" t="s">
        <v>94</v>
      </c>
      <c r="E8" s="139"/>
      <c r="F8" s="16">
        <f>IF(D2="","",VLOOKUP(D2,DMDA,4,0))</f>
        <v>2066000</v>
      </c>
    </row>
    <row r="9" spans="1:9" s="215" customFormat="1" ht="19.5" customHeight="1">
      <c r="A9" s="209"/>
      <c r="B9" s="210"/>
      <c r="C9" s="211"/>
      <c r="D9" s="212" t="s">
        <v>95</v>
      </c>
      <c r="E9" s="213">
        <f>SUM(E10:E100)</f>
        <v>0</v>
      </c>
      <c r="F9" s="214">
        <f>F8-E9</f>
        <v>2066000</v>
      </c>
      <c r="I9" s="216"/>
    </row>
    <row r="10" spans="1:9" s="111" customFormat="1" ht="16.5" hidden="1">
      <c r="A10" s="196" t="str">
        <f>IF($A$1="","",IF(MAX($A$9:A9)+1&gt;$A$1,"",MAX($A$9:A9)+1))</f>
        <v/>
      </c>
      <c r="B10" s="196" t="str">
        <f t="shared" ref="B10" si="0">IF(A10="","",IF(VLOOKUP(A10,CONGTRINH,5,0)="","",VLOOKUP(A10,CONGTRINH,5,0)))</f>
        <v/>
      </c>
      <c r="C10" s="197" t="str">
        <f t="shared" ref="C10:C41" si="1">IF(A10="","",VLOOKUP(A10,CONGTRINH,7,0))</f>
        <v/>
      </c>
      <c r="D10" s="198" t="str">
        <f t="shared" ref="D10:D41" si="2">IF(A10="","",VLOOKUP(A10,CONGTRINH,9,0))</f>
        <v/>
      </c>
      <c r="E10" s="259" t="str">
        <f t="shared" ref="E10:E41" si="3">IF(A10="","",VLOOKUP(A10,CONGTRINH,31,0))</f>
        <v/>
      </c>
      <c r="F10" s="199"/>
    </row>
    <row r="11" spans="1:9" s="111" customFormat="1" ht="16.5" hidden="1">
      <c r="A11" s="200" t="str">
        <f>IF($A$1="","",IF(MAX($A$9:A10)+1&gt;$A$1,"",MAX($A$9:A10)+1))</f>
        <v/>
      </c>
      <c r="B11" s="196" t="str">
        <f t="shared" ref="B11:B74" si="4">IF(A11="","",IF(VLOOKUP(A11,CONGTRINH,5,0)="","",VLOOKUP(A11,CONGTRINH,5,0)))</f>
        <v/>
      </c>
      <c r="C11" s="197" t="str">
        <f t="shared" si="1"/>
        <v/>
      </c>
      <c r="D11" s="198" t="str">
        <f t="shared" si="2"/>
        <v/>
      </c>
      <c r="E11" s="259" t="str">
        <f t="shared" si="3"/>
        <v/>
      </c>
      <c r="F11" s="142"/>
    </row>
    <row r="12" spans="1:9" s="111" customFormat="1" ht="16.5" hidden="1">
      <c r="A12" s="200" t="str">
        <f>IF($A$1="","",IF(MAX($A$9:A11)+1&gt;$A$1,"",MAX($A$9:A11)+1))</f>
        <v/>
      </c>
      <c r="B12" s="196" t="str">
        <f t="shared" si="4"/>
        <v/>
      </c>
      <c r="C12" s="197" t="str">
        <f t="shared" si="1"/>
        <v/>
      </c>
      <c r="D12" s="198" t="str">
        <f t="shared" si="2"/>
        <v/>
      </c>
      <c r="E12" s="259" t="str">
        <f t="shared" si="3"/>
        <v/>
      </c>
      <c r="F12" s="142"/>
      <c r="I12" s="113"/>
    </row>
    <row r="13" spans="1:9" s="111" customFormat="1" ht="16.5" hidden="1">
      <c r="A13" s="200" t="str">
        <f>IF($A$1="","",IF(MAX($A$9:A12)+1&gt;$A$1,"",MAX($A$9:A12)+1))</f>
        <v/>
      </c>
      <c r="B13" s="196" t="str">
        <f t="shared" si="4"/>
        <v/>
      </c>
      <c r="C13" s="197" t="str">
        <f t="shared" si="1"/>
        <v/>
      </c>
      <c r="D13" s="198" t="str">
        <f t="shared" si="2"/>
        <v/>
      </c>
      <c r="E13" s="259" t="str">
        <f t="shared" si="3"/>
        <v/>
      </c>
      <c r="F13" s="142"/>
    </row>
    <row r="14" spans="1:9" s="17" customFormat="1" ht="16.5" hidden="1">
      <c r="A14" s="201" t="str">
        <f>IF($A$1="","",IF(MAX($A$9:A13)+1&gt;$A$1,"",MAX($A$9:A13)+1))</f>
        <v/>
      </c>
      <c r="B14" s="196" t="str">
        <f t="shared" si="4"/>
        <v/>
      </c>
      <c r="C14" s="197" t="str">
        <f t="shared" si="1"/>
        <v/>
      </c>
      <c r="D14" s="198" t="str">
        <f t="shared" si="2"/>
        <v/>
      </c>
      <c r="E14" s="259" t="str">
        <f t="shared" si="3"/>
        <v/>
      </c>
      <c r="F14" s="142"/>
    </row>
    <row r="15" spans="1:9" s="17" customFormat="1" ht="16.5" hidden="1">
      <c r="A15" s="201" t="str">
        <f>IF($A$1="","",IF(MAX($A$9:A14)+1&gt;$A$1,"",MAX($A$9:A14)+1))</f>
        <v/>
      </c>
      <c r="B15" s="196" t="str">
        <f t="shared" si="4"/>
        <v/>
      </c>
      <c r="C15" s="197" t="str">
        <f t="shared" si="1"/>
        <v/>
      </c>
      <c r="D15" s="198" t="str">
        <f t="shared" si="2"/>
        <v/>
      </c>
      <c r="E15" s="259" t="str">
        <f t="shared" si="3"/>
        <v/>
      </c>
      <c r="F15" s="142"/>
    </row>
    <row r="16" spans="1:9" s="17" customFormat="1" ht="16.5" hidden="1">
      <c r="A16" s="201" t="str">
        <f>IF($A$1="","",IF(MAX($A$9:A15)+1&gt;$A$1,"",MAX($A$9:A15)+1))</f>
        <v/>
      </c>
      <c r="B16" s="196" t="str">
        <f t="shared" si="4"/>
        <v/>
      </c>
      <c r="C16" s="197" t="str">
        <f t="shared" si="1"/>
        <v/>
      </c>
      <c r="D16" s="198" t="str">
        <f t="shared" si="2"/>
        <v/>
      </c>
      <c r="E16" s="259" t="str">
        <f t="shared" si="3"/>
        <v/>
      </c>
      <c r="F16" s="142"/>
      <c r="H16" s="141"/>
      <c r="I16" s="99"/>
    </row>
    <row r="17" spans="1:9" s="17" customFormat="1" ht="16.5" hidden="1">
      <c r="A17" s="201" t="str">
        <f>IF($A$1="","",IF(MAX($A$9:A16)+1&gt;$A$1,"",MAX($A$9:A16)+1))</f>
        <v/>
      </c>
      <c r="B17" s="196" t="str">
        <f t="shared" si="4"/>
        <v/>
      </c>
      <c r="C17" s="197" t="str">
        <f t="shared" si="1"/>
        <v/>
      </c>
      <c r="D17" s="198" t="str">
        <f t="shared" si="2"/>
        <v/>
      </c>
      <c r="E17" s="259" t="str">
        <f t="shared" si="3"/>
        <v/>
      </c>
      <c r="F17" s="142"/>
      <c r="H17" s="141"/>
      <c r="I17" s="99"/>
    </row>
    <row r="18" spans="1:9" s="17" customFormat="1" ht="16.5" hidden="1">
      <c r="A18" s="201" t="str">
        <f>IF($A$1="","",IF(MAX($A$9:A17)+1&gt;$A$1,"",MAX($A$9:A17)+1))</f>
        <v/>
      </c>
      <c r="B18" s="196" t="str">
        <f t="shared" si="4"/>
        <v/>
      </c>
      <c r="C18" s="197" t="str">
        <f t="shared" si="1"/>
        <v/>
      </c>
      <c r="D18" s="198" t="str">
        <f t="shared" si="2"/>
        <v/>
      </c>
      <c r="E18" s="259" t="str">
        <f t="shared" si="3"/>
        <v/>
      </c>
      <c r="F18" s="142"/>
      <c r="I18" s="22"/>
    </row>
    <row r="19" spans="1:9" s="17" customFormat="1" ht="16.5" hidden="1">
      <c r="A19" s="201" t="str">
        <f>IF($A$1="","",IF(MAX($A$9:A18)+1&gt;$A$1,"",MAX($A$9:A18)+1))</f>
        <v/>
      </c>
      <c r="B19" s="196" t="str">
        <f t="shared" si="4"/>
        <v/>
      </c>
      <c r="C19" s="197" t="str">
        <f t="shared" si="1"/>
        <v/>
      </c>
      <c r="D19" s="198" t="str">
        <f t="shared" si="2"/>
        <v/>
      </c>
      <c r="E19" s="259" t="str">
        <f t="shared" si="3"/>
        <v/>
      </c>
      <c r="F19" s="142"/>
    </row>
    <row r="20" spans="1:9" s="17" customFormat="1" ht="16.5" hidden="1">
      <c r="A20" s="201" t="str">
        <f>IF($A$1="","",IF(MAX($A$9:A19)+1&gt;$A$1,"",MAX($A$9:A19)+1))</f>
        <v/>
      </c>
      <c r="B20" s="196" t="str">
        <f t="shared" si="4"/>
        <v/>
      </c>
      <c r="C20" s="197" t="str">
        <f t="shared" si="1"/>
        <v/>
      </c>
      <c r="D20" s="198" t="str">
        <f t="shared" si="2"/>
        <v/>
      </c>
      <c r="E20" s="259" t="str">
        <f t="shared" si="3"/>
        <v/>
      </c>
      <c r="F20" s="142"/>
    </row>
    <row r="21" spans="1:9" s="109" customFormat="1" ht="16.5" hidden="1">
      <c r="A21" s="202" t="str">
        <f>IF($A$1="","",IF(MAX($A$9:A20)+1&gt;$A$1,"",MAX($A$9:A20)+1))</f>
        <v/>
      </c>
      <c r="B21" s="196" t="str">
        <f t="shared" si="4"/>
        <v/>
      </c>
      <c r="C21" s="197" t="str">
        <f t="shared" si="1"/>
        <v/>
      </c>
      <c r="D21" s="198" t="str">
        <f t="shared" si="2"/>
        <v/>
      </c>
      <c r="E21" s="259" t="str">
        <f t="shared" si="3"/>
        <v/>
      </c>
      <c r="F21" s="142"/>
    </row>
    <row r="22" spans="1:9" s="17" customFormat="1" ht="16.5" hidden="1">
      <c r="A22" s="201" t="str">
        <f>IF($A$1="","",IF(MAX($A$9:A21)+1&gt;$A$1,"",MAX($A$9:A21)+1))</f>
        <v/>
      </c>
      <c r="B22" s="196" t="str">
        <f t="shared" si="4"/>
        <v/>
      </c>
      <c r="C22" s="197" t="str">
        <f t="shared" si="1"/>
        <v/>
      </c>
      <c r="D22" s="198" t="str">
        <f t="shared" si="2"/>
        <v/>
      </c>
      <c r="E22" s="259" t="str">
        <f t="shared" si="3"/>
        <v/>
      </c>
      <c r="F22" s="142"/>
    </row>
    <row r="23" spans="1:9" s="22" customFormat="1" ht="16.5" hidden="1">
      <c r="A23" s="201" t="str">
        <f>IF($A$1="","",IF(MAX($A$9:A22)+1&gt;$A$1,"",MAX($A$9:A22)+1))</f>
        <v/>
      </c>
      <c r="B23" s="196" t="str">
        <f t="shared" si="4"/>
        <v/>
      </c>
      <c r="C23" s="197" t="str">
        <f t="shared" si="1"/>
        <v/>
      </c>
      <c r="D23" s="198" t="str">
        <f t="shared" si="2"/>
        <v/>
      </c>
      <c r="E23" s="259" t="str">
        <f t="shared" si="3"/>
        <v/>
      </c>
      <c r="F23" s="142"/>
    </row>
    <row r="24" spans="1:9" s="22" customFormat="1" ht="16.5" hidden="1">
      <c r="A24" s="201" t="str">
        <f>IF($A$1="","",IF(MAX($A$9:A23)+1&gt;$A$1,"",MAX($A$9:A23)+1))</f>
        <v/>
      </c>
      <c r="B24" s="196" t="str">
        <f t="shared" si="4"/>
        <v/>
      </c>
      <c r="C24" s="197" t="str">
        <f t="shared" si="1"/>
        <v/>
      </c>
      <c r="D24" s="198" t="str">
        <f t="shared" si="2"/>
        <v/>
      </c>
      <c r="E24" s="259" t="str">
        <f t="shared" si="3"/>
        <v/>
      </c>
      <c r="F24" s="142"/>
    </row>
    <row r="25" spans="1:9" s="22" customFormat="1" ht="16.5" hidden="1">
      <c r="A25" s="201" t="str">
        <f>IF($A$1="","",IF(MAX($A$9:A24)+1&gt;$A$1,"",MAX($A$9:A24)+1))</f>
        <v/>
      </c>
      <c r="B25" s="196" t="str">
        <f t="shared" si="4"/>
        <v/>
      </c>
      <c r="C25" s="197" t="str">
        <f t="shared" si="1"/>
        <v/>
      </c>
      <c r="D25" s="198" t="str">
        <f t="shared" si="2"/>
        <v/>
      </c>
      <c r="E25" s="259" t="str">
        <f t="shared" si="3"/>
        <v/>
      </c>
      <c r="F25" s="142"/>
    </row>
    <row r="26" spans="1:9" s="22" customFormat="1" ht="16.5" hidden="1">
      <c r="A26" s="201" t="str">
        <f>IF($A$1="","",IF(MAX($A$9:A25)+1&gt;$A$1,"",MAX($A$9:A25)+1))</f>
        <v/>
      </c>
      <c r="B26" s="196" t="str">
        <f t="shared" si="4"/>
        <v/>
      </c>
      <c r="C26" s="197" t="str">
        <f t="shared" si="1"/>
        <v/>
      </c>
      <c r="D26" s="198" t="str">
        <f t="shared" si="2"/>
        <v/>
      </c>
      <c r="E26" s="259" t="str">
        <f t="shared" si="3"/>
        <v/>
      </c>
      <c r="F26" s="142"/>
    </row>
    <row r="27" spans="1:9" s="22" customFormat="1" ht="16.5" hidden="1">
      <c r="A27" s="201" t="str">
        <f>IF($A$1="","",IF(MAX($A$9:A26)+1&gt;$A$1,"",MAX($A$9:A26)+1))</f>
        <v/>
      </c>
      <c r="B27" s="196" t="str">
        <f t="shared" si="4"/>
        <v/>
      </c>
      <c r="C27" s="197" t="str">
        <f t="shared" si="1"/>
        <v/>
      </c>
      <c r="D27" s="198" t="str">
        <f t="shared" si="2"/>
        <v/>
      </c>
      <c r="E27" s="259" t="str">
        <f t="shared" si="3"/>
        <v/>
      </c>
      <c r="F27" s="142"/>
    </row>
    <row r="28" spans="1:9" s="22" customFormat="1" ht="16.5" hidden="1">
      <c r="A28" s="201" t="str">
        <f>IF($A$1="","",IF(MAX($A$9:A27)+1&gt;$A$1,"",MAX($A$9:A27)+1))</f>
        <v/>
      </c>
      <c r="B28" s="196" t="str">
        <f t="shared" si="4"/>
        <v/>
      </c>
      <c r="C28" s="197" t="str">
        <f t="shared" si="1"/>
        <v/>
      </c>
      <c r="D28" s="198" t="str">
        <f t="shared" si="2"/>
        <v/>
      </c>
      <c r="E28" s="259" t="str">
        <f t="shared" si="3"/>
        <v/>
      </c>
      <c r="F28" s="142"/>
    </row>
    <row r="29" spans="1:9" s="22" customFormat="1" ht="16.5" hidden="1">
      <c r="A29" s="201" t="str">
        <f>IF($A$1="","",IF(MAX($A$9:A28)+1&gt;$A$1,"",MAX($A$9:A28)+1))</f>
        <v/>
      </c>
      <c r="B29" s="196" t="str">
        <f t="shared" si="4"/>
        <v/>
      </c>
      <c r="C29" s="197" t="str">
        <f t="shared" si="1"/>
        <v/>
      </c>
      <c r="D29" s="198" t="str">
        <f t="shared" si="2"/>
        <v/>
      </c>
      <c r="E29" s="259" t="str">
        <f t="shared" si="3"/>
        <v/>
      </c>
      <c r="F29" s="142"/>
    </row>
    <row r="30" spans="1:9" s="22" customFormat="1" ht="16.5" hidden="1">
      <c r="A30" s="201" t="str">
        <f>IF($A$1="","",IF(MAX($A$9:A29)+1&gt;$A$1,"",MAX($A$9:A29)+1))</f>
        <v/>
      </c>
      <c r="B30" s="196" t="str">
        <f t="shared" si="4"/>
        <v/>
      </c>
      <c r="C30" s="197" t="str">
        <f t="shared" si="1"/>
        <v/>
      </c>
      <c r="D30" s="198" t="str">
        <f t="shared" si="2"/>
        <v/>
      </c>
      <c r="E30" s="259" t="str">
        <f t="shared" si="3"/>
        <v/>
      </c>
      <c r="F30" s="142"/>
    </row>
    <row r="31" spans="1:9" s="23" customFormat="1" ht="15.75" hidden="1">
      <c r="A31" s="201" t="str">
        <f>IF($A$1="","",IF(MAX($A$9:A30)+1&gt;$A$1,"",MAX($A$9:A30)+1))</f>
        <v/>
      </c>
      <c r="B31" s="196" t="str">
        <f t="shared" si="4"/>
        <v/>
      </c>
      <c r="C31" s="197" t="str">
        <f t="shared" si="1"/>
        <v/>
      </c>
      <c r="D31" s="198" t="str">
        <f t="shared" si="2"/>
        <v/>
      </c>
      <c r="E31" s="259" t="str">
        <f t="shared" si="3"/>
        <v/>
      </c>
      <c r="F31" s="142"/>
    </row>
    <row r="32" spans="1:9" s="23" customFormat="1" ht="15.75" hidden="1">
      <c r="A32" s="201" t="str">
        <f>IF($A$1="","",IF(MAX($A$9:A31)+1&gt;$A$1,"",MAX($A$9:A31)+1))</f>
        <v/>
      </c>
      <c r="B32" s="196" t="str">
        <f t="shared" si="4"/>
        <v/>
      </c>
      <c r="C32" s="197" t="str">
        <f t="shared" si="1"/>
        <v/>
      </c>
      <c r="D32" s="198" t="str">
        <f t="shared" si="2"/>
        <v/>
      </c>
      <c r="E32" s="259" t="str">
        <f t="shared" si="3"/>
        <v/>
      </c>
      <c r="F32" s="142"/>
    </row>
    <row r="33" spans="1:6" s="23" customFormat="1" ht="15.75" hidden="1">
      <c r="A33" s="201" t="str">
        <f>IF($A$1="","",IF(MAX($A$9:A32)+1&gt;$A$1,"",MAX($A$9:A32)+1))</f>
        <v/>
      </c>
      <c r="B33" s="196" t="str">
        <f t="shared" si="4"/>
        <v/>
      </c>
      <c r="C33" s="197" t="str">
        <f t="shared" si="1"/>
        <v/>
      </c>
      <c r="D33" s="198" t="str">
        <f t="shared" si="2"/>
        <v/>
      </c>
      <c r="E33" s="259" t="str">
        <f t="shared" si="3"/>
        <v/>
      </c>
      <c r="F33" s="142"/>
    </row>
    <row r="34" spans="1:6" s="22" customFormat="1" ht="16.5" hidden="1">
      <c r="A34" s="201" t="str">
        <f>IF($A$1="","",IF(MAX($A$9:A33)+1&gt;$A$1,"",MAX($A$9:A33)+1))</f>
        <v/>
      </c>
      <c r="B34" s="196" t="str">
        <f t="shared" si="4"/>
        <v/>
      </c>
      <c r="C34" s="197" t="str">
        <f t="shared" si="1"/>
        <v/>
      </c>
      <c r="D34" s="198" t="str">
        <f t="shared" si="2"/>
        <v/>
      </c>
      <c r="E34" s="259" t="str">
        <f t="shared" si="3"/>
        <v/>
      </c>
      <c r="F34" s="142"/>
    </row>
    <row r="35" spans="1:6" s="22" customFormat="1" ht="16.5" hidden="1">
      <c r="A35" s="201" t="str">
        <f>IF($A$1="","",IF(MAX($A$9:A34)+1&gt;$A$1,"",MAX($A$9:A34)+1))</f>
        <v/>
      </c>
      <c r="B35" s="196" t="str">
        <f t="shared" si="4"/>
        <v/>
      </c>
      <c r="C35" s="197" t="str">
        <f t="shared" si="1"/>
        <v/>
      </c>
      <c r="D35" s="198" t="str">
        <f t="shared" si="2"/>
        <v/>
      </c>
      <c r="E35" s="259" t="str">
        <f t="shared" si="3"/>
        <v/>
      </c>
      <c r="F35" s="142"/>
    </row>
    <row r="36" spans="1:6" s="22" customFormat="1" ht="16.5" hidden="1">
      <c r="A36" s="201" t="str">
        <f>IF($A$1="","",IF(MAX($A$9:A35)+1&gt;$A$1,"",MAX($A$9:A35)+1))</f>
        <v/>
      </c>
      <c r="B36" s="196" t="str">
        <f t="shared" si="4"/>
        <v/>
      </c>
      <c r="C36" s="197" t="str">
        <f t="shared" si="1"/>
        <v/>
      </c>
      <c r="D36" s="198" t="str">
        <f t="shared" si="2"/>
        <v/>
      </c>
      <c r="E36" s="259" t="str">
        <f t="shared" si="3"/>
        <v/>
      </c>
      <c r="F36" s="142"/>
    </row>
    <row r="37" spans="1:6" s="22" customFormat="1" ht="16.5" hidden="1">
      <c r="A37" s="201" t="str">
        <f>IF($A$1="","",IF(MAX($A$9:A36)+1&gt;$A$1,"",MAX($A$9:A36)+1))</f>
        <v/>
      </c>
      <c r="B37" s="196" t="str">
        <f t="shared" si="4"/>
        <v/>
      </c>
      <c r="C37" s="197" t="str">
        <f t="shared" si="1"/>
        <v/>
      </c>
      <c r="D37" s="198" t="str">
        <f t="shared" si="2"/>
        <v/>
      </c>
      <c r="E37" s="259" t="str">
        <f t="shared" si="3"/>
        <v/>
      </c>
      <c r="F37" s="142"/>
    </row>
    <row r="38" spans="1:6" s="22" customFormat="1" ht="16.5" hidden="1">
      <c r="A38" s="201" t="str">
        <f>IF($A$1="","",IF(MAX($A$9:A37)+1&gt;$A$1,"",MAX($A$9:A37)+1))</f>
        <v/>
      </c>
      <c r="B38" s="196" t="str">
        <f t="shared" si="4"/>
        <v/>
      </c>
      <c r="C38" s="197" t="str">
        <f t="shared" si="1"/>
        <v/>
      </c>
      <c r="D38" s="198" t="str">
        <f t="shared" si="2"/>
        <v/>
      </c>
      <c r="E38" s="259" t="str">
        <f t="shared" si="3"/>
        <v/>
      </c>
      <c r="F38" s="142"/>
    </row>
    <row r="39" spans="1:6" s="22" customFormat="1" ht="16.5" hidden="1">
      <c r="A39" s="201" t="str">
        <f>IF($A$1="","",IF(MAX($A$9:A38)+1&gt;$A$1,"",MAX($A$9:A38)+1))</f>
        <v/>
      </c>
      <c r="B39" s="196" t="str">
        <f t="shared" si="4"/>
        <v/>
      </c>
      <c r="C39" s="197" t="str">
        <f t="shared" si="1"/>
        <v/>
      </c>
      <c r="D39" s="198" t="str">
        <f t="shared" si="2"/>
        <v/>
      </c>
      <c r="E39" s="259" t="str">
        <f t="shared" si="3"/>
        <v/>
      </c>
      <c r="F39" s="142"/>
    </row>
    <row r="40" spans="1:6" s="107" customFormat="1" ht="15.75" hidden="1">
      <c r="A40" s="203" t="str">
        <f>IF($A$1="","",IF(MAX($A$9:A39)+1&gt;$A$1,"",MAX($A$9:A39)+1))</f>
        <v/>
      </c>
      <c r="B40" s="196" t="str">
        <f t="shared" si="4"/>
        <v/>
      </c>
      <c r="C40" s="197" t="str">
        <f t="shared" si="1"/>
        <v/>
      </c>
      <c r="D40" s="198" t="str">
        <f t="shared" si="2"/>
        <v/>
      </c>
      <c r="E40" s="259" t="str">
        <f t="shared" si="3"/>
        <v/>
      </c>
      <c r="F40" s="142"/>
    </row>
    <row r="41" spans="1:6" s="23" customFormat="1" ht="15.75" hidden="1">
      <c r="A41" s="201" t="str">
        <f>IF($A$1="","",IF(MAX($A$9:A40)+1&gt;$A$1,"",MAX($A$9:A40)+1))</f>
        <v/>
      </c>
      <c r="B41" s="196" t="str">
        <f t="shared" si="4"/>
        <v/>
      </c>
      <c r="C41" s="197" t="str">
        <f t="shared" si="1"/>
        <v/>
      </c>
      <c r="D41" s="198" t="str">
        <f t="shared" si="2"/>
        <v/>
      </c>
      <c r="E41" s="259" t="str">
        <f t="shared" si="3"/>
        <v/>
      </c>
      <c r="F41" s="142"/>
    </row>
    <row r="42" spans="1:6" s="23" customFormat="1" ht="15.75" hidden="1">
      <c r="A42" s="201" t="str">
        <f>IF($A$1="","",IF(MAX($A$9:A41)+1&gt;$A$1,"",MAX($A$9:A41)+1))</f>
        <v/>
      </c>
      <c r="B42" s="196" t="str">
        <f t="shared" si="4"/>
        <v/>
      </c>
      <c r="C42" s="197" t="str">
        <f t="shared" ref="C42:C73" si="5">IF(A42="","",VLOOKUP(A42,CONGTRINH,7,0))</f>
        <v/>
      </c>
      <c r="D42" s="198" t="str">
        <f t="shared" ref="D42:D73" si="6">IF(A42="","",VLOOKUP(A42,CONGTRINH,9,0))</f>
        <v/>
      </c>
      <c r="E42" s="259" t="str">
        <f t="shared" ref="E42:E73" si="7">IF(A42="","",VLOOKUP(A42,CONGTRINH,31,0))</f>
        <v/>
      </c>
      <c r="F42" s="142"/>
    </row>
    <row r="43" spans="1:6" s="23" customFormat="1" ht="15.75" hidden="1">
      <c r="A43" s="201" t="str">
        <f>IF($A$1="","",IF(MAX($A$9:A42)+1&gt;$A$1,"",MAX($A$9:A42)+1))</f>
        <v/>
      </c>
      <c r="B43" s="196" t="str">
        <f t="shared" si="4"/>
        <v/>
      </c>
      <c r="C43" s="197" t="str">
        <f t="shared" si="5"/>
        <v/>
      </c>
      <c r="D43" s="198" t="str">
        <f t="shared" si="6"/>
        <v/>
      </c>
      <c r="E43" s="259" t="str">
        <f t="shared" si="7"/>
        <v/>
      </c>
      <c r="F43" s="142"/>
    </row>
    <row r="44" spans="1:6" s="23" customFormat="1" ht="15.75" hidden="1">
      <c r="A44" s="201" t="str">
        <f>IF($A$1="","",IF(MAX($A$9:A43)+1&gt;$A$1,"",MAX($A$9:A43)+1))</f>
        <v/>
      </c>
      <c r="B44" s="196" t="str">
        <f t="shared" si="4"/>
        <v/>
      </c>
      <c r="C44" s="197" t="str">
        <f t="shared" si="5"/>
        <v/>
      </c>
      <c r="D44" s="198" t="str">
        <f t="shared" si="6"/>
        <v/>
      </c>
      <c r="E44" s="259" t="str">
        <f t="shared" si="7"/>
        <v/>
      </c>
      <c r="F44" s="142"/>
    </row>
    <row r="45" spans="1:6" s="23" customFormat="1" ht="15.75" hidden="1">
      <c r="A45" s="201" t="str">
        <f>IF($A$1="","",IF(MAX($A$9:A44)+1&gt;$A$1,"",MAX($A$9:A44)+1))</f>
        <v/>
      </c>
      <c r="B45" s="196" t="str">
        <f t="shared" si="4"/>
        <v/>
      </c>
      <c r="C45" s="197" t="str">
        <f t="shared" si="5"/>
        <v/>
      </c>
      <c r="D45" s="198" t="str">
        <f t="shared" si="6"/>
        <v/>
      </c>
      <c r="E45" s="259" t="str">
        <f t="shared" si="7"/>
        <v/>
      </c>
      <c r="F45" s="142"/>
    </row>
    <row r="46" spans="1:6" s="22" customFormat="1" ht="16.5" hidden="1">
      <c r="A46" s="201" t="str">
        <f>IF($A$1="","",IF(MAX($A$9:A45)+1&gt;$A$1,"",MAX($A$9:A45)+1))</f>
        <v/>
      </c>
      <c r="B46" s="196" t="str">
        <f t="shared" si="4"/>
        <v/>
      </c>
      <c r="C46" s="197" t="str">
        <f t="shared" si="5"/>
        <v/>
      </c>
      <c r="D46" s="198" t="str">
        <f t="shared" si="6"/>
        <v/>
      </c>
      <c r="E46" s="259" t="str">
        <f t="shared" si="7"/>
        <v/>
      </c>
      <c r="F46" s="142"/>
    </row>
    <row r="47" spans="1:6" s="22" customFormat="1" ht="16.5" hidden="1">
      <c r="A47" s="201" t="str">
        <f>IF($A$1="","",IF(MAX($A$9:A46)+1&gt;$A$1,"",MAX($A$9:A46)+1))</f>
        <v/>
      </c>
      <c r="B47" s="196" t="str">
        <f t="shared" si="4"/>
        <v/>
      </c>
      <c r="C47" s="197" t="str">
        <f t="shared" si="5"/>
        <v/>
      </c>
      <c r="D47" s="198" t="str">
        <f t="shared" si="6"/>
        <v/>
      </c>
      <c r="E47" s="259" t="str">
        <f t="shared" si="7"/>
        <v/>
      </c>
      <c r="F47" s="142"/>
    </row>
    <row r="48" spans="1:6" s="22" customFormat="1" ht="16.5" hidden="1">
      <c r="A48" s="201" t="str">
        <f>IF($A$1="","",IF(MAX($A$9:A47)+1&gt;$A$1,"",MAX($A$9:A47)+1))</f>
        <v/>
      </c>
      <c r="B48" s="196" t="str">
        <f t="shared" si="4"/>
        <v/>
      </c>
      <c r="C48" s="197" t="str">
        <f t="shared" si="5"/>
        <v/>
      </c>
      <c r="D48" s="198" t="str">
        <f t="shared" si="6"/>
        <v/>
      </c>
      <c r="E48" s="259" t="str">
        <f t="shared" si="7"/>
        <v/>
      </c>
      <c r="F48" s="142"/>
    </row>
    <row r="49" spans="1:6" s="22" customFormat="1" ht="16.5" hidden="1">
      <c r="A49" s="201" t="str">
        <f>IF($A$1="","",IF(MAX($A$9:A48)+1&gt;$A$1,"",MAX($A$9:A48)+1))</f>
        <v/>
      </c>
      <c r="B49" s="196" t="str">
        <f t="shared" si="4"/>
        <v/>
      </c>
      <c r="C49" s="197" t="str">
        <f t="shared" si="5"/>
        <v/>
      </c>
      <c r="D49" s="198" t="str">
        <f t="shared" si="6"/>
        <v/>
      </c>
      <c r="E49" s="259" t="str">
        <f t="shared" si="7"/>
        <v/>
      </c>
      <c r="F49" s="142"/>
    </row>
    <row r="50" spans="1:6" s="22" customFormat="1" ht="16.5" hidden="1">
      <c r="A50" s="201" t="str">
        <f>IF($A$1="","",IF(MAX($A$9:A49)+1&gt;$A$1,"",MAX($A$9:A49)+1))</f>
        <v/>
      </c>
      <c r="B50" s="196" t="str">
        <f t="shared" si="4"/>
        <v/>
      </c>
      <c r="C50" s="197" t="str">
        <f t="shared" si="5"/>
        <v/>
      </c>
      <c r="D50" s="198" t="str">
        <f t="shared" si="6"/>
        <v/>
      </c>
      <c r="E50" s="259" t="str">
        <f t="shared" si="7"/>
        <v/>
      </c>
      <c r="F50" s="142"/>
    </row>
    <row r="51" spans="1:6" s="22" customFormat="1" ht="16.5" hidden="1">
      <c r="A51" s="201" t="str">
        <f>IF($A$1="","",IF(MAX($A$9:A50)+1&gt;$A$1,"",MAX($A$9:A50)+1))</f>
        <v/>
      </c>
      <c r="B51" s="196" t="str">
        <f t="shared" si="4"/>
        <v/>
      </c>
      <c r="C51" s="197" t="str">
        <f t="shared" si="5"/>
        <v/>
      </c>
      <c r="D51" s="198" t="str">
        <f t="shared" si="6"/>
        <v/>
      </c>
      <c r="E51" s="259" t="str">
        <f t="shared" si="7"/>
        <v/>
      </c>
      <c r="F51" s="142"/>
    </row>
    <row r="52" spans="1:6" s="23" customFormat="1" ht="15.75" hidden="1">
      <c r="A52" s="201" t="str">
        <f>IF($A$1="","",IF(MAX($A$9:A51)+1&gt;$A$1,"",MAX($A$9:A51)+1))</f>
        <v/>
      </c>
      <c r="B52" s="196" t="str">
        <f t="shared" si="4"/>
        <v/>
      </c>
      <c r="C52" s="197" t="str">
        <f t="shared" si="5"/>
        <v/>
      </c>
      <c r="D52" s="198" t="str">
        <f t="shared" si="6"/>
        <v/>
      </c>
      <c r="E52" s="259" t="str">
        <f t="shared" si="7"/>
        <v/>
      </c>
      <c r="F52" s="142"/>
    </row>
    <row r="53" spans="1:6" s="23" customFormat="1" ht="15.75" hidden="1">
      <c r="A53" s="201" t="str">
        <f>IF($A$1="","",IF(MAX($A$9:A52)+1&gt;$A$1,"",MAX($A$9:A52)+1))</f>
        <v/>
      </c>
      <c r="B53" s="196" t="str">
        <f t="shared" si="4"/>
        <v/>
      </c>
      <c r="C53" s="197" t="str">
        <f t="shared" si="5"/>
        <v/>
      </c>
      <c r="D53" s="198" t="str">
        <f t="shared" si="6"/>
        <v/>
      </c>
      <c r="E53" s="259" t="str">
        <f t="shared" si="7"/>
        <v/>
      </c>
      <c r="F53" s="142"/>
    </row>
    <row r="54" spans="1:6" s="23" customFormat="1" ht="15.75" hidden="1">
      <c r="A54" s="201" t="str">
        <f>IF($A$1="","",IF(MAX($A$9:A53)+1&gt;$A$1,"",MAX($A$9:A53)+1))</f>
        <v/>
      </c>
      <c r="B54" s="196" t="str">
        <f t="shared" si="4"/>
        <v/>
      </c>
      <c r="C54" s="197" t="str">
        <f t="shared" si="5"/>
        <v/>
      </c>
      <c r="D54" s="198" t="str">
        <f t="shared" si="6"/>
        <v/>
      </c>
      <c r="E54" s="259" t="str">
        <f t="shared" si="7"/>
        <v/>
      </c>
      <c r="F54" s="142"/>
    </row>
    <row r="55" spans="1:6" s="23" customFormat="1" ht="15.75" hidden="1">
      <c r="A55" s="201" t="str">
        <f>IF($A$1="","",IF(MAX($A$9:A54)+1&gt;$A$1,"",MAX($A$9:A54)+1))</f>
        <v/>
      </c>
      <c r="B55" s="196" t="str">
        <f t="shared" si="4"/>
        <v/>
      </c>
      <c r="C55" s="197" t="str">
        <f t="shared" si="5"/>
        <v/>
      </c>
      <c r="D55" s="198" t="str">
        <f t="shared" si="6"/>
        <v/>
      </c>
      <c r="E55" s="259" t="str">
        <f t="shared" si="7"/>
        <v/>
      </c>
      <c r="F55" s="142"/>
    </row>
    <row r="56" spans="1:6" s="23" customFormat="1" ht="15.75" hidden="1">
      <c r="A56" s="201" t="str">
        <f>IF($A$1="","",IF(MAX($A$9:A55)+1&gt;$A$1,"",MAX($A$9:A55)+1))</f>
        <v/>
      </c>
      <c r="B56" s="196" t="str">
        <f t="shared" si="4"/>
        <v/>
      </c>
      <c r="C56" s="197" t="str">
        <f t="shared" si="5"/>
        <v/>
      </c>
      <c r="D56" s="198" t="str">
        <f t="shared" si="6"/>
        <v/>
      </c>
      <c r="E56" s="259" t="str">
        <f t="shared" si="7"/>
        <v/>
      </c>
      <c r="F56" s="142"/>
    </row>
    <row r="57" spans="1:6" s="23" customFormat="1" ht="15.75" hidden="1">
      <c r="A57" s="201" t="str">
        <f>IF($A$1="","",IF(MAX($A$9:A56)+1&gt;$A$1,"",MAX($A$9:A56)+1))</f>
        <v/>
      </c>
      <c r="B57" s="196" t="str">
        <f t="shared" si="4"/>
        <v/>
      </c>
      <c r="C57" s="197" t="str">
        <f t="shared" si="5"/>
        <v/>
      </c>
      <c r="D57" s="198" t="str">
        <f t="shared" si="6"/>
        <v/>
      </c>
      <c r="E57" s="259" t="str">
        <f t="shared" si="7"/>
        <v/>
      </c>
      <c r="F57" s="142"/>
    </row>
    <row r="58" spans="1:6" s="23" customFormat="1" ht="15.75" hidden="1">
      <c r="A58" s="201" t="str">
        <f>IF($A$1="","",IF(MAX($A$9:A57)+1&gt;$A$1,"",MAX($A$9:A57)+1))</f>
        <v/>
      </c>
      <c r="B58" s="196" t="str">
        <f t="shared" si="4"/>
        <v/>
      </c>
      <c r="C58" s="197" t="str">
        <f t="shared" si="5"/>
        <v/>
      </c>
      <c r="D58" s="198" t="str">
        <f t="shared" si="6"/>
        <v/>
      </c>
      <c r="E58" s="259" t="str">
        <f t="shared" si="7"/>
        <v/>
      </c>
      <c r="F58" s="142"/>
    </row>
    <row r="59" spans="1:6" s="23" customFormat="1" ht="15.75" hidden="1">
      <c r="A59" s="201" t="str">
        <f>IF($A$1="","",IF(MAX($A$9:A58)+1&gt;$A$1,"",MAX($A$9:A58)+1))</f>
        <v/>
      </c>
      <c r="B59" s="196" t="str">
        <f t="shared" si="4"/>
        <v/>
      </c>
      <c r="C59" s="197" t="str">
        <f t="shared" si="5"/>
        <v/>
      </c>
      <c r="D59" s="198" t="str">
        <f t="shared" si="6"/>
        <v/>
      </c>
      <c r="E59" s="259" t="str">
        <f t="shared" si="7"/>
        <v/>
      </c>
      <c r="F59" s="142"/>
    </row>
    <row r="60" spans="1:6" s="23" customFormat="1" ht="15.75" hidden="1">
      <c r="A60" s="201" t="str">
        <f>IF($A$1="","",IF(MAX($A$9:A59)+1&gt;$A$1,"",MAX($A$9:A59)+1))</f>
        <v/>
      </c>
      <c r="B60" s="196" t="str">
        <f t="shared" si="4"/>
        <v/>
      </c>
      <c r="C60" s="197" t="str">
        <f t="shared" si="5"/>
        <v/>
      </c>
      <c r="D60" s="198" t="str">
        <f t="shared" si="6"/>
        <v/>
      </c>
      <c r="E60" s="259" t="str">
        <f t="shared" si="7"/>
        <v/>
      </c>
      <c r="F60" s="142"/>
    </row>
    <row r="61" spans="1:6" s="106" customFormat="1" ht="16.5" hidden="1">
      <c r="A61" s="201" t="str">
        <f>IF($A$1="","",IF(MAX($A$9:A60)+1&gt;$A$1,"",MAX($A$9:A60)+1))</f>
        <v/>
      </c>
      <c r="B61" s="196" t="str">
        <f t="shared" si="4"/>
        <v/>
      </c>
      <c r="C61" s="197" t="str">
        <f t="shared" si="5"/>
        <v/>
      </c>
      <c r="D61" s="198" t="str">
        <f t="shared" si="6"/>
        <v/>
      </c>
      <c r="E61" s="259" t="str">
        <f t="shared" si="7"/>
        <v/>
      </c>
      <c r="F61" s="142"/>
    </row>
    <row r="62" spans="1:6" s="22" customFormat="1" ht="16.5" hidden="1">
      <c r="A62" s="201" t="str">
        <f>IF($A$1="","",IF(MAX($A$9:A61)+1&gt;$A$1,"",MAX($A$9:A61)+1))</f>
        <v/>
      </c>
      <c r="B62" s="196" t="str">
        <f t="shared" si="4"/>
        <v/>
      </c>
      <c r="C62" s="197" t="str">
        <f t="shared" si="5"/>
        <v/>
      </c>
      <c r="D62" s="198" t="str">
        <f t="shared" si="6"/>
        <v/>
      </c>
      <c r="E62" s="259" t="str">
        <f t="shared" si="7"/>
        <v/>
      </c>
      <c r="F62" s="142"/>
    </row>
    <row r="63" spans="1:6" s="106" customFormat="1" ht="16.5" hidden="1">
      <c r="A63" s="201" t="str">
        <f>IF($A$1="","",IF(MAX($A$9:A62)+1&gt;$A$1,"",MAX($A$9:A62)+1))</f>
        <v/>
      </c>
      <c r="B63" s="196" t="str">
        <f t="shared" si="4"/>
        <v/>
      </c>
      <c r="C63" s="197" t="str">
        <f t="shared" si="5"/>
        <v/>
      </c>
      <c r="D63" s="198" t="str">
        <f t="shared" si="6"/>
        <v/>
      </c>
      <c r="E63" s="259" t="str">
        <f t="shared" si="7"/>
        <v/>
      </c>
      <c r="F63" s="142"/>
    </row>
    <row r="64" spans="1:6" s="22" customFormat="1" ht="16.5" hidden="1">
      <c r="A64" s="201" t="str">
        <f>IF($A$1="","",IF(MAX($A$9:A63)+1&gt;$A$1,"",MAX($A$9:A63)+1))</f>
        <v/>
      </c>
      <c r="B64" s="196" t="str">
        <f t="shared" si="4"/>
        <v/>
      </c>
      <c r="C64" s="197" t="str">
        <f t="shared" si="5"/>
        <v/>
      </c>
      <c r="D64" s="198" t="str">
        <f t="shared" si="6"/>
        <v/>
      </c>
      <c r="E64" s="259" t="str">
        <f t="shared" si="7"/>
        <v/>
      </c>
      <c r="F64" s="142"/>
    </row>
    <row r="65" spans="1:6" s="23" customFormat="1" ht="15.75" hidden="1">
      <c r="A65" s="201" t="str">
        <f>IF($A$1="","",IF(MAX($A$9:A64)+1&gt;$A$1,"",MAX($A$9:A64)+1))</f>
        <v/>
      </c>
      <c r="B65" s="196" t="str">
        <f t="shared" si="4"/>
        <v/>
      </c>
      <c r="C65" s="197" t="str">
        <f t="shared" si="5"/>
        <v/>
      </c>
      <c r="D65" s="198" t="str">
        <f t="shared" si="6"/>
        <v/>
      </c>
      <c r="E65" s="259" t="str">
        <f t="shared" si="7"/>
        <v/>
      </c>
      <c r="F65" s="142"/>
    </row>
    <row r="66" spans="1:6" s="23" customFormat="1" ht="15.75" hidden="1">
      <c r="A66" s="201" t="str">
        <f>IF($A$1="","",IF(MAX($A$9:A65)+1&gt;$A$1,"",MAX($A$9:A65)+1))</f>
        <v/>
      </c>
      <c r="B66" s="196" t="str">
        <f t="shared" si="4"/>
        <v/>
      </c>
      <c r="C66" s="197" t="str">
        <f t="shared" si="5"/>
        <v/>
      </c>
      <c r="D66" s="198" t="str">
        <f t="shared" si="6"/>
        <v/>
      </c>
      <c r="E66" s="259" t="str">
        <f t="shared" si="7"/>
        <v/>
      </c>
      <c r="F66" s="142"/>
    </row>
    <row r="67" spans="1:6" s="23" customFormat="1" ht="15.75" hidden="1">
      <c r="A67" s="201" t="str">
        <f>IF($A$1="","",IF(MAX($A$9:A66)+1&gt;$A$1,"",MAX($A$9:A66)+1))</f>
        <v/>
      </c>
      <c r="B67" s="196" t="str">
        <f t="shared" si="4"/>
        <v/>
      </c>
      <c r="C67" s="197" t="str">
        <f t="shared" si="5"/>
        <v/>
      </c>
      <c r="D67" s="198" t="str">
        <f t="shared" si="6"/>
        <v/>
      </c>
      <c r="E67" s="259" t="str">
        <f t="shared" si="7"/>
        <v/>
      </c>
      <c r="F67" s="142"/>
    </row>
    <row r="68" spans="1:6" s="23" customFormat="1" ht="15.75" hidden="1">
      <c r="A68" s="201" t="str">
        <f>IF($A$1="","",IF(MAX($A$9:A67)+1&gt;$A$1,"",MAX($A$9:A67)+1))</f>
        <v/>
      </c>
      <c r="B68" s="196" t="str">
        <f t="shared" si="4"/>
        <v/>
      </c>
      <c r="C68" s="197" t="str">
        <f t="shared" si="5"/>
        <v/>
      </c>
      <c r="D68" s="198" t="str">
        <f t="shared" si="6"/>
        <v/>
      </c>
      <c r="E68" s="259" t="str">
        <f t="shared" si="7"/>
        <v/>
      </c>
      <c r="F68" s="142"/>
    </row>
    <row r="69" spans="1:6" s="23" customFormat="1" ht="15.75" hidden="1">
      <c r="A69" s="201" t="str">
        <f>IF($A$1="","",IF(MAX($A$9:A68)+1&gt;$A$1,"",MAX($A$9:A68)+1))</f>
        <v/>
      </c>
      <c r="B69" s="196" t="str">
        <f t="shared" si="4"/>
        <v/>
      </c>
      <c r="C69" s="197" t="str">
        <f t="shared" si="5"/>
        <v/>
      </c>
      <c r="D69" s="198" t="str">
        <f t="shared" si="6"/>
        <v/>
      </c>
      <c r="E69" s="259" t="str">
        <f t="shared" si="7"/>
        <v/>
      </c>
      <c r="F69" s="142"/>
    </row>
    <row r="70" spans="1:6" s="23" customFormat="1" ht="15.75" hidden="1">
      <c r="A70" s="201" t="str">
        <f>IF($A$1="","",IF(MAX($A$9:A69)+1&gt;$A$1,"",MAX($A$9:A69)+1))</f>
        <v/>
      </c>
      <c r="B70" s="196" t="str">
        <f t="shared" si="4"/>
        <v/>
      </c>
      <c r="C70" s="197" t="str">
        <f t="shared" si="5"/>
        <v/>
      </c>
      <c r="D70" s="198" t="str">
        <f t="shared" si="6"/>
        <v/>
      </c>
      <c r="E70" s="259" t="str">
        <f t="shared" si="7"/>
        <v/>
      </c>
      <c r="F70" s="142"/>
    </row>
    <row r="71" spans="1:6" s="23" customFormat="1" ht="15.75" hidden="1">
      <c r="A71" s="201" t="str">
        <f>IF($A$1="","",IF(MAX($A$9:A70)+1&gt;$A$1,"",MAX($A$9:A70)+1))</f>
        <v/>
      </c>
      <c r="B71" s="196" t="str">
        <f t="shared" si="4"/>
        <v/>
      </c>
      <c r="C71" s="197" t="str">
        <f t="shared" si="5"/>
        <v/>
      </c>
      <c r="D71" s="198" t="str">
        <f t="shared" si="6"/>
        <v/>
      </c>
      <c r="E71" s="259" t="str">
        <f t="shared" si="7"/>
        <v/>
      </c>
      <c r="F71" s="142"/>
    </row>
    <row r="72" spans="1:6" s="23" customFormat="1" ht="15.75" hidden="1">
      <c r="A72" s="201" t="str">
        <f>IF($A$1="","",IF(MAX($A$9:A71)+1&gt;$A$1,"",MAX($A$9:A71)+1))</f>
        <v/>
      </c>
      <c r="B72" s="196" t="str">
        <f t="shared" si="4"/>
        <v/>
      </c>
      <c r="C72" s="197" t="str">
        <f t="shared" si="5"/>
        <v/>
      </c>
      <c r="D72" s="198" t="str">
        <f t="shared" si="6"/>
        <v/>
      </c>
      <c r="E72" s="259" t="str">
        <f t="shared" si="7"/>
        <v/>
      </c>
      <c r="F72" s="142"/>
    </row>
    <row r="73" spans="1:6" s="23" customFormat="1" ht="15.75" hidden="1">
      <c r="A73" s="201" t="str">
        <f>IF($A$1="","",IF(MAX($A$9:A72)+1&gt;$A$1,"",MAX($A$9:A72)+1))</f>
        <v/>
      </c>
      <c r="B73" s="196" t="str">
        <f t="shared" si="4"/>
        <v/>
      </c>
      <c r="C73" s="197" t="str">
        <f t="shared" si="5"/>
        <v/>
      </c>
      <c r="D73" s="198" t="str">
        <f t="shared" si="6"/>
        <v/>
      </c>
      <c r="E73" s="259" t="str">
        <f t="shared" si="7"/>
        <v/>
      </c>
      <c r="F73" s="142"/>
    </row>
    <row r="74" spans="1:6" s="107" customFormat="1" ht="15.75" hidden="1">
      <c r="A74" s="203" t="str">
        <f>IF($A$1="","",IF(MAX($A$9:A73)+1&gt;$A$1,"",MAX($A$9:A73)+1))</f>
        <v/>
      </c>
      <c r="B74" s="196" t="str">
        <f t="shared" si="4"/>
        <v/>
      </c>
      <c r="C74" s="197" t="str">
        <f t="shared" ref="C74:C99" si="8">IF(A74="","",VLOOKUP(A74,CONGTRINH,7,0))</f>
        <v/>
      </c>
      <c r="D74" s="198" t="str">
        <f t="shared" ref="D74:D99" si="9">IF(A74="","",VLOOKUP(A74,CONGTRINH,9,0))</f>
        <v/>
      </c>
      <c r="E74" s="259" t="str">
        <f t="shared" ref="E74:E99" si="10">IF(A74="","",VLOOKUP(A74,CONGTRINH,31,0))</f>
        <v/>
      </c>
      <c r="F74" s="142"/>
    </row>
    <row r="75" spans="1:6" s="23" customFormat="1" ht="15.75" hidden="1">
      <c r="A75" s="201" t="str">
        <f>IF($A$1="","",IF(MAX($A$9:A74)+1&gt;$A$1,"",MAX($A$9:A74)+1))</f>
        <v/>
      </c>
      <c r="B75" s="196" t="str">
        <f t="shared" ref="B75:B99" si="11">IF(A75="","",IF(VLOOKUP(A75,CONGTRINH,5,0)="","",VLOOKUP(A75,CONGTRINH,5,0)))</f>
        <v/>
      </c>
      <c r="C75" s="197" t="str">
        <f t="shared" si="8"/>
        <v/>
      </c>
      <c r="D75" s="198" t="str">
        <f t="shared" si="9"/>
        <v/>
      </c>
      <c r="E75" s="259" t="str">
        <f t="shared" si="10"/>
        <v/>
      </c>
      <c r="F75" s="142"/>
    </row>
    <row r="76" spans="1:6" s="23" customFormat="1" ht="15.75" hidden="1">
      <c r="A76" s="201" t="str">
        <f>IF($A$1="","",IF(MAX($A$9:A75)+1&gt;$A$1,"",MAX($A$9:A75)+1))</f>
        <v/>
      </c>
      <c r="B76" s="196" t="str">
        <f t="shared" si="11"/>
        <v/>
      </c>
      <c r="C76" s="197" t="str">
        <f t="shared" si="8"/>
        <v/>
      </c>
      <c r="D76" s="198" t="str">
        <f t="shared" si="9"/>
        <v/>
      </c>
      <c r="E76" s="259" t="str">
        <f t="shared" si="10"/>
        <v/>
      </c>
      <c r="F76" s="142"/>
    </row>
    <row r="77" spans="1:6" s="107" customFormat="1" ht="15.75" hidden="1">
      <c r="A77" s="203" t="str">
        <f>IF($A$1="","",IF(MAX($A$9:A76)+1&gt;$A$1,"",MAX($A$9:A76)+1))</f>
        <v/>
      </c>
      <c r="B77" s="196" t="str">
        <f t="shared" si="11"/>
        <v/>
      </c>
      <c r="C77" s="197" t="str">
        <f t="shared" si="8"/>
        <v/>
      </c>
      <c r="D77" s="198" t="str">
        <f t="shared" si="9"/>
        <v/>
      </c>
      <c r="E77" s="259" t="str">
        <f t="shared" si="10"/>
        <v/>
      </c>
      <c r="F77" s="142"/>
    </row>
    <row r="78" spans="1:6" s="23" customFormat="1" ht="15.75" hidden="1">
      <c r="A78" s="201" t="str">
        <f>IF($A$1="","",IF(MAX($A$9:A77)+1&gt;$A$1,"",MAX($A$9:A77)+1))</f>
        <v/>
      </c>
      <c r="B78" s="196" t="str">
        <f t="shared" si="11"/>
        <v/>
      </c>
      <c r="C78" s="197" t="str">
        <f t="shared" si="8"/>
        <v/>
      </c>
      <c r="D78" s="198" t="str">
        <f t="shared" si="9"/>
        <v/>
      </c>
      <c r="E78" s="259" t="str">
        <f t="shared" si="10"/>
        <v/>
      </c>
      <c r="F78" s="142"/>
    </row>
    <row r="79" spans="1:6" s="23" customFormat="1" ht="15.75" hidden="1">
      <c r="A79" s="201" t="str">
        <f>IF($A$1="","",IF(MAX($A$9:A78)+1&gt;$A$1,"",MAX($A$9:A78)+1))</f>
        <v/>
      </c>
      <c r="B79" s="196" t="str">
        <f t="shared" si="11"/>
        <v/>
      </c>
      <c r="C79" s="197" t="str">
        <f t="shared" si="8"/>
        <v/>
      </c>
      <c r="D79" s="198" t="str">
        <f t="shared" si="9"/>
        <v/>
      </c>
      <c r="E79" s="259" t="str">
        <f t="shared" si="10"/>
        <v/>
      </c>
      <c r="F79" s="142"/>
    </row>
    <row r="80" spans="1:6" s="23" customFormat="1" ht="15.75" hidden="1">
      <c r="A80" s="201" t="str">
        <f>IF($A$1="","",IF(MAX($A$9:A79)+1&gt;$A$1,"",MAX($A$9:A79)+1))</f>
        <v/>
      </c>
      <c r="B80" s="196" t="str">
        <f t="shared" si="11"/>
        <v/>
      </c>
      <c r="C80" s="197" t="str">
        <f t="shared" si="8"/>
        <v/>
      </c>
      <c r="D80" s="198" t="str">
        <f t="shared" si="9"/>
        <v/>
      </c>
      <c r="E80" s="259" t="str">
        <f t="shared" si="10"/>
        <v/>
      </c>
      <c r="F80" s="142"/>
    </row>
    <row r="81" spans="1:6" s="107" customFormat="1" ht="15.75" hidden="1">
      <c r="A81" s="203" t="str">
        <f>IF($A$1="","",IF(MAX($A$9:A80)+1&gt;$A$1,"",MAX($A$9:A80)+1))</f>
        <v/>
      </c>
      <c r="B81" s="196" t="str">
        <f t="shared" si="11"/>
        <v/>
      </c>
      <c r="C81" s="197" t="str">
        <f t="shared" si="8"/>
        <v/>
      </c>
      <c r="D81" s="198" t="str">
        <f t="shared" si="9"/>
        <v/>
      </c>
      <c r="E81" s="259" t="str">
        <f t="shared" si="10"/>
        <v/>
      </c>
      <c r="F81" s="142"/>
    </row>
    <row r="82" spans="1:6" s="23" customFormat="1" ht="15.75" hidden="1">
      <c r="A82" s="201" t="str">
        <f>IF($A$1="","",IF(MAX($A$9:A81)+1&gt;$A$1,"",MAX($A$9:A81)+1))</f>
        <v/>
      </c>
      <c r="B82" s="196" t="str">
        <f t="shared" si="11"/>
        <v/>
      </c>
      <c r="C82" s="197" t="str">
        <f t="shared" si="8"/>
        <v/>
      </c>
      <c r="D82" s="198" t="str">
        <f t="shared" si="9"/>
        <v/>
      </c>
      <c r="E82" s="259" t="str">
        <f t="shared" si="10"/>
        <v/>
      </c>
      <c r="F82" s="142"/>
    </row>
    <row r="83" spans="1:6" s="23" customFormat="1" ht="15.75" hidden="1">
      <c r="A83" s="201" t="str">
        <f>IF($A$1="","",IF(MAX($A$9:A82)+1&gt;$A$1,"",MAX($A$9:A82)+1))</f>
        <v/>
      </c>
      <c r="B83" s="196" t="str">
        <f t="shared" si="11"/>
        <v/>
      </c>
      <c r="C83" s="197" t="str">
        <f t="shared" si="8"/>
        <v/>
      </c>
      <c r="D83" s="198" t="str">
        <f t="shared" si="9"/>
        <v/>
      </c>
      <c r="E83" s="259" t="str">
        <f t="shared" si="10"/>
        <v/>
      </c>
      <c r="F83" s="142"/>
    </row>
    <row r="84" spans="1:6" s="23" customFormat="1" ht="15.75" hidden="1">
      <c r="A84" s="201" t="str">
        <f>IF($A$1="","",IF(MAX($A$9:A83)+1&gt;$A$1,"",MAX($A$9:A83)+1))</f>
        <v/>
      </c>
      <c r="B84" s="196" t="str">
        <f t="shared" si="11"/>
        <v/>
      </c>
      <c r="C84" s="197" t="str">
        <f t="shared" si="8"/>
        <v/>
      </c>
      <c r="D84" s="198" t="str">
        <f t="shared" si="9"/>
        <v/>
      </c>
      <c r="E84" s="259" t="str">
        <f t="shared" si="10"/>
        <v/>
      </c>
      <c r="F84" s="142"/>
    </row>
    <row r="85" spans="1:6" s="23" customFormat="1" ht="15.75" hidden="1">
      <c r="A85" s="201" t="str">
        <f>IF($A$1="","",IF(MAX($A$9:A84)+1&gt;$A$1,"",MAX($A$9:A84)+1))</f>
        <v/>
      </c>
      <c r="B85" s="196" t="str">
        <f t="shared" si="11"/>
        <v/>
      </c>
      <c r="C85" s="197" t="str">
        <f t="shared" si="8"/>
        <v/>
      </c>
      <c r="D85" s="198" t="str">
        <f t="shared" si="9"/>
        <v/>
      </c>
      <c r="E85" s="259" t="str">
        <f t="shared" si="10"/>
        <v/>
      </c>
      <c r="F85" s="142"/>
    </row>
    <row r="86" spans="1:6" s="23" customFormat="1" ht="15.75" hidden="1">
      <c r="A86" s="201" t="str">
        <f>IF($A$1="","",IF(MAX($A$9:A85)+1&gt;$A$1,"",MAX($A$9:A85)+1))</f>
        <v/>
      </c>
      <c r="B86" s="196" t="str">
        <f t="shared" si="11"/>
        <v/>
      </c>
      <c r="C86" s="197" t="str">
        <f t="shared" si="8"/>
        <v/>
      </c>
      <c r="D86" s="198" t="str">
        <f t="shared" si="9"/>
        <v/>
      </c>
      <c r="E86" s="259" t="str">
        <f t="shared" si="10"/>
        <v/>
      </c>
      <c r="F86" s="142"/>
    </row>
    <row r="87" spans="1:6" s="23" customFormat="1" ht="15.75" hidden="1">
      <c r="A87" s="201" t="str">
        <f>IF($A$1="","",IF(MAX($A$9:A86)+1&gt;$A$1,"",MAX($A$9:A86)+1))</f>
        <v/>
      </c>
      <c r="B87" s="196" t="str">
        <f t="shared" si="11"/>
        <v/>
      </c>
      <c r="C87" s="197" t="str">
        <f t="shared" si="8"/>
        <v/>
      </c>
      <c r="D87" s="198" t="str">
        <f t="shared" si="9"/>
        <v/>
      </c>
      <c r="E87" s="259" t="str">
        <f t="shared" si="10"/>
        <v/>
      </c>
      <c r="F87" s="142"/>
    </row>
    <row r="88" spans="1:6" s="23" customFormat="1" ht="15.75" hidden="1">
      <c r="A88" s="201" t="str">
        <f>IF($A$1="","",IF(MAX($A$9:A87)+1&gt;$A$1,"",MAX($A$9:A87)+1))</f>
        <v/>
      </c>
      <c r="B88" s="196" t="str">
        <f t="shared" si="11"/>
        <v/>
      </c>
      <c r="C88" s="197" t="str">
        <f t="shared" si="8"/>
        <v/>
      </c>
      <c r="D88" s="198" t="str">
        <f t="shared" si="9"/>
        <v/>
      </c>
      <c r="E88" s="259" t="str">
        <f t="shared" si="10"/>
        <v/>
      </c>
      <c r="F88" s="142"/>
    </row>
    <row r="89" spans="1:6" s="23" customFormat="1" ht="15.75" hidden="1">
      <c r="A89" s="201" t="str">
        <f>IF($A$1="","",IF(MAX($A$9:A88)+1&gt;$A$1,"",MAX($A$9:A88)+1))</f>
        <v/>
      </c>
      <c r="B89" s="196" t="str">
        <f t="shared" si="11"/>
        <v/>
      </c>
      <c r="C89" s="197" t="str">
        <f t="shared" si="8"/>
        <v/>
      </c>
      <c r="D89" s="198" t="str">
        <f t="shared" si="9"/>
        <v/>
      </c>
      <c r="E89" s="259" t="str">
        <f t="shared" si="10"/>
        <v/>
      </c>
      <c r="F89" s="142"/>
    </row>
    <row r="90" spans="1:6" s="23" customFormat="1" ht="15.75" hidden="1">
      <c r="A90" s="201" t="str">
        <f>IF($A$1="","",IF(MAX($A$9:A89)+1&gt;$A$1,"",MAX($A$9:A89)+1))</f>
        <v/>
      </c>
      <c r="B90" s="196" t="str">
        <f t="shared" si="11"/>
        <v/>
      </c>
      <c r="C90" s="197" t="str">
        <f t="shared" si="8"/>
        <v/>
      </c>
      <c r="D90" s="198" t="str">
        <f t="shared" si="9"/>
        <v/>
      </c>
      <c r="E90" s="259" t="str">
        <f t="shared" si="10"/>
        <v/>
      </c>
      <c r="F90" s="142"/>
    </row>
    <row r="91" spans="1:6" s="23" customFormat="1" ht="15.75" hidden="1">
      <c r="A91" s="201" t="str">
        <f>IF($A$1="","",IF(MAX($A$9:A90)+1&gt;$A$1,"",MAX($A$9:A90)+1))</f>
        <v/>
      </c>
      <c r="B91" s="196" t="str">
        <f t="shared" si="11"/>
        <v/>
      </c>
      <c r="C91" s="197" t="str">
        <f t="shared" si="8"/>
        <v/>
      </c>
      <c r="D91" s="198" t="str">
        <f t="shared" si="9"/>
        <v/>
      </c>
      <c r="E91" s="259" t="str">
        <f t="shared" si="10"/>
        <v/>
      </c>
      <c r="F91" s="142"/>
    </row>
    <row r="92" spans="1:6" s="23" customFormat="1" ht="15.75" hidden="1">
      <c r="A92" s="201" t="str">
        <f>IF($A$1="","",IF(MAX($A$9:A91)+1&gt;$A$1,"",MAX($A$9:A91)+1))</f>
        <v/>
      </c>
      <c r="B92" s="196" t="str">
        <f t="shared" si="11"/>
        <v/>
      </c>
      <c r="C92" s="197" t="str">
        <f t="shared" si="8"/>
        <v/>
      </c>
      <c r="D92" s="198" t="str">
        <f t="shared" si="9"/>
        <v/>
      </c>
      <c r="E92" s="259" t="str">
        <f t="shared" si="10"/>
        <v/>
      </c>
      <c r="F92" s="142"/>
    </row>
    <row r="93" spans="1:6" s="107" customFormat="1" ht="15.75" hidden="1">
      <c r="A93" s="203" t="str">
        <f>IF($A$1="","",IF(MAX($A$9:A92)+1&gt;$A$1,"",MAX($A$9:A92)+1))</f>
        <v/>
      </c>
      <c r="B93" s="196" t="str">
        <f t="shared" si="11"/>
        <v/>
      </c>
      <c r="C93" s="197" t="str">
        <f t="shared" si="8"/>
        <v/>
      </c>
      <c r="D93" s="198" t="str">
        <f t="shared" si="9"/>
        <v/>
      </c>
      <c r="E93" s="259" t="str">
        <f t="shared" si="10"/>
        <v/>
      </c>
      <c r="F93" s="142"/>
    </row>
    <row r="94" spans="1:6" s="23" customFormat="1" ht="15.75" hidden="1">
      <c r="A94" s="201" t="str">
        <f>IF($A$1="","",IF(MAX($A$9:A93)+1&gt;$A$1,"",MAX($A$9:A93)+1))</f>
        <v/>
      </c>
      <c r="B94" s="196" t="str">
        <f t="shared" si="11"/>
        <v/>
      </c>
      <c r="C94" s="197" t="str">
        <f t="shared" si="8"/>
        <v/>
      </c>
      <c r="D94" s="198" t="str">
        <f t="shared" si="9"/>
        <v/>
      </c>
      <c r="E94" s="259" t="str">
        <f t="shared" si="10"/>
        <v/>
      </c>
      <c r="F94" s="142"/>
    </row>
    <row r="95" spans="1:6" s="23" customFormat="1" ht="15.75" hidden="1">
      <c r="A95" s="201" t="str">
        <f>IF($A$1="","",IF(MAX($A$9:A94)+1&gt;$A$1,"",MAX($A$9:A94)+1))</f>
        <v/>
      </c>
      <c r="B95" s="196" t="str">
        <f t="shared" si="11"/>
        <v/>
      </c>
      <c r="C95" s="197" t="str">
        <f t="shared" si="8"/>
        <v/>
      </c>
      <c r="D95" s="198" t="str">
        <f t="shared" si="9"/>
        <v/>
      </c>
      <c r="E95" s="259" t="str">
        <f t="shared" si="10"/>
        <v/>
      </c>
      <c r="F95" s="142"/>
    </row>
    <row r="96" spans="1:6" s="23" customFormat="1" ht="15.75" hidden="1">
      <c r="A96" s="201" t="str">
        <f>IF($A$1="","",IF(MAX($A$9:A95)+1&gt;$A$1,"",MAX($A$9:A95)+1))</f>
        <v/>
      </c>
      <c r="B96" s="196" t="str">
        <f t="shared" si="11"/>
        <v/>
      </c>
      <c r="C96" s="197" t="str">
        <f t="shared" si="8"/>
        <v/>
      </c>
      <c r="D96" s="198" t="str">
        <f t="shared" si="9"/>
        <v/>
      </c>
      <c r="E96" s="259" t="str">
        <f t="shared" si="10"/>
        <v/>
      </c>
      <c r="F96" s="142"/>
    </row>
    <row r="97" spans="1:6" s="23" customFormat="1" ht="15.75" hidden="1">
      <c r="A97" s="201" t="str">
        <f>IF($A$1="","",IF(MAX($A$9:A96)+1&gt;$A$1,"",MAX($A$9:A96)+1))</f>
        <v/>
      </c>
      <c r="B97" s="196" t="str">
        <f t="shared" si="11"/>
        <v/>
      </c>
      <c r="C97" s="197" t="str">
        <f t="shared" si="8"/>
        <v/>
      </c>
      <c r="D97" s="198" t="str">
        <f t="shared" si="9"/>
        <v/>
      </c>
      <c r="E97" s="259" t="str">
        <f t="shared" si="10"/>
        <v/>
      </c>
      <c r="F97" s="142"/>
    </row>
    <row r="98" spans="1:6" s="23" customFormat="1" ht="15.75" hidden="1">
      <c r="A98" s="201" t="str">
        <f>IF($A$1="","",IF(MAX($A$9:A97)+1&gt;$A$1,"",MAX($A$9:A97)+1))</f>
        <v/>
      </c>
      <c r="B98" s="196" t="str">
        <f t="shared" si="11"/>
        <v/>
      </c>
      <c r="C98" s="197" t="str">
        <f t="shared" si="8"/>
        <v/>
      </c>
      <c r="D98" s="198" t="str">
        <f t="shared" si="9"/>
        <v/>
      </c>
      <c r="E98" s="259" t="str">
        <f t="shared" si="10"/>
        <v/>
      </c>
      <c r="F98" s="142"/>
    </row>
    <row r="99" spans="1:6" s="23" customFormat="1" ht="15.75" hidden="1">
      <c r="A99" s="201" t="str">
        <f>IF($A$1="","",IF(MAX($A$9:A98)+1&gt;$A$1,"",MAX($A$9:A98)+1))</f>
        <v/>
      </c>
      <c r="B99" s="196" t="str">
        <f t="shared" si="11"/>
        <v/>
      </c>
      <c r="C99" s="197" t="str">
        <f t="shared" si="8"/>
        <v/>
      </c>
      <c r="D99" s="198" t="str">
        <f t="shared" si="9"/>
        <v/>
      </c>
      <c r="E99" s="259" t="str">
        <f t="shared" si="10"/>
        <v/>
      </c>
      <c r="F99" s="142"/>
    </row>
    <row r="100" spans="1:6" s="23" customFormat="1" ht="16.5">
      <c r="A100" s="204"/>
      <c r="B100" s="205"/>
      <c r="C100" s="206"/>
      <c r="D100" s="207"/>
      <c r="E100" s="704"/>
      <c r="F100" s="208"/>
    </row>
    <row r="101" spans="1:6" s="260" customFormat="1" ht="18.75">
      <c r="A101" s="258"/>
      <c r="B101" s="258"/>
      <c r="C101" s="262"/>
      <c r="E101" s="261"/>
    </row>
  </sheetData>
  <sheetProtection formatCells="0" formatColumns="0" formatRows="0"/>
  <mergeCells count="6">
    <mergeCell ref="F6:F7"/>
    <mergeCell ref="E6:E7"/>
    <mergeCell ref="A2:C2"/>
    <mergeCell ref="B6:C6"/>
    <mergeCell ref="D6:D7"/>
    <mergeCell ref="A6:A7"/>
  </mergeCells>
  <dataValidations count="1">
    <dataValidation type="list" allowBlank="1" showInputMessage="1" showErrorMessage="1" sqref="D2">
      <formula1>DSCT</formula1>
    </dataValidation>
  </dataValidations>
  <printOptions horizontalCentered="1"/>
  <pageMargins left="0.62" right="0.53" top="0.47244094488188981" bottom="0.35433070866141736" header="0.31496062992125984" footer="0.31496062992125984"/>
  <pageSetup paperSize="9" scale="65" fitToHeight="9" orientation="portrait" verticalDpi="300" r:id="rId1"/>
  <headerFooter alignWithMargins="0"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C00000"/>
  </sheetPr>
  <dimension ref="A1:L339"/>
  <sheetViews>
    <sheetView workbookViewId="0">
      <pane ySplit="2" topLeftCell="A26" activePane="bottomLeft" state="frozen"/>
      <selection activeCell="E6" sqref="E6"/>
      <selection pane="bottomLeft" activeCell="E6" sqref="E6"/>
    </sheetView>
  </sheetViews>
  <sheetFormatPr defaultRowHeight="12.75"/>
  <cols>
    <col min="4" max="4" width="65.28515625" customWidth="1"/>
    <col min="5" max="5" width="3.28515625" customWidth="1"/>
    <col min="6" max="6" width="10.5703125" customWidth="1"/>
    <col min="7" max="7" width="12.5703125" customWidth="1"/>
    <col min="8" max="8" width="16.28515625" customWidth="1"/>
    <col min="9" max="9" width="14.85546875" customWidth="1"/>
    <col min="10" max="11" width="12.42578125" customWidth="1"/>
    <col min="12" max="12" width="10.42578125" bestFit="1" customWidth="1"/>
  </cols>
  <sheetData>
    <row r="1" spans="1:12" ht="14.25">
      <c r="A1" s="974" t="s">
        <v>133</v>
      </c>
      <c r="B1" s="974"/>
      <c r="C1" s="974"/>
      <c r="D1" s="974"/>
      <c r="E1" s="974"/>
      <c r="F1" s="974" t="s">
        <v>446</v>
      </c>
      <c r="G1" s="974"/>
      <c r="H1" s="974"/>
    </row>
    <row r="2" spans="1:12" ht="31.5">
      <c r="A2" s="117"/>
      <c r="B2" s="118" t="s">
        <v>134</v>
      </c>
      <c r="C2" s="118" t="s">
        <v>135</v>
      </c>
      <c r="D2" s="119" t="s">
        <v>136</v>
      </c>
      <c r="F2" s="116" t="s">
        <v>0</v>
      </c>
      <c r="G2" s="116" t="s">
        <v>4</v>
      </c>
      <c r="H2" s="116" t="s">
        <v>2</v>
      </c>
      <c r="L2" s="116" t="s">
        <v>124</v>
      </c>
    </row>
    <row r="3" spans="1:12">
      <c r="A3" s="975" t="s">
        <v>137</v>
      </c>
      <c r="B3" s="976"/>
      <c r="C3" s="976"/>
      <c r="D3" s="977"/>
      <c r="F3" s="143"/>
      <c r="G3" s="143"/>
      <c r="H3" s="143"/>
      <c r="L3" s="114"/>
    </row>
    <row r="4" spans="1:12" ht="24">
      <c r="A4" s="120" t="s">
        <v>138</v>
      </c>
      <c r="B4" s="118"/>
      <c r="C4" s="118"/>
      <c r="D4" s="121" t="s">
        <v>139</v>
      </c>
      <c r="F4" s="144">
        <v>1</v>
      </c>
      <c r="G4" s="144">
        <f>VLOOKUP(F4,'Giao  du toan'!$A$5:$H$39,2,0)</f>
        <v>102</v>
      </c>
      <c r="H4" s="145" t="str">
        <f>VLOOKUP(F4,'Giao  du toan'!$A$5:$H$39,3,0)</f>
        <v>Khuyến công, nông thôn mới</v>
      </c>
      <c r="L4" s="115">
        <v>6106</v>
      </c>
    </row>
    <row r="5" spans="1:12" ht="15.75">
      <c r="A5" s="120"/>
      <c r="B5" s="118"/>
      <c r="C5" s="118"/>
      <c r="D5" s="121"/>
      <c r="F5" s="144">
        <v>2</v>
      </c>
      <c r="G5" s="144">
        <f>VLOOKUP(F5,'Giao  du toan'!$A$5:$H$39,2,0)</f>
        <v>194</v>
      </c>
      <c r="H5" s="145" t="str">
        <f>VLOOKUP(F5,'Giao  du toan'!$A$5:$H$39,3,0)</f>
        <v>Khuyến thương</v>
      </c>
      <c r="L5" s="115">
        <v>6125</v>
      </c>
    </row>
    <row r="6" spans="1:12" ht="15.75">
      <c r="A6" s="978" t="s">
        <v>140</v>
      </c>
      <c r="B6" s="978"/>
      <c r="C6" s="120"/>
      <c r="D6" s="120" t="s">
        <v>141</v>
      </c>
      <c r="F6" s="144">
        <v>3</v>
      </c>
      <c r="G6" s="144">
        <f>VLOOKUP(F6,'Giao  du toan'!$A$5:$H$39,2,0)</f>
        <v>223</v>
      </c>
      <c r="H6" s="145" t="str">
        <f>VLOOKUP(F6,'Giao  du toan'!$A$5:$H$39,3,0)</f>
        <v>Sự nghiệp giao thông</v>
      </c>
      <c r="L6" s="115">
        <v>6149</v>
      </c>
    </row>
    <row r="7" spans="1:12" ht="15.75">
      <c r="A7" s="120"/>
      <c r="B7" s="118"/>
      <c r="C7" s="118"/>
      <c r="D7" s="120"/>
      <c r="F7" s="144">
        <v>4</v>
      </c>
      <c r="G7" s="144" t="str">
        <f>VLOOKUP(F7,'Giao  du toan'!$A$5:$H$39,2,0)</f>
        <v>223'</v>
      </c>
      <c r="H7" s="145" t="str">
        <f>VLOOKUP(F7,'Giao  du toan'!$A$5:$H$39,3,0)</f>
        <v>Kinh phí ATGT</v>
      </c>
      <c r="L7" s="115">
        <v>6501</v>
      </c>
    </row>
    <row r="8" spans="1:12" ht="15.75">
      <c r="A8" s="120" t="s">
        <v>18</v>
      </c>
      <c r="B8" s="118">
        <v>1000</v>
      </c>
      <c r="C8" s="118"/>
      <c r="D8" s="120" t="s">
        <v>142</v>
      </c>
      <c r="F8" s="144">
        <v>5</v>
      </c>
      <c r="G8" s="144">
        <f>VLOOKUP(F8,'Giao  du toan'!$A$5:$H$39,2,0)</f>
        <v>373</v>
      </c>
      <c r="H8" s="145" t="str">
        <f>VLOOKUP(F8,'Giao  du toan'!$A$5:$H$39,3,0)</f>
        <v>Sự nghiệp Khoa học công nghệ</v>
      </c>
      <c r="L8" s="115">
        <v>6503</v>
      </c>
    </row>
    <row r="9" spans="1:12" ht="15.75">
      <c r="A9" s="122" t="s">
        <v>85</v>
      </c>
      <c r="B9" s="123"/>
      <c r="C9" s="123">
        <v>1001</v>
      </c>
      <c r="D9" s="122" t="s">
        <v>143</v>
      </c>
      <c r="F9" s="144">
        <v>6</v>
      </c>
      <c r="G9" s="144" t="str">
        <f>VLOOKUP(F9,'Giao  du toan'!$A$5:$H$39,2,0)</f>
        <v>373'</v>
      </c>
      <c r="H9" s="145" t="str">
        <f>VLOOKUP(F9,'Giao  du toan'!$A$5:$H$39,3,0)</f>
        <v>Sự nghiệp Khoa học công nghệ (NS tỉnh)</v>
      </c>
      <c r="L9" s="115">
        <v>6552</v>
      </c>
    </row>
    <row r="10" spans="1:12" ht="15.75">
      <c r="A10" s="122"/>
      <c r="B10" s="123"/>
      <c r="C10" s="123">
        <v>1049</v>
      </c>
      <c r="D10" s="122" t="s">
        <v>144</v>
      </c>
      <c r="F10" s="144">
        <v>7</v>
      </c>
      <c r="G10" s="144">
        <f>VLOOKUP(F10,'Giao  du toan'!$A$5:$H$39,2,0)</f>
        <v>432</v>
      </c>
      <c r="H10" s="145" t="str">
        <f>VLOOKUP(F10,'Giao  du toan'!$A$5:$H$39,3,0)</f>
        <v>Vốn quy hoạch</v>
      </c>
      <c r="L10" s="115">
        <v>6606</v>
      </c>
    </row>
    <row r="11" spans="1:12" ht="15.75">
      <c r="A11" s="120"/>
      <c r="B11" s="118"/>
      <c r="C11" s="123"/>
      <c r="D11" s="120"/>
      <c r="F11" s="144">
        <v>8</v>
      </c>
      <c r="G11" s="144"/>
      <c r="H11" s="144"/>
      <c r="L11" s="115">
        <v>6651</v>
      </c>
    </row>
    <row r="12" spans="1:12" ht="15.75">
      <c r="A12" s="978" t="s">
        <v>145</v>
      </c>
      <c r="B12" s="978"/>
      <c r="C12" s="120"/>
      <c r="D12" s="120" t="s">
        <v>146</v>
      </c>
      <c r="F12" s="144">
        <v>9</v>
      </c>
      <c r="G12" s="144"/>
      <c r="H12" s="144"/>
      <c r="L12" s="115">
        <v>6652</v>
      </c>
    </row>
    <row r="13" spans="1:12" ht="15.75">
      <c r="A13" s="124"/>
      <c r="B13" s="125"/>
      <c r="C13" s="125"/>
      <c r="D13" s="120"/>
      <c r="F13" s="144"/>
      <c r="G13" s="144"/>
      <c r="H13" s="144"/>
      <c r="L13" s="115">
        <v>6655</v>
      </c>
    </row>
    <row r="14" spans="1:12" ht="15.75">
      <c r="A14" s="120" t="s">
        <v>18</v>
      </c>
      <c r="B14" s="118">
        <v>2200</v>
      </c>
      <c r="C14" s="118"/>
      <c r="D14" s="120" t="s">
        <v>147</v>
      </c>
      <c r="L14" s="115">
        <v>6658</v>
      </c>
    </row>
    <row r="15" spans="1:12" ht="15.75">
      <c r="A15" s="124"/>
      <c r="B15" s="125"/>
      <c r="C15" s="123">
        <v>2203</v>
      </c>
      <c r="D15" s="122" t="s">
        <v>148</v>
      </c>
      <c r="L15" s="115">
        <v>6699</v>
      </c>
    </row>
    <row r="16" spans="1:12" ht="15.75">
      <c r="A16" s="124"/>
      <c r="B16" s="125"/>
      <c r="C16" s="125"/>
      <c r="D16" s="120"/>
      <c r="G16" s="307">
        <f>Menu!K4</f>
        <v>2017</v>
      </c>
      <c r="L16" s="115">
        <v>6701</v>
      </c>
    </row>
    <row r="17" spans="1:12" ht="18.75">
      <c r="A17" s="120" t="s">
        <v>18</v>
      </c>
      <c r="B17" s="119">
        <v>2250</v>
      </c>
      <c r="C17" s="119"/>
      <c r="D17" s="120" t="s">
        <v>149</v>
      </c>
      <c r="F17" s="308" t="s">
        <v>508</v>
      </c>
      <c r="G17" s="310">
        <f>DATE($G$16,1,1)</f>
        <v>42736</v>
      </c>
      <c r="H17" s="309">
        <f>DATE($G$16,3,31)</f>
        <v>42825</v>
      </c>
      <c r="I17" t="str">
        <f>"Năm "&amp;$G$16</f>
        <v>Năm 2017</v>
      </c>
      <c r="L17" s="115">
        <v>6702</v>
      </c>
    </row>
    <row r="18" spans="1:12" ht="25.5">
      <c r="A18" s="124"/>
      <c r="B18" s="125"/>
      <c r="C18" s="123">
        <v>2253</v>
      </c>
      <c r="D18" s="122" t="s">
        <v>150</v>
      </c>
      <c r="F18" s="308" t="s">
        <v>509</v>
      </c>
      <c r="G18" s="310">
        <f>DATE($G$16,4,1)</f>
        <v>42826</v>
      </c>
      <c r="H18" s="309">
        <f>DATE($G$16,6,30)</f>
        <v>42916</v>
      </c>
      <c r="I18" t="str">
        <f t="shared" ref="I18:I20" si="0">"Năm "&amp;$G$16</f>
        <v>Năm 2017</v>
      </c>
      <c r="L18" s="115">
        <v>6703</v>
      </c>
    </row>
    <row r="19" spans="1:12" ht="25.5">
      <c r="A19" s="124"/>
      <c r="B19" s="125"/>
      <c r="C19" s="123">
        <v>2255</v>
      </c>
      <c r="D19" s="122" t="s">
        <v>151</v>
      </c>
      <c r="F19" s="308" t="s">
        <v>510</v>
      </c>
      <c r="G19" s="310">
        <f>DATE($G$16,7,1)</f>
        <v>42917</v>
      </c>
      <c r="H19" s="309">
        <f>DATE($G$16,9,30)</f>
        <v>43008</v>
      </c>
      <c r="I19" t="str">
        <f t="shared" si="0"/>
        <v>Năm 2017</v>
      </c>
      <c r="L19" s="115">
        <v>6749</v>
      </c>
    </row>
    <row r="20" spans="1:12" ht="18.75">
      <c r="A20" s="124"/>
      <c r="B20" s="125"/>
      <c r="C20" s="123"/>
      <c r="D20" s="120"/>
      <c r="F20" s="308" t="s">
        <v>511</v>
      </c>
      <c r="G20" s="310">
        <f>DATE($G$16,10,1)</f>
        <v>43009</v>
      </c>
      <c r="H20" s="309">
        <f>DATE($G$16,12,31)</f>
        <v>43100</v>
      </c>
      <c r="I20" t="str">
        <f t="shared" si="0"/>
        <v>Năm 2017</v>
      </c>
      <c r="L20" s="115">
        <v>6751</v>
      </c>
    </row>
    <row r="21" spans="1:12" ht="25.5">
      <c r="A21" s="120" t="s">
        <v>152</v>
      </c>
      <c r="B21" s="118"/>
      <c r="C21" s="118"/>
      <c r="D21" s="120" t="s">
        <v>153</v>
      </c>
      <c r="F21" s="308" t="str">
        <f>"Năm "&amp;G16</f>
        <v>Năm 2017</v>
      </c>
      <c r="G21" s="310">
        <f>DATE($G$16,1,1)</f>
        <v>42736</v>
      </c>
      <c r="H21" s="309">
        <f>DATE($G$16,12,31)</f>
        <v>43100</v>
      </c>
      <c r="L21" s="115">
        <v>6799</v>
      </c>
    </row>
    <row r="22" spans="1:12" ht="15.75">
      <c r="A22" s="978" t="s">
        <v>154</v>
      </c>
      <c r="B22" s="978"/>
      <c r="C22" s="120"/>
      <c r="D22" s="120" t="s">
        <v>155</v>
      </c>
      <c r="L22" s="115">
        <v>6922</v>
      </c>
    </row>
    <row r="23" spans="1:12" ht="15.75">
      <c r="A23" s="120"/>
      <c r="B23" s="118"/>
      <c r="C23" s="118"/>
      <c r="D23" s="120"/>
      <c r="L23" s="115">
        <v>6949</v>
      </c>
    </row>
    <row r="24" spans="1:12" ht="15.75">
      <c r="A24" s="120" t="s">
        <v>18</v>
      </c>
      <c r="B24" s="119">
        <v>4450</v>
      </c>
      <c r="C24" s="119"/>
      <c r="D24" s="120" t="s">
        <v>156</v>
      </c>
      <c r="F24" t="s">
        <v>517</v>
      </c>
      <c r="L24" s="115">
        <v>7001</v>
      </c>
    </row>
    <row r="25" spans="1:12" ht="15.75">
      <c r="A25" s="122" t="s">
        <v>85</v>
      </c>
      <c r="B25" s="123"/>
      <c r="C25" s="123">
        <v>4451</v>
      </c>
      <c r="D25" s="122" t="s">
        <v>364</v>
      </c>
      <c r="F25" s="318" t="str">
        <f>'Mau 01'!G6</f>
        <v>Năm 2017</v>
      </c>
      <c r="G25" s="317" t="s">
        <v>519</v>
      </c>
      <c r="H25" s="318" t="s">
        <v>516</v>
      </c>
      <c r="I25" s="318" t="s">
        <v>518</v>
      </c>
      <c r="L25" s="115">
        <v>7003</v>
      </c>
    </row>
    <row r="26" spans="1:12" ht="15.75">
      <c r="A26" s="122"/>
      <c r="B26" s="123"/>
      <c r="C26" s="123">
        <v>4499</v>
      </c>
      <c r="D26" s="122" t="s">
        <v>365</v>
      </c>
      <c r="F26" s="321" t="str">
        <f>IF(G26=$F$25,102,"")</f>
        <v/>
      </c>
      <c r="G26" s="322" t="s">
        <v>508</v>
      </c>
      <c r="H26" s="323">
        <f>'Giao  du toan'!E5</f>
        <v>0</v>
      </c>
      <c r="I26" s="323">
        <f>H26</f>
        <v>0</v>
      </c>
      <c r="L26" s="115">
        <v>7012</v>
      </c>
    </row>
    <row r="27" spans="1:12" ht="15.75">
      <c r="A27" s="120"/>
      <c r="B27" s="118"/>
      <c r="C27" s="118"/>
      <c r="D27" s="120"/>
      <c r="F27" s="321" t="str">
        <f t="shared" ref="F27:F30" si="1">IF(G27=$F$25,102,"")</f>
        <v/>
      </c>
      <c r="G27" s="322" t="s">
        <v>509</v>
      </c>
      <c r="H27" s="306">
        <f>'Giao  du toan'!F5</f>
        <v>0</v>
      </c>
      <c r="I27" s="306">
        <f>I26+H27</f>
        <v>0</v>
      </c>
      <c r="L27" s="115">
        <v>7017</v>
      </c>
    </row>
    <row r="28" spans="1:12" ht="15.75">
      <c r="A28" s="120" t="s">
        <v>18</v>
      </c>
      <c r="B28" s="119">
        <v>4500</v>
      </c>
      <c r="C28" s="119"/>
      <c r="D28" s="120" t="s">
        <v>157</v>
      </c>
      <c r="F28" s="321" t="str">
        <f t="shared" si="1"/>
        <v/>
      </c>
      <c r="G28" s="322" t="s">
        <v>510</v>
      </c>
      <c r="H28" s="306">
        <f>'Giao  du toan'!G5</f>
        <v>200000</v>
      </c>
      <c r="I28" s="306">
        <f t="shared" ref="I28:I29" si="2">I27+H28</f>
        <v>200000</v>
      </c>
      <c r="L28" s="115">
        <v>7049</v>
      </c>
    </row>
    <row r="29" spans="1:12" ht="15.75">
      <c r="A29" s="122" t="s">
        <v>85</v>
      </c>
      <c r="B29" s="123"/>
      <c r="C29" s="123">
        <v>4501</v>
      </c>
      <c r="D29" s="122" t="s">
        <v>366</v>
      </c>
      <c r="F29" s="321" t="str">
        <f t="shared" si="1"/>
        <v/>
      </c>
      <c r="G29" s="322" t="s">
        <v>511</v>
      </c>
      <c r="H29" s="306">
        <f>'Giao  du toan'!H5</f>
        <v>2000</v>
      </c>
      <c r="I29" s="306">
        <f t="shared" si="2"/>
        <v>202000</v>
      </c>
      <c r="L29" s="115">
        <v>7752</v>
      </c>
    </row>
    <row r="30" spans="1:12" ht="15.75">
      <c r="A30" s="122"/>
      <c r="B30" s="123"/>
      <c r="C30" s="123">
        <v>4502</v>
      </c>
      <c r="D30" s="122" t="s">
        <v>367</v>
      </c>
      <c r="F30" s="319">
        <f t="shared" si="1"/>
        <v>102</v>
      </c>
      <c r="G30" s="320" t="str">
        <f>"Năm "&amp;$G$16</f>
        <v>Năm 2017</v>
      </c>
      <c r="H30" s="324">
        <f>SUM(H26:H29)</f>
        <v>202000</v>
      </c>
      <c r="I30" s="324">
        <f>I29</f>
        <v>202000</v>
      </c>
      <c r="L30" s="115">
        <v>7758</v>
      </c>
    </row>
    <row r="31" spans="1:12" ht="15.75">
      <c r="A31" s="122"/>
      <c r="B31" s="123"/>
      <c r="C31" s="123">
        <v>4503</v>
      </c>
      <c r="D31" s="122" t="s">
        <v>158</v>
      </c>
      <c r="F31" s="321" t="str">
        <f>IF(G31=$F$25,194,"")</f>
        <v/>
      </c>
      <c r="G31" s="322" t="s">
        <v>508</v>
      </c>
      <c r="H31" s="323">
        <f>'Giao  du toan'!E10</f>
        <v>0</v>
      </c>
      <c r="I31" s="323">
        <f>H31</f>
        <v>0</v>
      </c>
      <c r="L31" s="115">
        <v>7761</v>
      </c>
    </row>
    <row r="32" spans="1:12" ht="15.75">
      <c r="A32" s="122"/>
      <c r="B32" s="123"/>
      <c r="C32" s="123">
        <v>4504</v>
      </c>
      <c r="D32" s="122" t="s">
        <v>159</v>
      </c>
      <c r="F32" s="321" t="str">
        <f t="shared" ref="F32:F35" si="3">IF(G32=$F$25,194,"")</f>
        <v/>
      </c>
      <c r="G32" s="322" t="s">
        <v>509</v>
      </c>
      <c r="H32" s="306">
        <f>'Giao  du toan'!F10</f>
        <v>55000</v>
      </c>
      <c r="I32" s="306">
        <f>I31+H32</f>
        <v>55000</v>
      </c>
      <c r="L32" s="115">
        <v>7799</v>
      </c>
    </row>
    <row r="33" spans="1:12" ht="15.75">
      <c r="A33" s="122"/>
      <c r="B33" s="123"/>
      <c r="C33" s="123">
        <v>4505</v>
      </c>
      <c r="D33" s="122" t="s">
        <v>160</v>
      </c>
      <c r="F33" s="321" t="str">
        <f t="shared" si="3"/>
        <v/>
      </c>
      <c r="G33" s="322" t="s">
        <v>510</v>
      </c>
      <c r="H33" s="306">
        <f>'Giao  du toan'!G10</f>
        <v>0</v>
      </c>
      <c r="I33" s="306">
        <f t="shared" ref="I33:I34" si="4">I32+H33</f>
        <v>55000</v>
      </c>
      <c r="L33" s="115">
        <v>8151</v>
      </c>
    </row>
    <row r="34" spans="1:12" ht="15.75">
      <c r="A34" s="122"/>
      <c r="B34" s="123"/>
      <c r="C34" s="123">
        <v>4506</v>
      </c>
      <c r="D34" s="122" t="s">
        <v>161</v>
      </c>
      <c r="F34" s="321" t="str">
        <f t="shared" si="3"/>
        <v/>
      </c>
      <c r="G34" s="322" t="s">
        <v>511</v>
      </c>
      <c r="H34" s="306">
        <f>'Giao  du toan'!H10</f>
        <v>100000</v>
      </c>
      <c r="I34" s="306">
        <f t="shared" si="4"/>
        <v>155000</v>
      </c>
      <c r="L34" s="115">
        <v>8152</v>
      </c>
    </row>
    <row r="35" spans="1:12" ht="15.75">
      <c r="A35" s="133" t="s">
        <v>162</v>
      </c>
      <c r="B35" s="134"/>
      <c r="C35" s="134"/>
      <c r="D35" s="135"/>
      <c r="F35" s="319">
        <f t="shared" si="3"/>
        <v>194</v>
      </c>
      <c r="G35" s="320" t="str">
        <f>"Năm "&amp;$G$16</f>
        <v>Năm 2017</v>
      </c>
      <c r="H35" s="324">
        <f>SUM(H31:H34)</f>
        <v>155000</v>
      </c>
      <c r="I35" s="324">
        <f>I34</f>
        <v>155000</v>
      </c>
      <c r="L35" s="115">
        <v>8153</v>
      </c>
    </row>
    <row r="36" spans="1:12" ht="15.75">
      <c r="A36" s="972" t="s">
        <v>163</v>
      </c>
      <c r="B36" s="973"/>
      <c r="C36" s="126"/>
      <c r="D36" s="126" t="s">
        <v>164</v>
      </c>
      <c r="F36" s="321" t="str">
        <f>IF(G36=$F$25,223,"")</f>
        <v/>
      </c>
      <c r="G36" s="322" t="s">
        <v>508</v>
      </c>
      <c r="H36" s="323">
        <f>'Giao  du toan'!E15+'Giao  du toan'!E20</f>
        <v>0</v>
      </c>
      <c r="I36" s="323">
        <f>H36</f>
        <v>0</v>
      </c>
      <c r="L36" s="115">
        <v>8199</v>
      </c>
    </row>
    <row r="37" spans="1:12" ht="15.75">
      <c r="A37" s="126"/>
      <c r="B37" s="127"/>
      <c r="C37" s="127"/>
      <c r="D37" s="126"/>
      <c r="F37" s="321" t="str">
        <f t="shared" ref="F37:F40" si="5">IF(G37=$F$25,223,"")</f>
        <v/>
      </c>
      <c r="G37" s="322" t="s">
        <v>509</v>
      </c>
      <c r="H37" s="306">
        <f>'Giao  du toan'!F15+'Giao  du toan'!F20</f>
        <v>94000</v>
      </c>
      <c r="I37" s="306">
        <f>I36+H37</f>
        <v>94000</v>
      </c>
      <c r="L37" s="115"/>
    </row>
    <row r="38" spans="1:12" ht="15.75">
      <c r="A38" s="972" t="s">
        <v>165</v>
      </c>
      <c r="B38" s="973"/>
      <c r="C38" s="126"/>
      <c r="D38" s="126" t="s">
        <v>166</v>
      </c>
      <c r="F38" s="321" t="str">
        <f t="shared" si="5"/>
        <v/>
      </c>
      <c r="G38" s="322" t="s">
        <v>510</v>
      </c>
      <c r="H38" s="306">
        <f>'Giao  du toan'!G15+'Giao  du toan'!G20</f>
        <v>11000000</v>
      </c>
      <c r="I38" s="306">
        <f t="shared" ref="I38:I39" si="6">I37+H38</f>
        <v>11094000</v>
      </c>
    </row>
    <row r="39" spans="1:12" ht="15.75">
      <c r="A39" s="126"/>
      <c r="B39" s="127"/>
      <c r="C39" s="127"/>
      <c r="D39" s="126"/>
      <c r="F39" s="321" t="str">
        <f t="shared" si="5"/>
        <v/>
      </c>
      <c r="G39" s="322" t="s">
        <v>511</v>
      </c>
      <c r="H39" s="306">
        <f>'Giao  du toan'!H15+'Giao  du toan'!H20</f>
        <v>100000</v>
      </c>
      <c r="I39" s="306">
        <f t="shared" si="6"/>
        <v>11194000</v>
      </c>
    </row>
    <row r="40" spans="1:12">
      <c r="A40" s="126" t="s">
        <v>18</v>
      </c>
      <c r="B40" s="128">
        <v>6000</v>
      </c>
      <c r="C40" s="128"/>
      <c r="D40" s="126" t="s">
        <v>167</v>
      </c>
      <c r="F40" s="319">
        <f t="shared" si="5"/>
        <v>223</v>
      </c>
      <c r="G40" s="320" t="str">
        <f>"Năm "&amp;$G$16</f>
        <v>Năm 2017</v>
      </c>
      <c r="H40" s="324">
        <f>SUM(H36:H39)</f>
        <v>11194000</v>
      </c>
      <c r="I40" s="324">
        <f>I39</f>
        <v>11194000</v>
      </c>
    </row>
    <row r="41" spans="1:12" ht="15.75">
      <c r="A41" s="129" t="s">
        <v>85</v>
      </c>
      <c r="B41" s="130"/>
      <c r="C41" s="131">
        <v>6001</v>
      </c>
      <c r="D41" s="129" t="s">
        <v>168</v>
      </c>
      <c r="F41" s="321" t="str">
        <f>IF(G41=$F$25,373,"")</f>
        <v/>
      </c>
      <c r="G41" s="322" t="s">
        <v>508</v>
      </c>
      <c r="H41" s="323">
        <f>'Giao  du toan'!E25+'Giao  du toan'!E30</f>
        <v>0</v>
      </c>
      <c r="I41" s="323">
        <f>H41</f>
        <v>0</v>
      </c>
    </row>
    <row r="42" spans="1:12" ht="15.75">
      <c r="A42" s="129"/>
      <c r="B42" s="130"/>
      <c r="C42" s="131">
        <v>6002</v>
      </c>
      <c r="D42" s="129" t="s">
        <v>169</v>
      </c>
      <c r="F42" s="321" t="str">
        <f t="shared" ref="F42:F45" si="7">IF(G42=$F$25,373,"")</f>
        <v/>
      </c>
      <c r="G42" s="322" t="s">
        <v>509</v>
      </c>
      <c r="H42" s="306">
        <f>'Giao  du toan'!F25+'Giao  du toan'!F30</f>
        <v>0</v>
      </c>
      <c r="I42" s="306">
        <f>I41+H42</f>
        <v>0</v>
      </c>
    </row>
    <row r="43" spans="1:12" ht="15.75">
      <c r="A43" s="129"/>
      <c r="B43" s="130"/>
      <c r="C43" s="131">
        <v>6003</v>
      </c>
      <c r="D43" s="129" t="s">
        <v>170</v>
      </c>
      <c r="F43" s="321" t="str">
        <f t="shared" si="7"/>
        <v/>
      </c>
      <c r="G43" s="322" t="s">
        <v>510</v>
      </c>
      <c r="H43" s="306">
        <f>'Giao  du toan'!G25+'Giao  du toan'!G30</f>
        <v>0</v>
      </c>
      <c r="I43" s="306">
        <f t="shared" ref="I43:I44" si="8">I42+H43</f>
        <v>0</v>
      </c>
    </row>
    <row r="44" spans="1:12" ht="15.75">
      <c r="A44" s="129"/>
      <c r="B44" s="130"/>
      <c r="C44" s="131">
        <v>6004</v>
      </c>
      <c r="D44" s="129" t="s">
        <v>171</v>
      </c>
      <c r="F44" s="321" t="str">
        <f t="shared" si="7"/>
        <v/>
      </c>
      <c r="G44" s="322" t="s">
        <v>511</v>
      </c>
      <c r="H44" s="306">
        <f>'Giao  du toan'!H25+'Giao  du toan'!H30</f>
        <v>0</v>
      </c>
      <c r="I44" s="306">
        <f t="shared" si="8"/>
        <v>0</v>
      </c>
    </row>
    <row r="45" spans="1:12">
      <c r="A45" s="129"/>
      <c r="B45" s="130"/>
      <c r="C45" s="131">
        <v>6049</v>
      </c>
      <c r="D45" s="129" t="s">
        <v>172</v>
      </c>
      <c r="F45" s="319">
        <f t="shared" si="7"/>
        <v>373</v>
      </c>
      <c r="G45" s="320" t="str">
        <f>"Năm "&amp;$G$16</f>
        <v>Năm 2017</v>
      </c>
      <c r="H45" s="324">
        <f>SUM(H41:H44)</f>
        <v>0</v>
      </c>
      <c r="I45" s="324">
        <f>I44</f>
        <v>0</v>
      </c>
    </row>
    <row r="46" spans="1:12" ht="15.75">
      <c r="A46" s="126"/>
      <c r="B46" s="127"/>
      <c r="C46" s="127"/>
      <c r="D46" s="126"/>
      <c r="F46" s="321" t="str">
        <f>IF(G46=$F$25,432,"")</f>
        <v/>
      </c>
      <c r="G46" s="322" t="s">
        <v>508</v>
      </c>
      <c r="H46" s="323">
        <f>'Giao  du toan'!E35</f>
        <v>0</v>
      </c>
      <c r="I46" s="323">
        <f>H46</f>
        <v>0</v>
      </c>
    </row>
    <row r="47" spans="1:12" ht="15.75">
      <c r="A47" s="126" t="s">
        <v>18</v>
      </c>
      <c r="B47" s="128">
        <v>6050</v>
      </c>
      <c r="C47" s="128"/>
      <c r="D47" s="126" t="s">
        <v>173</v>
      </c>
      <c r="F47" s="321" t="str">
        <f t="shared" ref="F47:F50" si="9">IF(G47=$F$25,432,"")</f>
        <v/>
      </c>
      <c r="G47" s="322" t="s">
        <v>509</v>
      </c>
      <c r="H47" s="306">
        <f>'Giao  du toan'!F35</f>
        <v>0</v>
      </c>
      <c r="I47" s="306">
        <f>I46+H47</f>
        <v>0</v>
      </c>
    </row>
    <row r="48" spans="1:12" ht="15.75">
      <c r="A48" s="129" t="s">
        <v>85</v>
      </c>
      <c r="B48" s="130"/>
      <c r="C48" s="131">
        <v>6051</v>
      </c>
      <c r="D48" s="129" t="s">
        <v>173</v>
      </c>
      <c r="F48" s="321" t="str">
        <f t="shared" si="9"/>
        <v/>
      </c>
      <c r="G48" s="322" t="s">
        <v>510</v>
      </c>
      <c r="H48" s="306">
        <f>'Giao  du toan'!G35</f>
        <v>0</v>
      </c>
      <c r="I48" s="306">
        <f t="shared" ref="I48:I49" si="10">I47+H48</f>
        <v>0</v>
      </c>
    </row>
    <row r="49" spans="1:9" ht="15.75">
      <c r="A49" s="129"/>
      <c r="B49" s="130"/>
      <c r="C49" s="131">
        <v>6099</v>
      </c>
      <c r="D49" s="129" t="s">
        <v>368</v>
      </c>
      <c r="F49" s="321" t="str">
        <f t="shared" si="9"/>
        <v/>
      </c>
      <c r="G49" s="322" t="s">
        <v>511</v>
      </c>
      <c r="H49" s="306">
        <f>'Giao  du toan'!H35</f>
        <v>0</v>
      </c>
      <c r="I49" s="306">
        <f t="shared" si="10"/>
        <v>0</v>
      </c>
    </row>
    <row r="50" spans="1:9">
      <c r="A50" s="126"/>
      <c r="B50" s="127"/>
      <c r="C50" s="131"/>
      <c r="D50" s="126"/>
      <c r="F50" s="319">
        <f t="shared" si="9"/>
        <v>432</v>
      </c>
      <c r="G50" s="320" t="str">
        <f>"Năm "&amp;$G$16</f>
        <v>Năm 2017</v>
      </c>
      <c r="H50" s="324">
        <f>SUM(H46:H49)</f>
        <v>0</v>
      </c>
      <c r="I50" s="324">
        <f>I49</f>
        <v>0</v>
      </c>
    </row>
    <row r="51" spans="1:9">
      <c r="A51" s="126" t="s">
        <v>18</v>
      </c>
      <c r="B51" s="128">
        <v>6100</v>
      </c>
      <c r="C51" s="131"/>
      <c r="D51" s="126" t="s">
        <v>174</v>
      </c>
    </row>
    <row r="52" spans="1:9">
      <c r="A52" s="129" t="s">
        <v>85</v>
      </c>
      <c r="B52" s="130"/>
      <c r="C52" s="131">
        <v>6101</v>
      </c>
      <c r="D52" s="129" t="s">
        <v>175</v>
      </c>
    </row>
    <row r="53" spans="1:9">
      <c r="A53" s="129"/>
      <c r="B53" s="130"/>
      <c r="C53" s="131">
        <v>6102</v>
      </c>
      <c r="D53" s="129" t="s">
        <v>176</v>
      </c>
    </row>
    <row r="54" spans="1:9">
      <c r="A54" s="129"/>
      <c r="B54" s="130"/>
      <c r="C54" s="131">
        <v>6103</v>
      </c>
      <c r="D54" s="129" t="s">
        <v>177</v>
      </c>
    </row>
    <row r="55" spans="1:9">
      <c r="A55" s="129"/>
      <c r="B55" s="130"/>
      <c r="C55" s="131">
        <v>6104</v>
      </c>
      <c r="D55" s="129" t="s">
        <v>178</v>
      </c>
    </row>
    <row r="56" spans="1:9">
      <c r="A56" s="129"/>
      <c r="B56" s="130"/>
      <c r="C56" s="131">
        <v>6105</v>
      </c>
      <c r="D56" s="129" t="s">
        <v>179</v>
      </c>
    </row>
    <row r="57" spans="1:9">
      <c r="A57" s="129"/>
      <c r="B57" s="130"/>
      <c r="C57" s="131">
        <v>6106</v>
      </c>
      <c r="D57" s="129" t="s">
        <v>180</v>
      </c>
    </row>
    <row r="58" spans="1:9">
      <c r="A58" s="129"/>
      <c r="B58" s="130"/>
      <c r="C58" s="131">
        <v>6107</v>
      </c>
      <c r="D58" s="129" t="s">
        <v>181</v>
      </c>
    </row>
    <row r="59" spans="1:9">
      <c r="A59" s="129"/>
      <c r="B59" s="130"/>
      <c r="C59" s="131">
        <v>6108</v>
      </c>
      <c r="D59" s="129" t="s">
        <v>182</v>
      </c>
    </row>
    <row r="60" spans="1:9">
      <c r="A60" s="129"/>
      <c r="B60" s="130"/>
      <c r="C60" s="131">
        <v>6111</v>
      </c>
      <c r="D60" s="129" t="s">
        <v>183</v>
      </c>
    </row>
    <row r="61" spans="1:9">
      <c r="A61" s="129"/>
      <c r="B61" s="130"/>
      <c r="C61" s="131">
        <v>6112</v>
      </c>
      <c r="D61" s="129" t="s">
        <v>184</v>
      </c>
    </row>
    <row r="62" spans="1:9">
      <c r="A62" s="129"/>
      <c r="B62" s="130"/>
      <c r="C62" s="131">
        <v>6113</v>
      </c>
      <c r="D62" s="129" t="s">
        <v>185</v>
      </c>
    </row>
    <row r="63" spans="1:9">
      <c r="A63" s="129"/>
      <c r="B63" s="130"/>
      <c r="C63" s="131">
        <v>6114</v>
      </c>
      <c r="D63" s="129" t="s">
        <v>186</v>
      </c>
    </row>
    <row r="64" spans="1:9">
      <c r="A64" s="129"/>
      <c r="B64" s="130"/>
      <c r="C64" s="131">
        <v>6115</v>
      </c>
      <c r="D64" s="129" t="s">
        <v>187</v>
      </c>
    </row>
    <row r="65" spans="1:4">
      <c r="A65" s="129"/>
      <c r="B65" s="130"/>
      <c r="C65" s="131">
        <v>6116</v>
      </c>
      <c r="D65" s="129" t="s">
        <v>188</v>
      </c>
    </row>
    <row r="66" spans="1:4">
      <c r="A66" s="129"/>
      <c r="B66" s="130"/>
      <c r="C66" s="131">
        <v>6117</v>
      </c>
      <c r="D66" s="129" t="s">
        <v>189</v>
      </c>
    </row>
    <row r="67" spans="1:4">
      <c r="A67" s="126"/>
      <c r="B67" s="130"/>
      <c r="C67" s="131">
        <v>6118</v>
      </c>
      <c r="D67" s="129" t="s">
        <v>190</v>
      </c>
    </row>
    <row r="68" spans="1:4">
      <c r="A68" s="129"/>
      <c r="B68" s="130"/>
      <c r="C68" s="131">
        <v>6149</v>
      </c>
      <c r="D68" s="129" t="s">
        <v>369</v>
      </c>
    </row>
    <row r="69" spans="1:4">
      <c r="A69" s="126"/>
      <c r="B69" s="127"/>
      <c r="C69" s="131"/>
      <c r="D69" s="126"/>
    </row>
    <row r="70" spans="1:4">
      <c r="A70" s="126" t="s">
        <v>18</v>
      </c>
      <c r="B70" s="128">
        <v>6200</v>
      </c>
      <c r="C70" s="131"/>
      <c r="D70" s="126" t="s">
        <v>191</v>
      </c>
    </row>
    <row r="71" spans="1:4">
      <c r="A71" s="129" t="s">
        <v>85</v>
      </c>
      <c r="B71" s="130"/>
      <c r="C71" s="131">
        <v>6201</v>
      </c>
      <c r="D71" s="129" t="s">
        <v>192</v>
      </c>
    </row>
    <row r="72" spans="1:4">
      <c r="A72" s="129"/>
      <c r="B72" s="130"/>
      <c r="C72" s="131">
        <v>6202</v>
      </c>
      <c r="D72" s="129" t="s">
        <v>193</v>
      </c>
    </row>
    <row r="73" spans="1:4">
      <c r="A73" s="129"/>
      <c r="B73" s="130"/>
      <c r="C73" s="131">
        <v>6203</v>
      </c>
      <c r="D73" s="129" t="s">
        <v>194</v>
      </c>
    </row>
    <row r="74" spans="1:4">
      <c r="A74" s="129"/>
      <c r="B74" s="130"/>
      <c r="C74" s="131">
        <v>6249</v>
      </c>
      <c r="D74" s="129" t="s">
        <v>370</v>
      </c>
    </row>
    <row r="75" spans="1:4">
      <c r="A75" s="126"/>
      <c r="B75" s="127"/>
      <c r="C75" s="131"/>
      <c r="D75" s="126"/>
    </row>
    <row r="76" spans="1:4">
      <c r="A76" s="126" t="s">
        <v>18</v>
      </c>
      <c r="B76" s="128">
        <v>6250</v>
      </c>
      <c r="C76" s="131"/>
      <c r="D76" s="126" t="s">
        <v>195</v>
      </c>
    </row>
    <row r="77" spans="1:4">
      <c r="A77" s="129" t="s">
        <v>85</v>
      </c>
      <c r="B77" s="130"/>
      <c r="C77" s="131">
        <v>6251</v>
      </c>
      <c r="D77" s="129" t="s">
        <v>196</v>
      </c>
    </row>
    <row r="78" spans="1:4">
      <c r="A78" s="129"/>
      <c r="B78" s="130"/>
      <c r="C78" s="131">
        <v>6252</v>
      </c>
      <c r="D78" s="129" t="s">
        <v>197</v>
      </c>
    </row>
    <row r="79" spans="1:4">
      <c r="A79" s="129"/>
      <c r="B79" s="130"/>
      <c r="C79" s="131">
        <v>6253</v>
      </c>
      <c r="D79" s="129" t="s">
        <v>198</v>
      </c>
    </row>
    <row r="80" spans="1:4">
      <c r="A80" s="129"/>
      <c r="B80" s="130"/>
      <c r="C80" s="131">
        <v>6254</v>
      </c>
      <c r="D80" s="129" t="s">
        <v>199</v>
      </c>
    </row>
    <row r="81" spans="1:4">
      <c r="A81" s="129"/>
      <c r="B81" s="130"/>
      <c r="C81" s="131">
        <v>6255</v>
      </c>
      <c r="D81" s="129" t="s">
        <v>200</v>
      </c>
    </row>
    <row r="82" spans="1:4">
      <c r="A82" s="130"/>
      <c r="B82" s="130"/>
      <c r="C82" s="131">
        <v>6256</v>
      </c>
      <c r="D82" s="129" t="s">
        <v>201</v>
      </c>
    </row>
    <row r="83" spans="1:4">
      <c r="A83" s="130"/>
      <c r="B83" s="130"/>
      <c r="C83" s="131">
        <v>6257</v>
      </c>
      <c r="D83" s="129" t="s">
        <v>202</v>
      </c>
    </row>
    <row r="84" spans="1:4">
      <c r="A84" s="129"/>
      <c r="B84" s="130"/>
      <c r="C84" s="131">
        <v>6299</v>
      </c>
      <c r="D84" s="129" t="s">
        <v>371</v>
      </c>
    </row>
    <row r="85" spans="1:4">
      <c r="A85" s="126"/>
      <c r="B85" s="127"/>
      <c r="C85" s="131"/>
      <c r="D85" s="126"/>
    </row>
    <row r="86" spans="1:4">
      <c r="A86" s="126" t="s">
        <v>18</v>
      </c>
      <c r="B86" s="128">
        <v>6300</v>
      </c>
      <c r="C86" s="131"/>
      <c r="D86" s="126" t="s">
        <v>157</v>
      </c>
    </row>
    <row r="87" spans="1:4">
      <c r="A87" s="129" t="s">
        <v>85</v>
      </c>
      <c r="B87" s="130"/>
      <c r="C87" s="131">
        <v>6301</v>
      </c>
      <c r="D87" s="129" t="s">
        <v>204</v>
      </c>
    </row>
    <row r="88" spans="1:4">
      <c r="A88" s="129"/>
      <c r="B88" s="130"/>
      <c r="C88" s="131">
        <v>6302</v>
      </c>
      <c r="D88" s="129" t="s">
        <v>205</v>
      </c>
    </row>
    <row r="89" spans="1:4">
      <c r="A89" s="129"/>
      <c r="B89" s="130"/>
      <c r="C89" s="131">
        <v>6303</v>
      </c>
      <c r="D89" s="129" t="s">
        <v>206</v>
      </c>
    </row>
    <row r="90" spans="1:4">
      <c r="A90" s="129"/>
      <c r="B90" s="130"/>
      <c r="C90" s="131">
        <v>6349</v>
      </c>
      <c r="D90" s="129" t="s">
        <v>372</v>
      </c>
    </row>
    <row r="91" spans="1:4">
      <c r="A91" s="126"/>
      <c r="B91" s="127"/>
      <c r="C91" s="131"/>
      <c r="D91" s="126"/>
    </row>
    <row r="92" spans="1:4">
      <c r="A92" s="126" t="s">
        <v>18</v>
      </c>
      <c r="B92" s="128">
        <v>6400</v>
      </c>
      <c r="C92" s="131"/>
      <c r="D92" s="126" t="s">
        <v>207</v>
      </c>
    </row>
    <row r="93" spans="1:4">
      <c r="A93" s="129" t="s">
        <v>85</v>
      </c>
      <c r="B93" s="130"/>
      <c r="C93" s="131">
        <v>6401</v>
      </c>
      <c r="D93" s="129" t="s">
        <v>373</v>
      </c>
    </row>
    <row r="94" spans="1:4" ht="24">
      <c r="A94" s="129"/>
      <c r="B94" s="130"/>
      <c r="C94" s="131">
        <v>6402</v>
      </c>
      <c r="D94" s="129" t="s">
        <v>374</v>
      </c>
    </row>
    <row r="95" spans="1:4" ht="24">
      <c r="A95" s="129"/>
      <c r="B95" s="130"/>
      <c r="C95" s="131">
        <v>6403</v>
      </c>
      <c r="D95" s="129" t="s">
        <v>375</v>
      </c>
    </row>
    <row r="96" spans="1:4">
      <c r="A96" s="129"/>
      <c r="B96" s="130"/>
      <c r="C96" s="131">
        <v>6404</v>
      </c>
      <c r="D96" s="129" t="s">
        <v>376</v>
      </c>
    </row>
    <row r="97" spans="1:4">
      <c r="A97" s="129"/>
      <c r="B97" s="130"/>
      <c r="C97" s="131">
        <v>6449</v>
      </c>
      <c r="D97" s="129" t="s">
        <v>377</v>
      </c>
    </row>
    <row r="98" spans="1:4">
      <c r="A98" s="126"/>
      <c r="B98" s="127"/>
      <c r="C98" s="127"/>
      <c r="D98" s="126"/>
    </row>
    <row r="99" spans="1:4">
      <c r="A99" s="972" t="s">
        <v>209</v>
      </c>
      <c r="B99" s="973"/>
      <c r="C99" s="126"/>
      <c r="D99" s="126" t="s">
        <v>210</v>
      </c>
    </row>
    <row r="100" spans="1:4">
      <c r="A100" s="126"/>
      <c r="B100" s="127"/>
      <c r="C100" s="127"/>
      <c r="D100" s="126"/>
    </row>
    <row r="101" spans="1:4">
      <c r="A101" s="126" t="s">
        <v>18</v>
      </c>
      <c r="B101" s="128">
        <v>6500</v>
      </c>
      <c r="C101" s="128"/>
      <c r="D101" s="126" t="s">
        <v>211</v>
      </c>
    </row>
    <row r="102" spans="1:4">
      <c r="A102" s="129" t="s">
        <v>85</v>
      </c>
      <c r="B102" s="130"/>
      <c r="C102" s="130">
        <v>6501</v>
      </c>
      <c r="D102" s="129" t="s">
        <v>212</v>
      </c>
    </row>
    <row r="103" spans="1:4">
      <c r="A103" s="129"/>
      <c r="B103" s="130"/>
      <c r="C103" s="130">
        <v>6502</v>
      </c>
      <c r="D103" s="129" t="s">
        <v>213</v>
      </c>
    </row>
    <row r="104" spans="1:4">
      <c r="A104" s="129"/>
      <c r="B104" s="130"/>
      <c r="C104" s="130">
        <v>6503</v>
      </c>
      <c r="D104" s="129" t="s">
        <v>214</v>
      </c>
    </row>
    <row r="105" spans="1:4">
      <c r="A105" s="129"/>
      <c r="B105" s="130"/>
      <c r="C105" s="130">
        <v>6504</v>
      </c>
      <c r="D105" s="129" t="s">
        <v>215</v>
      </c>
    </row>
    <row r="106" spans="1:4">
      <c r="A106" s="129"/>
      <c r="B106" s="130"/>
      <c r="C106" s="130">
        <v>6505</v>
      </c>
      <c r="D106" s="129" t="s">
        <v>216</v>
      </c>
    </row>
    <row r="107" spans="1:4">
      <c r="A107" s="129"/>
      <c r="B107" s="130"/>
      <c r="C107" s="130">
        <v>6549</v>
      </c>
      <c r="D107" s="129" t="s">
        <v>378</v>
      </c>
    </row>
    <row r="108" spans="1:4">
      <c r="A108" s="126"/>
      <c r="B108" s="127"/>
      <c r="C108" s="127"/>
      <c r="D108" s="126"/>
    </row>
    <row r="109" spans="1:4">
      <c r="A109" s="126" t="s">
        <v>18</v>
      </c>
      <c r="B109" s="128">
        <v>6550</v>
      </c>
      <c r="C109" s="128"/>
      <c r="D109" s="126" t="s">
        <v>217</v>
      </c>
    </row>
    <row r="110" spans="1:4">
      <c r="A110" s="129" t="s">
        <v>85</v>
      </c>
      <c r="B110" s="130"/>
      <c r="C110" s="130">
        <v>6551</v>
      </c>
      <c r="D110" s="129" t="s">
        <v>218</v>
      </c>
    </row>
    <row r="111" spans="1:4">
      <c r="A111" s="129"/>
      <c r="B111" s="130"/>
      <c r="C111" s="130">
        <v>6552</v>
      </c>
      <c r="D111" s="129" t="s">
        <v>219</v>
      </c>
    </row>
    <row r="112" spans="1:4">
      <c r="A112" s="129"/>
      <c r="B112" s="130"/>
      <c r="C112" s="130">
        <v>6553</v>
      </c>
      <c r="D112" s="129" t="s">
        <v>220</v>
      </c>
    </row>
    <row r="113" spans="1:4">
      <c r="A113" s="129"/>
      <c r="B113" s="130"/>
      <c r="C113" s="130">
        <v>6599</v>
      </c>
      <c r="D113" s="129" t="s">
        <v>221</v>
      </c>
    </row>
    <row r="114" spans="1:4">
      <c r="A114" s="126"/>
      <c r="B114" s="127"/>
      <c r="C114" s="127"/>
      <c r="D114" s="126"/>
    </row>
    <row r="115" spans="1:4">
      <c r="A115" s="126" t="s">
        <v>18</v>
      </c>
      <c r="B115" s="128">
        <v>6600</v>
      </c>
      <c r="C115" s="128"/>
      <c r="D115" s="126" t="s">
        <v>222</v>
      </c>
    </row>
    <row r="116" spans="1:4">
      <c r="A116" s="129" t="s">
        <v>85</v>
      </c>
      <c r="B116" s="130"/>
      <c r="C116" s="130">
        <v>6601</v>
      </c>
      <c r="D116" s="129" t="s">
        <v>223</v>
      </c>
    </row>
    <row r="117" spans="1:4">
      <c r="A117" s="129"/>
      <c r="B117" s="130"/>
      <c r="C117" s="130">
        <v>6602</v>
      </c>
      <c r="D117" s="129" t="s">
        <v>224</v>
      </c>
    </row>
    <row r="118" spans="1:4">
      <c r="A118" s="129"/>
      <c r="B118" s="130"/>
      <c r="C118" s="130">
        <v>6603</v>
      </c>
      <c r="D118" s="129" t="s">
        <v>225</v>
      </c>
    </row>
    <row r="119" spans="1:4">
      <c r="A119" s="129"/>
      <c r="B119" s="130"/>
      <c r="C119" s="130">
        <v>6604</v>
      </c>
      <c r="D119" s="129" t="s">
        <v>379</v>
      </c>
    </row>
    <row r="120" spans="1:4">
      <c r="A120" s="129"/>
      <c r="B120" s="130"/>
      <c r="C120" s="130">
        <v>6605</v>
      </c>
      <c r="D120" s="129" t="s">
        <v>226</v>
      </c>
    </row>
    <row r="121" spans="1:4">
      <c r="A121" s="129"/>
      <c r="B121" s="130"/>
      <c r="C121" s="130">
        <v>6606</v>
      </c>
      <c r="D121" s="129" t="s">
        <v>227</v>
      </c>
    </row>
    <row r="122" spans="1:4">
      <c r="A122" s="129"/>
      <c r="B122" s="130"/>
      <c r="C122" s="130">
        <v>6607</v>
      </c>
      <c r="D122" s="129" t="s">
        <v>228</v>
      </c>
    </row>
    <row r="123" spans="1:4">
      <c r="A123" s="129"/>
      <c r="B123" s="130"/>
      <c r="C123" s="130">
        <v>6608</v>
      </c>
      <c r="D123" s="129" t="s">
        <v>229</v>
      </c>
    </row>
    <row r="124" spans="1:4">
      <c r="A124" s="129"/>
      <c r="B124" s="130"/>
      <c r="C124" s="130">
        <v>6611</v>
      </c>
      <c r="D124" s="129" t="s">
        <v>230</v>
      </c>
    </row>
    <row r="125" spans="1:4">
      <c r="A125" s="129"/>
      <c r="B125" s="130"/>
      <c r="C125" s="130">
        <v>6612</v>
      </c>
      <c r="D125" s="129" t="s">
        <v>231</v>
      </c>
    </row>
    <row r="126" spans="1:4">
      <c r="A126" s="129"/>
      <c r="B126" s="130"/>
      <c r="C126" s="130">
        <v>6613</v>
      </c>
      <c r="D126" s="129" t="s">
        <v>232</v>
      </c>
    </row>
    <row r="127" spans="1:4">
      <c r="A127" s="129"/>
      <c r="B127" s="130"/>
      <c r="C127" s="130">
        <v>6614</v>
      </c>
      <c r="D127" s="129" t="s">
        <v>233</v>
      </c>
    </row>
    <row r="128" spans="1:4">
      <c r="A128" s="129"/>
      <c r="B128" s="130"/>
      <c r="C128" s="130">
        <v>6615</v>
      </c>
      <c r="D128" s="129" t="s">
        <v>234</v>
      </c>
    </row>
    <row r="129" spans="1:4">
      <c r="A129" s="129"/>
      <c r="B129" s="130"/>
      <c r="C129" s="130">
        <v>6616</v>
      </c>
      <c r="D129" s="129" t="s">
        <v>235</v>
      </c>
    </row>
    <row r="130" spans="1:4">
      <c r="A130" s="129"/>
      <c r="B130" s="130"/>
      <c r="C130" s="130">
        <v>6617</v>
      </c>
      <c r="D130" s="129" t="s">
        <v>56</v>
      </c>
    </row>
    <row r="131" spans="1:4">
      <c r="A131" s="130"/>
      <c r="B131" s="130"/>
      <c r="C131" s="130">
        <v>6618</v>
      </c>
      <c r="D131" s="129" t="s">
        <v>236</v>
      </c>
    </row>
    <row r="132" spans="1:4">
      <c r="A132" s="129"/>
      <c r="B132" s="130"/>
      <c r="C132" s="130">
        <v>6649</v>
      </c>
      <c r="D132" s="129" t="s">
        <v>380</v>
      </c>
    </row>
    <row r="133" spans="1:4">
      <c r="A133" s="126"/>
      <c r="B133" s="127"/>
      <c r="C133" s="127"/>
      <c r="D133" s="126"/>
    </row>
    <row r="134" spans="1:4">
      <c r="A134" s="126" t="s">
        <v>18</v>
      </c>
      <c r="B134" s="128">
        <v>6650</v>
      </c>
      <c r="C134" s="128"/>
      <c r="D134" s="126" t="s">
        <v>37</v>
      </c>
    </row>
    <row r="135" spans="1:4">
      <c r="A135" s="129" t="s">
        <v>85</v>
      </c>
      <c r="B135" s="130"/>
      <c r="C135" s="130">
        <v>6651</v>
      </c>
      <c r="D135" s="129" t="s">
        <v>38</v>
      </c>
    </row>
    <row r="136" spans="1:4">
      <c r="A136" s="129"/>
      <c r="B136" s="130"/>
      <c r="C136" s="130">
        <v>6652</v>
      </c>
      <c r="D136" s="129" t="s">
        <v>237</v>
      </c>
    </row>
    <row r="137" spans="1:4">
      <c r="A137" s="129"/>
      <c r="B137" s="130"/>
      <c r="C137" s="130">
        <v>6653</v>
      </c>
      <c r="D137" s="129" t="s">
        <v>238</v>
      </c>
    </row>
    <row r="138" spans="1:4">
      <c r="A138" s="129"/>
      <c r="B138" s="130"/>
      <c r="C138" s="130">
        <v>6654</v>
      </c>
      <c r="D138" s="129" t="s">
        <v>44</v>
      </c>
    </row>
    <row r="139" spans="1:4">
      <c r="A139" s="129"/>
      <c r="B139" s="130"/>
      <c r="C139" s="130">
        <v>6655</v>
      </c>
      <c r="D139" s="129" t="s">
        <v>39</v>
      </c>
    </row>
    <row r="140" spans="1:4">
      <c r="A140" s="129"/>
      <c r="B140" s="130"/>
      <c r="C140" s="130">
        <v>6656</v>
      </c>
      <c r="D140" s="129" t="s">
        <v>239</v>
      </c>
    </row>
    <row r="141" spans="1:4">
      <c r="A141" s="129"/>
      <c r="B141" s="130"/>
      <c r="C141" s="130">
        <v>6657</v>
      </c>
      <c r="D141" s="129" t="s">
        <v>240</v>
      </c>
    </row>
    <row r="142" spans="1:4">
      <c r="A142" s="129"/>
      <c r="B142" s="130"/>
      <c r="C142" s="130">
        <v>6658</v>
      </c>
      <c r="D142" s="129" t="s">
        <v>40</v>
      </c>
    </row>
    <row r="143" spans="1:4">
      <c r="A143" s="129"/>
      <c r="B143" s="130"/>
      <c r="C143" s="130">
        <v>6699</v>
      </c>
      <c r="D143" s="129" t="s">
        <v>381</v>
      </c>
    </row>
    <row r="144" spans="1:4">
      <c r="A144" s="126"/>
      <c r="B144" s="127"/>
      <c r="C144" s="127"/>
      <c r="D144" s="126"/>
    </row>
    <row r="145" spans="1:4">
      <c r="A145" s="126" t="s">
        <v>18</v>
      </c>
      <c r="B145" s="128">
        <v>6700</v>
      </c>
      <c r="C145" s="128"/>
      <c r="D145" s="126" t="s">
        <v>42</v>
      </c>
    </row>
    <row r="146" spans="1:4">
      <c r="A146" s="129" t="s">
        <v>85</v>
      </c>
      <c r="B146" s="130"/>
      <c r="C146" s="130">
        <v>6701</v>
      </c>
      <c r="D146" s="129" t="s">
        <v>241</v>
      </c>
    </row>
    <row r="147" spans="1:4">
      <c r="A147" s="129"/>
      <c r="B147" s="130"/>
      <c r="C147" s="130">
        <v>6702</v>
      </c>
      <c r="D147" s="129" t="s">
        <v>43</v>
      </c>
    </row>
    <row r="148" spans="1:4">
      <c r="A148" s="129"/>
      <c r="B148" s="130"/>
      <c r="C148" s="130">
        <v>6703</v>
      </c>
      <c r="D148" s="129" t="s">
        <v>44</v>
      </c>
    </row>
    <row r="149" spans="1:4">
      <c r="A149" s="129"/>
      <c r="B149" s="130"/>
      <c r="C149" s="130">
        <v>6704</v>
      </c>
      <c r="D149" s="129" t="s">
        <v>242</v>
      </c>
    </row>
    <row r="150" spans="1:4">
      <c r="A150" s="129"/>
      <c r="B150" s="130"/>
      <c r="C150" s="130">
        <v>6705</v>
      </c>
      <c r="D150" s="129" t="s">
        <v>243</v>
      </c>
    </row>
    <row r="151" spans="1:4">
      <c r="A151" s="129"/>
      <c r="B151" s="130"/>
      <c r="C151" s="130">
        <v>6749</v>
      </c>
      <c r="D151" s="129" t="s">
        <v>382</v>
      </c>
    </row>
    <row r="152" spans="1:4">
      <c r="A152" s="126"/>
      <c r="B152" s="127"/>
      <c r="C152" s="127"/>
      <c r="D152" s="126"/>
    </row>
    <row r="153" spans="1:4">
      <c r="A153" s="126" t="s">
        <v>18</v>
      </c>
      <c r="B153" s="128">
        <v>6750</v>
      </c>
      <c r="C153" s="128"/>
      <c r="D153" s="126" t="s">
        <v>244</v>
      </c>
    </row>
    <row r="154" spans="1:4">
      <c r="A154" s="129" t="s">
        <v>85</v>
      </c>
      <c r="B154" s="130"/>
      <c r="C154" s="130">
        <v>6751</v>
      </c>
      <c r="D154" s="129" t="s">
        <v>59</v>
      </c>
    </row>
    <row r="155" spans="1:4">
      <c r="A155" s="129"/>
      <c r="B155" s="130"/>
      <c r="C155" s="130">
        <v>6752</v>
      </c>
      <c r="D155" s="129" t="s">
        <v>245</v>
      </c>
    </row>
    <row r="156" spans="1:4">
      <c r="A156" s="129"/>
      <c r="B156" s="130"/>
      <c r="C156" s="130">
        <v>6753</v>
      </c>
      <c r="D156" s="129" t="s">
        <v>246</v>
      </c>
    </row>
    <row r="157" spans="1:4">
      <c r="A157" s="129"/>
      <c r="B157" s="130"/>
      <c r="C157" s="130">
        <v>6754</v>
      </c>
      <c r="D157" s="129" t="s">
        <v>247</v>
      </c>
    </row>
    <row r="158" spans="1:4">
      <c r="A158" s="129"/>
      <c r="B158" s="130"/>
      <c r="C158" s="130">
        <v>6755</v>
      </c>
      <c r="D158" s="129" t="s">
        <v>248</v>
      </c>
    </row>
    <row r="159" spans="1:4">
      <c r="A159" s="129"/>
      <c r="B159" s="130"/>
      <c r="C159" s="130">
        <v>6756</v>
      </c>
      <c r="D159" s="129" t="s">
        <v>249</v>
      </c>
    </row>
    <row r="160" spans="1:4">
      <c r="A160" s="129"/>
      <c r="B160" s="130"/>
      <c r="C160" s="130">
        <v>6757</v>
      </c>
      <c r="D160" s="129" t="s">
        <v>250</v>
      </c>
    </row>
    <row r="161" spans="1:4" ht="36">
      <c r="A161" s="129"/>
      <c r="B161" s="130"/>
      <c r="C161" s="130"/>
      <c r="D161" s="132" t="s">
        <v>251</v>
      </c>
    </row>
    <row r="162" spans="1:4">
      <c r="A162" s="129"/>
      <c r="B162" s="130"/>
      <c r="C162" s="130">
        <v>6758</v>
      </c>
      <c r="D162" s="129" t="s">
        <v>252</v>
      </c>
    </row>
    <row r="163" spans="1:4">
      <c r="A163" s="129"/>
      <c r="B163" s="130"/>
      <c r="C163" s="130">
        <v>6761</v>
      </c>
      <c r="D163" s="129" t="s">
        <v>253</v>
      </c>
    </row>
    <row r="164" spans="1:4">
      <c r="A164" s="129"/>
      <c r="B164" s="130"/>
      <c r="C164" s="130">
        <v>6799</v>
      </c>
      <c r="D164" s="129" t="s">
        <v>254</v>
      </c>
    </row>
    <row r="165" spans="1:4">
      <c r="A165" s="126"/>
      <c r="B165" s="127"/>
      <c r="C165" s="127"/>
      <c r="D165" s="126"/>
    </row>
    <row r="166" spans="1:4">
      <c r="A166" s="126" t="s">
        <v>18</v>
      </c>
      <c r="B166" s="128">
        <v>6800</v>
      </c>
      <c r="C166" s="128"/>
      <c r="D166" s="126" t="s">
        <v>255</v>
      </c>
    </row>
    <row r="167" spans="1:4">
      <c r="A167" s="129" t="s">
        <v>85</v>
      </c>
      <c r="B167" s="130"/>
      <c r="C167" s="130">
        <v>6801</v>
      </c>
      <c r="D167" s="129" t="s">
        <v>256</v>
      </c>
    </row>
    <row r="168" spans="1:4">
      <c r="A168" s="129"/>
      <c r="B168" s="130"/>
      <c r="C168" s="130">
        <v>6802</v>
      </c>
      <c r="D168" s="129" t="s">
        <v>208</v>
      </c>
    </row>
    <row r="169" spans="1:4">
      <c r="A169" s="129"/>
      <c r="B169" s="130"/>
      <c r="C169" s="130">
        <v>6803</v>
      </c>
      <c r="D169" s="129" t="s">
        <v>257</v>
      </c>
    </row>
    <row r="170" spans="1:4">
      <c r="A170" s="129"/>
      <c r="B170" s="130"/>
      <c r="C170" s="130">
        <v>6804</v>
      </c>
      <c r="D170" s="129" t="s">
        <v>258</v>
      </c>
    </row>
    <row r="171" spans="1:4">
      <c r="A171" s="129"/>
      <c r="B171" s="130"/>
      <c r="C171" s="130">
        <v>6805</v>
      </c>
      <c r="D171" s="129" t="s">
        <v>259</v>
      </c>
    </row>
    <row r="172" spans="1:4">
      <c r="A172" s="129"/>
      <c r="B172" s="130"/>
      <c r="C172" s="130">
        <v>6806</v>
      </c>
      <c r="D172" s="129" t="s">
        <v>260</v>
      </c>
    </row>
    <row r="173" spans="1:4">
      <c r="A173" s="129"/>
      <c r="B173" s="130"/>
      <c r="C173" s="130">
        <v>6849</v>
      </c>
      <c r="D173" s="129" t="s">
        <v>380</v>
      </c>
    </row>
    <row r="174" spans="1:4">
      <c r="A174" s="126"/>
      <c r="B174" s="127"/>
      <c r="C174" s="127"/>
      <c r="D174" s="126"/>
    </row>
    <row r="175" spans="1:4">
      <c r="A175" s="126" t="s">
        <v>18</v>
      </c>
      <c r="B175" s="128">
        <v>6850</v>
      </c>
      <c r="C175" s="128"/>
      <c r="D175" s="126" t="s">
        <v>261</v>
      </c>
    </row>
    <row r="176" spans="1:4">
      <c r="A176" s="129" t="s">
        <v>85</v>
      </c>
      <c r="B176" s="130"/>
      <c r="C176" s="130">
        <v>6851</v>
      </c>
      <c r="D176" s="129" t="s">
        <v>256</v>
      </c>
    </row>
    <row r="177" spans="1:4">
      <c r="A177" s="129"/>
      <c r="B177" s="130"/>
      <c r="C177" s="130">
        <v>6852</v>
      </c>
      <c r="D177" s="129" t="s">
        <v>208</v>
      </c>
    </row>
    <row r="178" spans="1:4">
      <c r="A178" s="129"/>
      <c r="B178" s="130"/>
      <c r="C178" s="130">
        <v>6853</v>
      </c>
      <c r="D178" s="129" t="s">
        <v>257</v>
      </c>
    </row>
    <row r="179" spans="1:4">
      <c r="A179" s="129"/>
      <c r="B179" s="130"/>
      <c r="C179" s="130">
        <v>6854</v>
      </c>
      <c r="D179" s="129" t="s">
        <v>258</v>
      </c>
    </row>
    <row r="180" spans="1:4">
      <c r="A180" s="129"/>
      <c r="B180" s="130"/>
      <c r="C180" s="130">
        <v>6855</v>
      </c>
      <c r="D180" s="129" t="s">
        <v>259</v>
      </c>
    </row>
    <row r="181" spans="1:4">
      <c r="A181" s="129"/>
      <c r="B181" s="130"/>
      <c r="C181" s="130">
        <v>6856</v>
      </c>
      <c r="D181" s="129" t="s">
        <v>262</v>
      </c>
    </row>
    <row r="182" spans="1:4">
      <c r="A182" s="129"/>
      <c r="B182" s="130"/>
      <c r="C182" s="130">
        <v>6899</v>
      </c>
      <c r="D182" s="129" t="s">
        <v>380</v>
      </c>
    </row>
    <row r="183" spans="1:4">
      <c r="A183" s="126"/>
      <c r="B183" s="127"/>
      <c r="C183" s="127"/>
      <c r="D183" s="126"/>
    </row>
    <row r="184" spans="1:4" ht="24">
      <c r="A184" s="126" t="s">
        <v>18</v>
      </c>
      <c r="B184" s="128">
        <v>6900</v>
      </c>
      <c r="C184" s="128"/>
      <c r="D184" s="126" t="s">
        <v>263</v>
      </c>
    </row>
    <row r="185" spans="1:4">
      <c r="A185" s="129" t="s">
        <v>85</v>
      </c>
      <c r="B185" s="130"/>
      <c r="C185" s="130">
        <v>6901</v>
      </c>
      <c r="D185" s="129" t="s">
        <v>383</v>
      </c>
    </row>
    <row r="186" spans="1:4">
      <c r="A186" s="129"/>
      <c r="B186" s="130"/>
      <c r="C186" s="130">
        <v>6902</v>
      </c>
      <c r="D186" s="129" t="s">
        <v>384</v>
      </c>
    </row>
    <row r="187" spans="1:4">
      <c r="A187" s="129"/>
      <c r="B187" s="130"/>
      <c r="C187" s="130">
        <v>6903</v>
      </c>
      <c r="D187" s="129" t="s">
        <v>385</v>
      </c>
    </row>
    <row r="188" spans="1:4">
      <c r="A188" s="129"/>
      <c r="B188" s="130"/>
      <c r="C188" s="130">
        <v>6904</v>
      </c>
      <c r="D188" s="129" t="s">
        <v>386</v>
      </c>
    </row>
    <row r="189" spans="1:4">
      <c r="A189" s="129"/>
      <c r="B189" s="130"/>
      <c r="C189" s="130">
        <v>6905</v>
      </c>
      <c r="D189" s="129" t="s">
        <v>387</v>
      </c>
    </row>
    <row r="190" spans="1:4">
      <c r="A190" s="129"/>
      <c r="B190" s="130"/>
      <c r="C190" s="130">
        <v>6906</v>
      </c>
      <c r="D190" s="129" t="s">
        <v>388</v>
      </c>
    </row>
    <row r="191" spans="1:4">
      <c r="A191" s="129"/>
      <c r="B191" s="130"/>
      <c r="C191" s="130">
        <v>6907</v>
      </c>
      <c r="D191" s="129" t="s">
        <v>389</v>
      </c>
    </row>
    <row r="192" spans="1:4">
      <c r="A192" s="129"/>
      <c r="B192" s="130"/>
      <c r="C192" s="130">
        <v>6908</v>
      </c>
      <c r="D192" s="129" t="s">
        <v>390</v>
      </c>
    </row>
    <row r="193" spans="1:4">
      <c r="A193" s="129"/>
      <c r="B193" s="130"/>
      <c r="C193" s="130">
        <v>6911</v>
      </c>
      <c r="D193" s="129" t="s">
        <v>264</v>
      </c>
    </row>
    <row r="194" spans="1:4">
      <c r="A194" s="129"/>
      <c r="B194" s="130"/>
      <c r="C194" s="130">
        <v>6912</v>
      </c>
      <c r="D194" s="129" t="s">
        <v>391</v>
      </c>
    </row>
    <row r="195" spans="1:4">
      <c r="A195" s="129"/>
      <c r="B195" s="130"/>
      <c r="C195" s="130">
        <v>6913</v>
      </c>
      <c r="D195" s="129" t="s">
        <v>392</v>
      </c>
    </row>
    <row r="196" spans="1:4">
      <c r="A196" s="129"/>
      <c r="B196" s="130"/>
      <c r="C196" s="130">
        <v>6914</v>
      </c>
      <c r="D196" s="129" t="s">
        <v>393</v>
      </c>
    </row>
    <row r="197" spans="1:4">
      <c r="A197" s="129"/>
      <c r="B197" s="130"/>
      <c r="C197" s="130">
        <v>6915</v>
      </c>
      <c r="D197" s="129" t="s">
        <v>394</v>
      </c>
    </row>
    <row r="198" spans="1:4">
      <c r="A198" s="129"/>
      <c r="B198" s="130"/>
      <c r="C198" s="130">
        <v>6916</v>
      </c>
      <c r="D198" s="129" t="s">
        <v>395</v>
      </c>
    </row>
    <row r="199" spans="1:4">
      <c r="A199" s="129"/>
      <c r="B199" s="130"/>
      <c r="C199" s="130">
        <v>6917</v>
      </c>
      <c r="D199" s="129" t="s">
        <v>265</v>
      </c>
    </row>
    <row r="200" spans="1:4">
      <c r="A200" s="129"/>
      <c r="B200" s="130"/>
      <c r="C200" s="130">
        <v>6918</v>
      </c>
      <c r="D200" s="129" t="s">
        <v>396</v>
      </c>
    </row>
    <row r="201" spans="1:4">
      <c r="A201" s="129"/>
      <c r="B201" s="130"/>
      <c r="C201" s="130">
        <v>6921</v>
      </c>
      <c r="D201" s="129" t="s">
        <v>397</v>
      </c>
    </row>
    <row r="202" spans="1:4">
      <c r="A202" s="129"/>
      <c r="B202" s="130"/>
      <c r="C202" s="130">
        <v>6922</v>
      </c>
      <c r="D202" s="129" t="s">
        <v>398</v>
      </c>
    </row>
    <row r="203" spans="1:4">
      <c r="A203" s="129"/>
      <c r="B203" s="130"/>
      <c r="C203" s="130">
        <v>6923</v>
      </c>
      <c r="D203" s="129" t="s">
        <v>399</v>
      </c>
    </row>
    <row r="204" spans="1:4">
      <c r="A204" s="129"/>
      <c r="B204" s="130"/>
      <c r="C204" s="130">
        <v>6949</v>
      </c>
      <c r="D204" s="129" t="s">
        <v>400</v>
      </c>
    </row>
    <row r="205" spans="1:4">
      <c r="A205" s="126"/>
      <c r="B205" s="127"/>
      <c r="C205" s="127"/>
      <c r="D205" s="126"/>
    </row>
    <row r="206" spans="1:4" ht="23.25" customHeight="1">
      <c r="A206" s="126" t="s">
        <v>18</v>
      </c>
      <c r="B206" s="128">
        <v>7000</v>
      </c>
      <c r="C206" s="128"/>
      <c r="D206" s="126" t="s">
        <v>266</v>
      </c>
    </row>
    <row r="207" spans="1:4" ht="23.25" customHeight="1">
      <c r="A207" s="129" t="s">
        <v>85</v>
      </c>
      <c r="B207" s="130"/>
      <c r="C207" s="130">
        <v>7001</v>
      </c>
      <c r="D207" s="129" t="s">
        <v>401</v>
      </c>
    </row>
    <row r="208" spans="1:4" ht="23.25" customHeight="1">
      <c r="A208" s="129"/>
      <c r="B208" s="130"/>
      <c r="C208" s="130">
        <v>7002</v>
      </c>
      <c r="D208" s="129" t="s">
        <v>402</v>
      </c>
    </row>
    <row r="209" spans="1:4" ht="23.25" customHeight="1">
      <c r="A209" s="129"/>
      <c r="B209" s="130"/>
      <c r="C209" s="130">
        <v>7003</v>
      </c>
      <c r="D209" s="129" t="s">
        <v>267</v>
      </c>
    </row>
    <row r="210" spans="1:4" ht="23.25" customHeight="1">
      <c r="A210" s="129"/>
      <c r="B210" s="130"/>
      <c r="C210" s="130">
        <v>7004</v>
      </c>
      <c r="D210" s="129" t="s">
        <v>403</v>
      </c>
    </row>
    <row r="211" spans="1:4" ht="23.25" customHeight="1">
      <c r="A211" s="129"/>
      <c r="B211" s="130"/>
      <c r="C211" s="130">
        <v>7005</v>
      </c>
      <c r="D211" s="129" t="s">
        <v>404</v>
      </c>
    </row>
    <row r="212" spans="1:4" ht="23.25" customHeight="1">
      <c r="A212" s="129"/>
      <c r="B212" s="130"/>
      <c r="C212" s="130">
        <v>7006</v>
      </c>
      <c r="D212" s="129" t="s">
        <v>405</v>
      </c>
    </row>
    <row r="213" spans="1:4" ht="23.25" customHeight="1">
      <c r="A213" s="129"/>
      <c r="B213" s="130"/>
      <c r="C213" s="130">
        <v>7007</v>
      </c>
      <c r="D213" s="129" t="s">
        <v>268</v>
      </c>
    </row>
    <row r="214" spans="1:4" ht="23.25" customHeight="1">
      <c r="A214" s="129"/>
      <c r="B214" s="130"/>
      <c r="C214" s="130">
        <v>7008</v>
      </c>
      <c r="D214" s="129" t="s">
        <v>269</v>
      </c>
    </row>
    <row r="215" spans="1:4" ht="23.25" customHeight="1">
      <c r="A215" s="129"/>
      <c r="B215" s="130"/>
      <c r="C215" s="130">
        <v>7011</v>
      </c>
      <c r="D215" s="129" t="s">
        <v>270</v>
      </c>
    </row>
    <row r="216" spans="1:4" ht="23.25" customHeight="1">
      <c r="A216" s="129"/>
      <c r="B216" s="130"/>
      <c r="C216" s="130">
        <v>7012</v>
      </c>
      <c r="D216" s="129" t="s">
        <v>271</v>
      </c>
    </row>
    <row r="217" spans="1:4" ht="23.25" customHeight="1">
      <c r="A217" s="129"/>
      <c r="B217" s="130"/>
      <c r="C217" s="130">
        <v>7013</v>
      </c>
      <c r="D217" s="129" t="s">
        <v>272</v>
      </c>
    </row>
    <row r="218" spans="1:4" ht="23.25" customHeight="1">
      <c r="A218" s="129"/>
      <c r="B218" s="130"/>
      <c r="C218" s="130">
        <v>7014</v>
      </c>
      <c r="D218" s="129" t="s">
        <v>273</v>
      </c>
    </row>
    <row r="219" spans="1:4" ht="23.25" customHeight="1">
      <c r="A219" s="129"/>
      <c r="B219" s="130"/>
      <c r="C219" s="130">
        <v>7015</v>
      </c>
      <c r="D219" s="129" t="s">
        <v>274</v>
      </c>
    </row>
    <row r="220" spans="1:4" ht="23.25" customHeight="1">
      <c r="A220" s="129"/>
      <c r="B220" s="130"/>
      <c r="C220" s="130">
        <v>7016</v>
      </c>
      <c r="D220" s="129" t="s">
        <v>275</v>
      </c>
    </row>
    <row r="221" spans="1:4" ht="23.25" customHeight="1">
      <c r="A221" s="129"/>
      <c r="B221" s="130"/>
      <c r="C221" s="130">
        <v>7017</v>
      </c>
      <c r="D221" s="129" t="s">
        <v>276</v>
      </c>
    </row>
    <row r="222" spans="1:4" ht="23.25" customHeight="1">
      <c r="A222" s="129"/>
      <c r="B222" s="130"/>
      <c r="C222" s="130">
        <v>7049</v>
      </c>
      <c r="D222" s="129" t="s">
        <v>41</v>
      </c>
    </row>
    <row r="223" spans="1:4" ht="23.25" customHeight="1">
      <c r="A223" s="126"/>
      <c r="B223" s="127"/>
      <c r="C223" s="127"/>
      <c r="D223" s="126"/>
    </row>
    <row r="224" spans="1:4" ht="23.25" customHeight="1">
      <c r="A224" s="972" t="s">
        <v>277</v>
      </c>
      <c r="B224" s="973"/>
      <c r="C224" s="126"/>
      <c r="D224" s="126" t="s">
        <v>278</v>
      </c>
    </row>
    <row r="225" spans="1:4" ht="23.25" customHeight="1">
      <c r="A225" s="126" t="s">
        <v>18</v>
      </c>
      <c r="B225" s="128">
        <v>7350</v>
      </c>
      <c r="C225" s="128"/>
      <c r="D225" s="126" t="s">
        <v>279</v>
      </c>
    </row>
    <row r="226" spans="1:4" ht="23.25" customHeight="1">
      <c r="A226" s="129" t="s">
        <v>85</v>
      </c>
      <c r="B226" s="130"/>
      <c r="C226" s="130">
        <v>7351</v>
      </c>
      <c r="D226" s="129" t="s">
        <v>280</v>
      </c>
    </row>
    <row r="227" spans="1:4" ht="23.25" customHeight="1">
      <c r="A227" s="129"/>
      <c r="B227" s="130"/>
      <c r="C227" s="130">
        <v>7352</v>
      </c>
      <c r="D227" s="129" t="s">
        <v>281</v>
      </c>
    </row>
    <row r="228" spans="1:4" ht="23.25" customHeight="1">
      <c r="A228" s="129"/>
      <c r="B228" s="130"/>
      <c r="C228" s="130">
        <v>7353</v>
      </c>
      <c r="D228" s="129" t="s">
        <v>282</v>
      </c>
    </row>
    <row r="229" spans="1:4" ht="23.25" customHeight="1">
      <c r="A229" s="129"/>
      <c r="B229" s="130"/>
      <c r="C229" s="130">
        <v>7354</v>
      </c>
      <c r="D229" s="129" t="s">
        <v>283</v>
      </c>
    </row>
    <row r="230" spans="1:4" ht="23.25" customHeight="1">
      <c r="A230" s="129"/>
      <c r="B230" s="130"/>
      <c r="C230" s="130">
        <v>7355</v>
      </c>
      <c r="D230" s="129" t="s">
        <v>284</v>
      </c>
    </row>
    <row r="231" spans="1:4" ht="23.25" customHeight="1">
      <c r="A231" s="129"/>
      <c r="B231" s="130"/>
      <c r="C231" s="130">
        <v>7399</v>
      </c>
      <c r="D231" s="129" t="s">
        <v>203</v>
      </c>
    </row>
    <row r="232" spans="1:4" ht="23.25" customHeight="1">
      <c r="A232" s="126"/>
      <c r="B232" s="127"/>
      <c r="C232" s="127"/>
      <c r="D232" s="126"/>
    </row>
    <row r="233" spans="1:4" ht="23.25" customHeight="1">
      <c r="A233" s="972" t="s">
        <v>285</v>
      </c>
      <c r="B233" s="973"/>
      <c r="C233" s="126"/>
      <c r="D233" s="126" t="s">
        <v>286</v>
      </c>
    </row>
    <row r="234" spans="1:4" ht="23.25" customHeight="1">
      <c r="A234" s="126"/>
      <c r="B234" s="127"/>
      <c r="C234" s="127"/>
      <c r="D234" s="126"/>
    </row>
    <row r="235" spans="1:4" ht="23.25" customHeight="1">
      <c r="A235" s="126" t="s">
        <v>18</v>
      </c>
      <c r="B235" s="128">
        <v>7750</v>
      </c>
      <c r="C235" s="128"/>
      <c r="D235" s="126" t="s">
        <v>48</v>
      </c>
    </row>
    <row r="236" spans="1:4" ht="23.25" customHeight="1">
      <c r="A236" s="129" t="s">
        <v>85</v>
      </c>
      <c r="B236" s="130"/>
      <c r="C236" s="130">
        <v>7751</v>
      </c>
      <c r="D236" s="129" t="s">
        <v>287</v>
      </c>
    </row>
    <row r="237" spans="1:4" ht="23.25" customHeight="1">
      <c r="A237" s="129"/>
      <c r="B237" s="130"/>
      <c r="C237" s="130">
        <v>7752</v>
      </c>
      <c r="D237" s="129" t="s">
        <v>49</v>
      </c>
    </row>
    <row r="238" spans="1:4" ht="23.25" customHeight="1">
      <c r="A238" s="129"/>
      <c r="B238" s="130"/>
      <c r="C238" s="130">
        <v>7753</v>
      </c>
      <c r="D238" s="129" t="s">
        <v>288</v>
      </c>
    </row>
    <row r="239" spans="1:4" ht="23.25" customHeight="1">
      <c r="A239" s="129"/>
      <c r="B239" s="130"/>
      <c r="C239" s="130">
        <v>7754</v>
      </c>
      <c r="D239" s="129" t="s">
        <v>289</v>
      </c>
    </row>
    <row r="240" spans="1:4" ht="23.25" customHeight="1">
      <c r="A240" s="129"/>
      <c r="B240" s="130"/>
      <c r="C240" s="130">
        <v>7755</v>
      </c>
      <c r="D240" s="129" t="s">
        <v>290</v>
      </c>
    </row>
    <row r="241" spans="1:4" ht="23.25" customHeight="1">
      <c r="A241" s="129"/>
      <c r="B241" s="130"/>
      <c r="C241" s="130">
        <v>7756</v>
      </c>
      <c r="D241" s="129" t="s">
        <v>291</v>
      </c>
    </row>
    <row r="242" spans="1:4" ht="23.25" customHeight="1">
      <c r="A242" s="129"/>
      <c r="B242" s="130"/>
      <c r="C242" s="130">
        <v>7757</v>
      </c>
      <c r="D242" s="129" t="s">
        <v>292</v>
      </c>
    </row>
    <row r="243" spans="1:4" ht="23.25" customHeight="1">
      <c r="A243" s="129"/>
      <c r="B243" s="130"/>
      <c r="C243" s="130">
        <v>7758</v>
      </c>
      <c r="D243" s="129" t="s">
        <v>50</v>
      </c>
    </row>
    <row r="244" spans="1:4" ht="23.25" customHeight="1">
      <c r="A244" s="129"/>
      <c r="B244" s="130"/>
      <c r="C244" s="130">
        <v>7761</v>
      </c>
      <c r="D244" s="129" t="s">
        <v>51</v>
      </c>
    </row>
    <row r="245" spans="1:4" ht="23.25" customHeight="1">
      <c r="A245" s="129"/>
      <c r="B245" s="130"/>
      <c r="C245" s="130">
        <v>7762</v>
      </c>
      <c r="D245" s="129" t="s">
        <v>293</v>
      </c>
    </row>
    <row r="246" spans="1:4" ht="23.25" customHeight="1">
      <c r="A246" s="129"/>
      <c r="B246" s="130"/>
      <c r="C246" s="130">
        <v>7763</v>
      </c>
      <c r="D246" s="129" t="s">
        <v>294</v>
      </c>
    </row>
    <row r="247" spans="1:4" ht="23.25" customHeight="1">
      <c r="A247" s="126"/>
      <c r="B247" s="130"/>
      <c r="C247" s="130">
        <v>7764</v>
      </c>
      <c r="D247" s="129" t="s">
        <v>295</v>
      </c>
    </row>
    <row r="248" spans="1:4" ht="23.25" customHeight="1">
      <c r="A248" s="126"/>
      <c r="B248" s="130"/>
      <c r="C248" s="130">
        <v>7765</v>
      </c>
      <c r="D248" s="129" t="s">
        <v>296</v>
      </c>
    </row>
    <row r="249" spans="1:4" ht="23.25" customHeight="1">
      <c r="A249" s="129"/>
      <c r="B249" s="130"/>
      <c r="C249" s="130">
        <v>7799</v>
      </c>
      <c r="D249" s="129" t="s">
        <v>52</v>
      </c>
    </row>
    <row r="250" spans="1:4" ht="23.25" customHeight="1">
      <c r="A250" s="129"/>
      <c r="B250" s="130"/>
      <c r="C250" s="130"/>
      <c r="D250" s="129"/>
    </row>
    <row r="251" spans="1:4" ht="23.25" customHeight="1">
      <c r="A251" s="129"/>
      <c r="B251" s="130"/>
      <c r="C251" s="130"/>
      <c r="D251" s="129"/>
    </row>
    <row r="252" spans="1:4" ht="23.25" customHeight="1">
      <c r="A252" s="126" t="s">
        <v>18</v>
      </c>
      <c r="B252" s="127">
        <v>8150</v>
      </c>
      <c r="C252" s="127"/>
      <c r="D252" s="126" t="s">
        <v>68</v>
      </c>
    </row>
    <row r="253" spans="1:4" ht="23.25" customHeight="1">
      <c r="A253" s="129" t="s">
        <v>85</v>
      </c>
      <c r="B253" s="130"/>
      <c r="C253" s="130">
        <v>8151</v>
      </c>
      <c r="D253" s="129" t="s">
        <v>297</v>
      </c>
    </row>
    <row r="254" spans="1:4" ht="23.25" customHeight="1">
      <c r="A254" s="129"/>
      <c r="B254" s="130"/>
      <c r="C254" s="130">
        <v>8152</v>
      </c>
      <c r="D254" s="129" t="s">
        <v>298</v>
      </c>
    </row>
    <row r="255" spans="1:4" ht="23.25" customHeight="1">
      <c r="A255" s="129"/>
      <c r="B255" s="130"/>
      <c r="C255" s="130">
        <v>8153</v>
      </c>
      <c r="D255" s="129" t="s">
        <v>299</v>
      </c>
    </row>
    <row r="256" spans="1:4" ht="23.25" customHeight="1">
      <c r="A256" s="129"/>
      <c r="B256" s="130"/>
      <c r="C256" s="130">
        <v>8154</v>
      </c>
      <c r="D256" s="129" t="s">
        <v>300</v>
      </c>
    </row>
    <row r="257" spans="1:4" ht="23.25" customHeight="1">
      <c r="A257" s="129"/>
      <c r="B257" s="130"/>
      <c r="C257" s="130">
        <v>8199</v>
      </c>
      <c r="D257" s="129" t="s">
        <v>406</v>
      </c>
    </row>
    <row r="258" spans="1:4" ht="23.25" customHeight="1">
      <c r="A258" s="126" t="s">
        <v>18</v>
      </c>
      <c r="B258" s="128">
        <v>9000</v>
      </c>
      <c r="C258" s="128"/>
      <c r="D258" s="126" t="s">
        <v>301</v>
      </c>
    </row>
    <row r="259" spans="1:4" ht="23.25" customHeight="1">
      <c r="A259" s="129" t="s">
        <v>302</v>
      </c>
      <c r="B259" s="130"/>
      <c r="C259" s="130">
        <v>9001</v>
      </c>
      <c r="D259" s="129" t="s">
        <v>303</v>
      </c>
    </row>
    <row r="260" spans="1:4" ht="23.25" customHeight="1">
      <c r="A260" s="129"/>
      <c r="B260" s="130"/>
      <c r="C260" s="130">
        <v>9002</v>
      </c>
      <c r="D260" s="129" t="s">
        <v>304</v>
      </c>
    </row>
    <row r="261" spans="1:4" ht="23.25" customHeight="1">
      <c r="A261" s="129"/>
      <c r="B261" s="130"/>
      <c r="C261" s="130">
        <v>9003</v>
      </c>
      <c r="D261" s="129" t="s">
        <v>305</v>
      </c>
    </row>
    <row r="262" spans="1:4" ht="23.25" customHeight="1">
      <c r="A262" s="129"/>
      <c r="B262" s="130"/>
      <c r="C262" s="130">
        <v>9004</v>
      </c>
      <c r="D262" s="129" t="s">
        <v>306</v>
      </c>
    </row>
    <row r="263" spans="1:4" ht="23.25" customHeight="1">
      <c r="A263" s="129"/>
      <c r="B263" s="130"/>
      <c r="C263" s="130">
        <v>9049</v>
      </c>
      <c r="D263" s="129" t="s">
        <v>407</v>
      </c>
    </row>
    <row r="264" spans="1:4" ht="23.25" customHeight="1">
      <c r="A264" s="126"/>
      <c r="B264" s="127"/>
      <c r="C264" s="127"/>
      <c r="D264" s="126"/>
    </row>
    <row r="265" spans="1:4" ht="23.25" customHeight="1">
      <c r="A265" s="126" t="s">
        <v>18</v>
      </c>
      <c r="B265" s="128">
        <v>9050</v>
      </c>
      <c r="C265" s="128"/>
      <c r="D265" s="126" t="s">
        <v>69</v>
      </c>
    </row>
    <row r="266" spans="1:4" ht="23.25" customHeight="1">
      <c r="A266" s="129" t="s">
        <v>85</v>
      </c>
      <c r="B266" s="130"/>
      <c r="C266" s="130">
        <v>9051</v>
      </c>
      <c r="D266" s="129" t="s">
        <v>408</v>
      </c>
    </row>
    <row r="267" spans="1:4" ht="23.25" customHeight="1">
      <c r="A267" s="129"/>
      <c r="B267" s="130"/>
      <c r="C267" s="130">
        <v>9052</v>
      </c>
      <c r="D267" s="129" t="s">
        <v>409</v>
      </c>
    </row>
    <row r="268" spans="1:4" ht="23.25" customHeight="1">
      <c r="A268" s="129"/>
      <c r="B268" s="130"/>
      <c r="C268" s="130">
        <v>9053</v>
      </c>
      <c r="D268" s="129" t="s">
        <v>410</v>
      </c>
    </row>
    <row r="269" spans="1:4" ht="23.25" customHeight="1">
      <c r="A269" s="129"/>
      <c r="B269" s="130"/>
      <c r="C269" s="130">
        <v>9054</v>
      </c>
      <c r="D269" s="129" t="s">
        <v>411</v>
      </c>
    </row>
    <row r="270" spans="1:4" ht="23.25" customHeight="1">
      <c r="A270" s="129"/>
      <c r="B270" s="130"/>
      <c r="C270" s="130">
        <v>9055</v>
      </c>
      <c r="D270" s="129" t="s">
        <v>412</v>
      </c>
    </row>
    <row r="271" spans="1:4" ht="23.25" customHeight="1">
      <c r="A271" s="129"/>
      <c r="B271" s="130"/>
      <c r="C271" s="130">
        <v>9056</v>
      </c>
      <c r="D271" s="129" t="s">
        <v>413</v>
      </c>
    </row>
    <row r="272" spans="1:4" ht="23.25" customHeight="1">
      <c r="A272" s="129"/>
      <c r="B272" s="130"/>
      <c r="C272" s="130">
        <v>9057</v>
      </c>
      <c r="D272" s="129" t="s">
        <v>414</v>
      </c>
    </row>
    <row r="273" spans="1:4" ht="23.25" customHeight="1">
      <c r="A273" s="129"/>
      <c r="B273" s="130"/>
      <c r="C273" s="130">
        <v>9058</v>
      </c>
      <c r="D273" s="129" t="s">
        <v>415</v>
      </c>
    </row>
    <row r="274" spans="1:4" ht="23.25" customHeight="1">
      <c r="A274" s="129"/>
      <c r="B274" s="130"/>
      <c r="C274" s="130">
        <v>9061</v>
      </c>
      <c r="D274" s="129" t="s">
        <v>416</v>
      </c>
    </row>
    <row r="275" spans="1:4" ht="23.25" customHeight="1">
      <c r="A275" s="129"/>
      <c r="B275" s="130"/>
      <c r="C275" s="130">
        <v>9062</v>
      </c>
      <c r="D275" s="129" t="s">
        <v>417</v>
      </c>
    </row>
    <row r="276" spans="1:4" ht="23.25" customHeight="1">
      <c r="A276" s="129"/>
      <c r="B276" s="130"/>
      <c r="C276" s="130">
        <v>9063</v>
      </c>
      <c r="D276" s="129" t="s">
        <v>418</v>
      </c>
    </row>
    <row r="277" spans="1:4" ht="23.25" customHeight="1">
      <c r="A277" s="129"/>
      <c r="B277" s="130"/>
      <c r="C277" s="130">
        <v>9064</v>
      </c>
      <c r="D277" s="129" t="s">
        <v>419</v>
      </c>
    </row>
    <row r="278" spans="1:4" ht="23.25" customHeight="1">
      <c r="A278" s="129"/>
      <c r="B278" s="130"/>
      <c r="C278" s="130">
        <v>9065</v>
      </c>
      <c r="D278" s="129" t="s">
        <v>420</v>
      </c>
    </row>
    <row r="279" spans="1:4" ht="23.25" customHeight="1">
      <c r="A279" s="129"/>
      <c r="B279" s="130"/>
      <c r="C279" s="130">
        <v>9066</v>
      </c>
      <c r="D279" s="129" t="s">
        <v>421</v>
      </c>
    </row>
    <row r="280" spans="1:4" ht="23.25" customHeight="1">
      <c r="A280" s="129"/>
      <c r="B280" s="130"/>
      <c r="C280" s="130">
        <v>9099</v>
      </c>
      <c r="D280" s="129" t="s">
        <v>422</v>
      </c>
    </row>
    <row r="281" spans="1:4" ht="23.25" customHeight="1">
      <c r="A281" s="126"/>
      <c r="B281" s="127"/>
      <c r="C281" s="127"/>
      <c r="D281" s="126"/>
    </row>
    <row r="282" spans="1:4" ht="23.25" customHeight="1">
      <c r="A282" s="126" t="s">
        <v>18</v>
      </c>
      <c r="B282" s="128">
        <v>9100</v>
      </c>
      <c r="C282" s="128"/>
      <c r="D282" s="126" t="s">
        <v>307</v>
      </c>
    </row>
    <row r="283" spans="1:4" ht="23.25" customHeight="1">
      <c r="A283" s="129" t="s">
        <v>85</v>
      </c>
      <c r="B283" s="127"/>
      <c r="C283" s="130">
        <v>9101</v>
      </c>
      <c r="D283" s="129" t="s">
        <v>423</v>
      </c>
    </row>
    <row r="284" spans="1:4" ht="23.25" customHeight="1">
      <c r="A284" s="126"/>
      <c r="B284" s="127"/>
      <c r="C284" s="130">
        <v>9102</v>
      </c>
      <c r="D284" s="129" t="s">
        <v>424</v>
      </c>
    </row>
    <row r="285" spans="1:4" ht="23.25" customHeight="1">
      <c r="A285" s="126"/>
      <c r="B285" s="127"/>
      <c r="C285" s="130">
        <v>9103</v>
      </c>
      <c r="D285" s="129" t="s">
        <v>425</v>
      </c>
    </row>
    <row r="286" spans="1:4" ht="23.25" customHeight="1">
      <c r="A286" s="126"/>
      <c r="B286" s="127"/>
      <c r="C286" s="130">
        <v>9104</v>
      </c>
      <c r="D286" s="129" t="s">
        <v>426</v>
      </c>
    </row>
    <row r="287" spans="1:4" ht="23.25" customHeight="1">
      <c r="A287" s="126"/>
      <c r="B287" s="127"/>
      <c r="C287" s="130">
        <v>9105</v>
      </c>
      <c r="D287" s="129" t="s">
        <v>427</v>
      </c>
    </row>
    <row r="288" spans="1:4" ht="23.25" customHeight="1">
      <c r="A288" s="126"/>
      <c r="B288" s="127"/>
      <c r="C288" s="130">
        <v>9106</v>
      </c>
      <c r="D288" s="129" t="s">
        <v>428</v>
      </c>
    </row>
    <row r="289" spans="1:4" ht="23.25" customHeight="1">
      <c r="A289" s="126"/>
      <c r="B289" s="127"/>
      <c r="C289" s="130">
        <v>9107</v>
      </c>
      <c r="D289" s="129" t="s">
        <v>429</v>
      </c>
    </row>
    <row r="290" spans="1:4" ht="23.25" customHeight="1">
      <c r="A290" s="126"/>
      <c r="B290" s="127"/>
      <c r="C290" s="130">
        <v>9108</v>
      </c>
      <c r="D290" s="129" t="s">
        <v>430</v>
      </c>
    </row>
    <row r="291" spans="1:4" ht="23.25" customHeight="1">
      <c r="A291" s="126"/>
      <c r="B291" s="127"/>
      <c r="C291" s="130">
        <v>9111</v>
      </c>
      <c r="D291" s="129" t="s">
        <v>431</v>
      </c>
    </row>
    <row r="292" spans="1:4" ht="23.25" customHeight="1">
      <c r="A292" s="126"/>
      <c r="B292" s="127"/>
      <c r="C292" s="130">
        <v>9112</v>
      </c>
      <c r="D292" s="129" t="s">
        <v>432</v>
      </c>
    </row>
    <row r="293" spans="1:4" ht="23.25" customHeight="1">
      <c r="A293" s="126"/>
      <c r="B293" s="127"/>
      <c r="C293" s="130">
        <v>9113</v>
      </c>
      <c r="D293" s="129" t="s">
        <v>433</v>
      </c>
    </row>
    <row r="294" spans="1:4" ht="23.25" customHeight="1">
      <c r="A294" s="126"/>
      <c r="B294" s="127"/>
      <c r="C294" s="130">
        <v>9114</v>
      </c>
      <c r="D294" s="129" t="s">
        <v>434</v>
      </c>
    </row>
    <row r="295" spans="1:4" ht="23.25" customHeight="1">
      <c r="A295" s="126"/>
      <c r="B295" s="127"/>
      <c r="C295" s="130">
        <v>9115</v>
      </c>
      <c r="D295" s="129" t="s">
        <v>435</v>
      </c>
    </row>
    <row r="296" spans="1:4" ht="23.25" customHeight="1">
      <c r="A296" s="126"/>
      <c r="B296" s="127"/>
      <c r="C296" s="130">
        <v>9116</v>
      </c>
      <c r="D296" s="129" t="s">
        <v>436</v>
      </c>
    </row>
    <row r="297" spans="1:4" ht="23.25" customHeight="1">
      <c r="A297" s="126"/>
      <c r="B297" s="127"/>
      <c r="C297" s="130">
        <v>9117</v>
      </c>
      <c r="D297" s="129" t="s">
        <v>265</v>
      </c>
    </row>
    <row r="298" spans="1:4" ht="23.25" customHeight="1">
      <c r="A298" s="126"/>
      <c r="B298" s="127"/>
      <c r="C298" s="130">
        <v>9118</v>
      </c>
      <c r="D298" s="129" t="s">
        <v>437</v>
      </c>
    </row>
    <row r="299" spans="1:4" ht="23.25" customHeight="1">
      <c r="A299" s="126"/>
      <c r="B299" s="127"/>
      <c r="C299" s="130">
        <v>9121</v>
      </c>
      <c r="D299" s="129" t="s">
        <v>438</v>
      </c>
    </row>
    <row r="300" spans="1:4" ht="23.25" customHeight="1">
      <c r="A300" s="126"/>
      <c r="B300" s="127"/>
      <c r="C300" s="130">
        <v>9122</v>
      </c>
      <c r="D300" s="129" t="s">
        <v>439</v>
      </c>
    </row>
    <row r="301" spans="1:4" ht="23.25" customHeight="1">
      <c r="A301" s="126"/>
      <c r="B301" s="127"/>
      <c r="C301" s="130">
        <v>9123</v>
      </c>
      <c r="D301" s="129" t="s">
        <v>440</v>
      </c>
    </row>
    <row r="302" spans="1:4" ht="23.25" customHeight="1">
      <c r="A302" s="126"/>
      <c r="B302" s="127"/>
      <c r="C302" s="130">
        <v>9149</v>
      </c>
      <c r="D302" s="129" t="s">
        <v>441</v>
      </c>
    </row>
    <row r="303" spans="1:4" ht="23.25" customHeight="1">
      <c r="A303" s="126"/>
      <c r="B303" s="127"/>
      <c r="C303" s="127"/>
      <c r="D303" s="129" t="s">
        <v>308</v>
      </c>
    </row>
    <row r="304" spans="1:4" ht="23.25" customHeight="1">
      <c r="A304" s="126"/>
      <c r="B304" s="127"/>
      <c r="C304" s="127"/>
      <c r="D304" s="126"/>
    </row>
    <row r="305" spans="1:4" ht="23.25" customHeight="1">
      <c r="A305" s="972" t="s">
        <v>309</v>
      </c>
      <c r="B305" s="973"/>
      <c r="C305" s="126"/>
      <c r="D305" s="126" t="s">
        <v>310</v>
      </c>
    </row>
    <row r="306" spans="1:4" ht="23.25" customHeight="1">
      <c r="A306" s="126"/>
      <c r="B306" s="127"/>
      <c r="C306" s="127"/>
      <c r="D306" s="129"/>
    </row>
    <row r="307" spans="1:4" ht="23.25" customHeight="1">
      <c r="A307" s="126" t="s">
        <v>18</v>
      </c>
      <c r="B307" s="128">
        <v>9200</v>
      </c>
      <c r="C307" s="128"/>
      <c r="D307" s="126" t="s">
        <v>311</v>
      </c>
    </row>
    <row r="308" spans="1:4" ht="23.25" customHeight="1">
      <c r="A308" s="129" t="s">
        <v>85</v>
      </c>
      <c r="B308" s="127"/>
      <c r="C308" s="130">
        <v>9201</v>
      </c>
      <c r="D308" s="129" t="s">
        <v>312</v>
      </c>
    </row>
    <row r="309" spans="1:4" ht="23.25" customHeight="1">
      <c r="A309" s="126"/>
      <c r="B309" s="127"/>
      <c r="C309" s="130">
        <v>9202</v>
      </c>
      <c r="D309" s="129" t="s">
        <v>313</v>
      </c>
    </row>
    <row r="310" spans="1:4" ht="23.25" customHeight="1">
      <c r="A310" s="126"/>
      <c r="B310" s="127"/>
      <c r="C310" s="130">
        <v>9203</v>
      </c>
      <c r="D310" s="129" t="s">
        <v>314</v>
      </c>
    </row>
    <row r="311" spans="1:4" ht="23.25" customHeight="1">
      <c r="A311" s="126"/>
      <c r="B311" s="127"/>
      <c r="C311" s="130">
        <v>9204</v>
      </c>
      <c r="D311" s="129" t="s">
        <v>315</v>
      </c>
    </row>
    <row r="312" spans="1:4" ht="23.25" customHeight="1">
      <c r="A312" s="126"/>
      <c r="B312" s="127"/>
      <c r="C312" s="130">
        <v>9249</v>
      </c>
      <c r="D312" s="129" t="s">
        <v>442</v>
      </c>
    </row>
    <row r="313" spans="1:4" ht="23.25" customHeight="1">
      <c r="A313" s="127"/>
      <c r="B313" s="127"/>
      <c r="C313" s="127"/>
      <c r="D313" s="129"/>
    </row>
    <row r="314" spans="1:4" ht="23.25" customHeight="1">
      <c r="A314" s="126" t="s">
        <v>18</v>
      </c>
      <c r="B314" s="128">
        <v>9250</v>
      </c>
      <c r="C314" s="128"/>
      <c r="D314" s="126" t="s">
        <v>316</v>
      </c>
    </row>
    <row r="315" spans="1:4" ht="23.25" customHeight="1">
      <c r="A315" s="129" t="s">
        <v>85</v>
      </c>
      <c r="B315" s="127"/>
      <c r="C315" s="130">
        <v>9251</v>
      </c>
      <c r="D315" s="129" t="s">
        <v>317</v>
      </c>
    </row>
    <row r="316" spans="1:4" ht="23.25" customHeight="1">
      <c r="A316" s="126"/>
      <c r="B316" s="127"/>
      <c r="C316" s="130">
        <v>9252</v>
      </c>
      <c r="D316" s="129" t="s">
        <v>318</v>
      </c>
    </row>
    <row r="317" spans="1:4" ht="23.25" customHeight="1">
      <c r="A317" s="126"/>
      <c r="B317" s="127"/>
      <c r="C317" s="130">
        <v>9253</v>
      </c>
      <c r="D317" s="129" t="s">
        <v>319</v>
      </c>
    </row>
    <row r="318" spans="1:4" ht="23.25" customHeight="1">
      <c r="A318" s="126"/>
      <c r="B318" s="127"/>
      <c r="C318" s="130">
        <v>9254</v>
      </c>
      <c r="D318" s="129" t="s">
        <v>320</v>
      </c>
    </row>
    <row r="319" spans="1:4" ht="23.25" customHeight="1">
      <c r="A319" s="126"/>
      <c r="B319" s="127"/>
      <c r="C319" s="130">
        <v>9255</v>
      </c>
      <c r="D319" s="129" t="s">
        <v>321</v>
      </c>
    </row>
    <row r="320" spans="1:4" ht="23.25" customHeight="1">
      <c r="A320" s="127"/>
      <c r="B320" s="127"/>
      <c r="C320" s="130">
        <v>9299</v>
      </c>
      <c r="D320" s="129" t="s">
        <v>443</v>
      </c>
    </row>
    <row r="321" spans="1:4" ht="23.25" customHeight="1">
      <c r="A321" s="126"/>
      <c r="B321" s="127"/>
      <c r="C321" s="127"/>
      <c r="D321" s="129"/>
    </row>
    <row r="322" spans="1:4" ht="23.25" customHeight="1">
      <c r="A322" s="126" t="s">
        <v>18</v>
      </c>
      <c r="B322" s="128">
        <v>9300</v>
      </c>
      <c r="C322" s="128"/>
      <c r="D322" s="126" t="s">
        <v>73</v>
      </c>
    </row>
    <row r="323" spans="1:4" ht="23.25" customHeight="1">
      <c r="A323" s="129" t="s">
        <v>85</v>
      </c>
      <c r="B323" s="130"/>
      <c r="C323" s="130">
        <v>9301</v>
      </c>
      <c r="D323" s="129" t="s">
        <v>322</v>
      </c>
    </row>
    <row r="324" spans="1:4" ht="23.25" customHeight="1">
      <c r="A324" s="129"/>
      <c r="B324" s="130"/>
      <c r="C324" s="130">
        <v>9302</v>
      </c>
      <c r="D324" s="129" t="s">
        <v>323</v>
      </c>
    </row>
    <row r="325" spans="1:4" ht="23.25" customHeight="1">
      <c r="A325" s="129"/>
      <c r="B325" s="130"/>
      <c r="C325" s="130">
        <v>9303</v>
      </c>
      <c r="D325" s="129" t="s">
        <v>324</v>
      </c>
    </row>
    <row r="326" spans="1:4" ht="23.25" customHeight="1">
      <c r="A326" s="129"/>
      <c r="B326" s="130"/>
      <c r="C326" s="130">
        <v>9304</v>
      </c>
      <c r="D326" s="129" t="s">
        <v>325</v>
      </c>
    </row>
    <row r="327" spans="1:4" ht="23.25" customHeight="1">
      <c r="A327" s="129"/>
      <c r="B327" s="130"/>
      <c r="C327" s="130">
        <v>9305</v>
      </c>
      <c r="D327" s="129" t="s">
        <v>326</v>
      </c>
    </row>
    <row r="328" spans="1:4" ht="23.25" customHeight="1">
      <c r="A328" s="129"/>
      <c r="B328" s="130"/>
      <c r="C328" s="130">
        <v>9349</v>
      </c>
      <c r="D328" s="129" t="s">
        <v>444</v>
      </c>
    </row>
    <row r="329" spans="1:4" ht="23.25" customHeight="1">
      <c r="A329" s="126"/>
      <c r="B329" s="127"/>
      <c r="C329" s="127"/>
      <c r="D329" s="126"/>
    </row>
    <row r="330" spans="1:4" ht="23.25" customHeight="1">
      <c r="A330" s="126" t="s">
        <v>18</v>
      </c>
      <c r="B330" s="128">
        <v>9350</v>
      </c>
      <c r="C330" s="128"/>
      <c r="D330" s="126" t="s">
        <v>327</v>
      </c>
    </row>
    <row r="331" spans="1:4" ht="23.25" customHeight="1">
      <c r="A331" s="129" t="s">
        <v>85</v>
      </c>
      <c r="B331" s="130"/>
      <c r="C331" s="130">
        <v>9351</v>
      </c>
      <c r="D331" s="129" t="s">
        <v>328</v>
      </c>
    </row>
    <row r="332" spans="1:4" ht="23.25" customHeight="1">
      <c r="A332" s="129"/>
      <c r="B332" s="130"/>
      <c r="C332" s="130">
        <v>9352</v>
      </c>
      <c r="D332" s="129" t="s">
        <v>329</v>
      </c>
    </row>
    <row r="333" spans="1:4" ht="23.25" customHeight="1">
      <c r="A333" s="129"/>
      <c r="B333" s="130"/>
      <c r="C333" s="130">
        <v>9353</v>
      </c>
      <c r="D333" s="129" t="s">
        <v>330</v>
      </c>
    </row>
    <row r="334" spans="1:4" ht="23.25" customHeight="1">
      <c r="A334" s="129"/>
      <c r="B334" s="130"/>
      <c r="C334" s="130">
        <v>9354</v>
      </c>
      <c r="D334" s="129" t="s">
        <v>331</v>
      </c>
    </row>
    <row r="335" spans="1:4" ht="23.25" customHeight="1">
      <c r="A335" s="129"/>
      <c r="B335" s="130"/>
      <c r="C335" s="130">
        <v>9355</v>
      </c>
      <c r="D335" s="129" t="s">
        <v>332</v>
      </c>
    </row>
    <row r="336" spans="1:4" ht="23.25" customHeight="1">
      <c r="A336" s="129"/>
      <c r="B336" s="130"/>
      <c r="C336" s="130">
        <v>9399</v>
      </c>
      <c r="D336" s="129" t="s">
        <v>445</v>
      </c>
    </row>
    <row r="337" spans="1:4" ht="23.25" customHeight="1">
      <c r="A337" s="129" t="s">
        <v>85</v>
      </c>
      <c r="B337" s="130"/>
      <c r="C337" s="130">
        <v>9401</v>
      </c>
      <c r="D337" s="129" t="s">
        <v>333</v>
      </c>
    </row>
    <row r="338" spans="1:4" ht="23.25" customHeight="1">
      <c r="A338" s="129"/>
      <c r="B338" s="130"/>
      <c r="C338" s="130">
        <v>9402</v>
      </c>
      <c r="D338" s="129" t="s">
        <v>334</v>
      </c>
    </row>
    <row r="339" spans="1:4" ht="23.25" customHeight="1">
      <c r="A339" s="129"/>
      <c r="B339" s="130"/>
      <c r="C339" s="130">
        <v>9403</v>
      </c>
      <c r="D339" s="129" t="s">
        <v>335</v>
      </c>
    </row>
  </sheetData>
  <mergeCells count="12">
    <mergeCell ref="A233:B233"/>
    <mergeCell ref="A305:B305"/>
    <mergeCell ref="F1:H1"/>
    <mergeCell ref="A1:E1"/>
    <mergeCell ref="A3:D3"/>
    <mergeCell ref="A6:B6"/>
    <mergeCell ref="A12:B12"/>
    <mergeCell ref="A22:B22"/>
    <mergeCell ref="A36:B36"/>
    <mergeCell ref="A38:B38"/>
    <mergeCell ref="A99:B99"/>
    <mergeCell ref="A224:B224"/>
  </mergeCells>
  <pageMargins left="0.75" right="0.33" top="0.68" bottom="0.38" header="0.35" footer="0.24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FF00"/>
  </sheetPr>
  <dimension ref="A1:N123"/>
  <sheetViews>
    <sheetView workbookViewId="0">
      <pane ySplit="4" topLeftCell="A117" activePane="bottomLeft" state="frozen"/>
      <selection activeCell="E6" sqref="E6"/>
      <selection pane="bottomLeft" activeCell="A123" sqref="A123:XFD123"/>
    </sheetView>
  </sheetViews>
  <sheetFormatPr defaultColWidth="13.7109375" defaultRowHeight="18.75"/>
  <cols>
    <col min="1" max="1" width="5.5703125" style="40" customWidth="1"/>
    <col min="2" max="2" width="7" style="40" customWidth="1"/>
    <col min="3" max="3" width="7.140625" style="40" customWidth="1"/>
    <col min="4" max="4" width="7.28515625" style="40" customWidth="1"/>
    <col min="5" max="5" width="6.7109375" style="40" customWidth="1"/>
    <col min="6" max="6" width="40.140625" style="40" customWidth="1"/>
    <col min="7" max="7" width="15.28515625" style="40" customWidth="1"/>
    <col min="8" max="8" width="15" style="40" customWidth="1"/>
    <col min="9" max="9" width="15.42578125" style="40" customWidth="1"/>
    <col min="10" max="10" width="11.7109375" style="40" customWidth="1"/>
    <col min="11" max="11" width="7.5703125" style="40" customWidth="1"/>
    <col min="12" max="12" width="7.28515625" style="40" customWidth="1"/>
    <col min="13" max="16384" width="13.7109375" style="40"/>
  </cols>
  <sheetData>
    <row r="1" spans="1:14" ht="24" customHeight="1">
      <c r="A1" s="979" t="str">
        <f>"KINH PHÍ ĐÃ SỬ DỤNG ĐỀ NGHỊ QUYẾT TOÁN NĂM "&amp;Menu!K4</f>
        <v>KINH PHÍ ĐÃ SỬ DỤNG ĐỀ NGHỊ QUYẾT TOÁN NĂM 2017</v>
      </c>
      <c r="B1" s="979"/>
      <c r="C1" s="979"/>
      <c r="D1" s="979"/>
      <c r="E1" s="979"/>
      <c r="F1" s="979"/>
      <c r="G1" s="979"/>
      <c r="H1" s="979"/>
      <c r="I1" s="979"/>
      <c r="J1" s="979"/>
      <c r="K1" s="979"/>
      <c r="L1" s="979"/>
      <c r="M1" s="146"/>
    </row>
    <row r="2" spans="1:14" ht="11.25" customHeight="1">
      <c r="A2" s="979"/>
      <c r="B2" s="979"/>
      <c r="C2" s="979"/>
      <c r="D2" s="979"/>
      <c r="E2" s="979"/>
      <c r="F2" s="979"/>
      <c r="G2" s="979"/>
      <c r="H2" s="979"/>
      <c r="I2" s="979"/>
      <c r="J2" s="979"/>
      <c r="K2" s="979"/>
      <c r="L2" s="979"/>
      <c r="M2" s="146"/>
    </row>
    <row r="3" spans="1:14" s="78" customFormat="1" ht="15.75">
      <c r="A3" s="980" t="s">
        <v>82</v>
      </c>
      <c r="B3" s="980" t="s">
        <v>83</v>
      </c>
      <c r="C3" s="980" t="s">
        <v>84</v>
      </c>
      <c r="D3" s="980" t="s">
        <v>18</v>
      </c>
      <c r="E3" s="980" t="s">
        <v>85</v>
      </c>
      <c r="F3" s="980" t="s">
        <v>86</v>
      </c>
      <c r="G3" s="980" t="s">
        <v>6</v>
      </c>
      <c r="H3" s="980" t="s">
        <v>87</v>
      </c>
      <c r="I3" s="980"/>
      <c r="J3" s="980"/>
      <c r="K3" s="980"/>
      <c r="L3" s="980" t="s">
        <v>90</v>
      </c>
    </row>
    <row r="4" spans="1:14" s="78" customFormat="1" ht="31.5" customHeight="1">
      <c r="A4" s="980"/>
      <c r="B4" s="980"/>
      <c r="C4" s="980"/>
      <c r="D4" s="980"/>
      <c r="E4" s="980"/>
      <c r="F4" s="980"/>
      <c r="G4" s="980"/>
      <c r="H4" s="79" t="s">
        <v>6</v>
      </c>
      <c r="I4" s="79" t="s">
        <v>32</v>
      </c>
      <c r="J4" s="79" t="s">
        <v>88</v>
      </c>
      <c r="K4" s="79" t="s">
        <v>89</v>
      </c>
      <c r="L4" s="980"/>
    </row>
    <row r="5" spans="1:14" s="43" customFormat="1">
      <c r="A5" s="41" t="s">
        <v>12</v>
      </c>
      <c r="B5" s="41" t="s">
        <v>20</v>
      </c>
      <c r="C5" s="41" t="s">
        <v>21</v>
      </c>
      <c r="D5" s="41" t="s">
        <v>22</v>
      </c>
      <c r="E5" s="41" t="s">
        <v>28</v>
      </c>
      <c r="F5" s="41" t="s">
        <v>33</v>
      </c>
      <c r="G5" s="41">
        <v>1</v>
      </c>
      <c r="H5" s="41">
        <v>2</v>
      </c>
      <c r="I5" s="41">
        <v>3</v>
      </c>
      <c r="J5" s="41">
        <v>4</v>
      </c>
      <c r="K5" s="41">
        <v>5</v>
      </c>
      <c r="L5" s="41">
        <v>6</v>
      </c>
      <c r="M5" s="42"/>
    </row>
    <row r="6" spans="1:14" ht="31.5" customHeight="1">
      <c r="A6" s="44"/>
      <c r="B6" s="45"/>
      <c r="C6" s="44"/>
      <c r="D6" s="44"/>
      <c r="E6" s="44"/>
      <c r="F6" s="452" t="s">
        <v>34</v>
      </c>
      <c r="G6" s="25">
        <f>+H6+L6</f>
        <v>5179755</v>
      </c>
      <c r="H6" s="25">
        <f>+I6+J6+K6</f>
        <v>5179755</v>
      </c>
      <c r="I6" s="25">
        <f>I7+I29+I49+I79+I100+I111</f>
        <v>5179755</v>
      </c>
      <c r="J6" s="26"/>
      <c r="K6" s="26"/>
      <c r="L6" s="26"/>
      <c r="M6" s="46"/>
    </row>
    <row r="7" spans="1:14" ht="22.5" customHeight="1">
      <c r="A7" s="147" t="s">
        <v>35</v>
      </c>
      <c r="B7" s="147">
        <v>102</v>
      </c>
      <c r="C7" s="147"/>
      <c r="D7" s="148"/>
      <c r="E7" s="148"/>
      <c r="F7" s="685" t="s">
        <v>524</v>
      </c>
      <c r="G7" s="62">
        <f>H7+L7</f>
        <v>0</v>
      </c>
      <c r="H7" s="62">
        <f>+I7+J7+K7</f>
        <v>0</v>
      </c>
      <c r="I7" s="62">
        <f>I8+I23</f>
        <v>0</v>
      </c>
      <c r="J7" s="32"/>
      <c r="K7" s="32"/>
      <c r="L7" s="32"/>
      <c r="M7" s="46"/>
      <c r="N7" s="104"/>
    </row>
    <row r="8" spans="1:14" s="43" customFormat="1" ht="18.75" customHeight="1">
      <c r="A8" s="60"/>
      <c r="B8" s="60"/>
      <c r="C8" s="58" t="s">
        <v>30</v>
      </c>
      <c r="D8" s="59"/>
      <c r="E8" s="59"/>
      <c r="F8" s="453" t="s">
        <v>36</v>
      </c>
      <c r="G8" s="61">
        <f t="shared" ref="G8:G14" si="0">H8+L8</f>
        <v>0</v>
      </c>
      <c r="H8" s="61">
        <f t="shared" ref="H8:H14" si="1">SUM(I8:K8)</f>
        <v>0</v>
      </c>
      <c r="I8" s="61">
        <f>+I9+I15+I19</f>
        <v>0</v>
      </c>
      <c r="J8" s="61"/>
      <c r="K8" s="61"/>
      <c r="L8" s="61"/>
      <c r="M8" s="55"/>
    </row>
    <row r="9" spans="1:14" s="30" customFormat="1" ht="18.75" customHeight="1">
      <c r="A9" s="36"/>
      <c r="B9" s="34"/>
      <c r="C9" s="48"/>
      <c r="D9" s="34">
        <v>6650</v>
      </c>
      <c r="E9" s="34"/>
      <c r="F9" s="454" t="s">
        <v>222</v>
      </c>
      <c r="G9" s="37">
        <f t="shared" si="0"/>
        <v>0</v>
      </c>
      <c r="H9" s="37">
        <f t="shared" si="1"/>
        <v>0</v>
      </c>
      <c r="I9" s="37">
        <f>SUM(I10:I14)</f>
        <v>0</v>
      </c>
      <c r="J9" s="37">
        <f>SUM(J10:J14)</f>
        <v>0</v>
      </c>
      <c r="K9" s="37">
        <f>SUM(K10:K14)</f>
        <v>0</v>
      </c>
      <c r="L9" s="37"/>
    </row>
    <row r="10" spans="1:14" s="46" customFormat="1" ht="18.75" customHeight="1">
      <c r="A10" s="49"/>
      <c r="B10" s="35"/>
      <c r="C10" s="50"/>
      <c r="D10" s="35"/>
      <c r="E10" s="35">
        <v>6651</v>
      </c>
      <c r="F10" s="455" t="s">
        <v>38</v>
      </c>
      <c r="G10" s="33">
        <f t="shared" si="0"/>
        <v>0</v>
      </c>
      <c r="H10" s="33">
        <f t="shared" si="1"/>
        <v>0</v>
      </c>
      <c r="I10" s="33">
        <f>SUM(SUMIFS(GTNDKT1,MUC,$B$7,MaNDKT1,$E10),SUMIFS(GTNDKT2,MUC,$B$7,MaNDKT2,$E10),SUMIFS(GTNDKT3,MUC,$B$7,MaNDKT3,$E10),SUMIFS(GTNDKT4,MUC,$B$7,MaNDKT4,$E10),SUMIFS(GTNDKT5,MUC,$B$7,MaNDKT5,$E10),SUMIFS(GTNDKT6,MUC,$B$7,MaNDKT6,$E10),SUMIFS(GTNDKT7,MUC,$B$7,MaNDKT7,$E10))</f>
        <v>0</v>
      </c>
      <c r="J10" s="33"/>
      <c r="K10" s="33"/>
      <c r="L10" s="33"/>
    </row>
    <row r="11" spans="1:14" s="46" customFormat="1" ht="18.75" customHeight="1">
      <c r="A11" s="49"/>
      <c r="B11" s="35"/>
      <c r="C11" s="50"/>
      <c r="D11" s="35"/>
      <c r="E11" s="35">
        <v>6655</v>
      </c>
      <c r="F11" s="455" t="s">
        <v>39</v>
      </c>
      <c r="G11" s="33">
        <f t="shared" si="0"/>
        <v>0</v>
      </c>
      <c r="H11" s="33">
        <f t="shared" si="1"/>
        <v>0</v>
      </c>
      <c r="I11" s="33">
        <f>SUM(SUMIFS(GTNDKT1,MUC,$B$7,MaNDKT1,$E11),SUMIFS(GTNDKT2,MUC,$B$7,MaNDKT2,$E11),SUMIFS(GTNDKT3,MUC,$B$7,MaNDKT3,$E11),SUMIFS(GTNDKT4,MUC,$B$7,MaNDKT4,$E11),SUMIFS(GTNDKT5,MUC,$B$7,MaNDKT5,$E11),SUMIFS(GTNDKT6,MUC,$B$7,MaNDKT6,$E11),SUMIFS(GTNDKT7,MUC,$B$7,MaNDKT7,$E11))</f>
        <v>0</v>
      </c>
      <c r="J11" s="33"/>
      <c r="K11" s="33"/>
      <c r="L11" s="33"/>
    </row>
    <row r="12" spans="1:14" s="46" customFormat="1" ht="18.75" customHeight="1">
      <c r="A12" s="49"/>
      <c r="B12" s="35"/>
      <c r="C12" s="50"/>
      <c r="D12" s="35"/>
      <c r="E12" s="35">
        <v>6652</v>
      </c>
      <c r="F12" s="455" t="s">
        <v>237</v>
      </c>
      <c r="G12" s="33">
        <f t="shared" si="0"/>
        <v>0</v>
      </c>
      <c r="H12" s="33">
        <f t="shared" si="1"/>
        <v>0</v>
      </c>
      <c r="I12" s="33">
        <f>SUM(SUMIFS(GTNDKT1,MUC,$B$7,MaNDKT1,$E12),SUMIFS(GTNDKT2,MUC,$B$7,MaNDKT2,$E12),SUMIFS(GTNDKT3,MUC,$B$7,MaNDKT3,$E12),SUMIFS(GTNDKT4,MUC,$B$7,MaNDKT4,$E12),SUMIFS(GTNDKT5,MUC,$B$7,MaNDKT5,$E12),SUMIFS(GTNDKT6,MUC,$B$7,MaNDKT6,$E12),SUMIFS(GTNDKT7,MUC,$B$7,MaNDKT7,$E12))</f>
        <v>0</v>
      </c>
      <c r="J12" s="33"/>
      <c r="K12" s="33"/>
      <c r="L12" s="33"/>
    </row>
    <row r="13" spans="1:14" s="46" customFormat="1" ht="18.75" hidden="1" customHeight="1">
      <c r="A13" s="49"/>
      <c r="B13" s="35"/>
      <c r="C13" s="50"/>
      <c r="D13" s="35"/>
      <c r="E13" s="35">
        <v>6658</v>
      </c>
      <c r="F13" s="455" t="s">
        <v>40</v>
      </c>
      <c r="G13" s="33">
        <f t="shared" si="0"/>
        <v>0</v>
      </c>
      <c r="H13" s="33">
        <f t="shared" si="1"/>
        <v>0</v>
      </c>
      <c r="I13" s="33">
        <f>SUM(SUMIFS(GTNDKT1,MUC,$B$7,MaNDKT1,$E13),SUMIFS(GTNDKT2,MUC,$B$7,MaNDKT2,$E13),SUMIFS(GTNDKT3,MUC,$B$7,MaNDKT3,$E13),SUMIFS(GTNDKT4,MUC,$B$7,MaNDKT4,$E13),SUMIFS(GTNDKT5,MUC,$B$7,MaNDKT5,$E13),SUMIFS(GTNDKT6,MUC,$B$7,MaNDKT6,$E13),SUMIFS(GTNDKT7,MUC,$B$7,MaNDKT7,$E13))</f>
        <v>0</v>
      </c>
      <c r="J13" s="33"/>
      <c r="K13" s="33"/>
      <c r="L13" s="33"/>
    </row>
    <row r="14" spans="1:14" s="46" customFormat="1" ht="18.75" customHeight="1">
      <c r="A14" s="49"/>
      <c r="B14" s="35"/>
      <c r="C14" s="50"/>
      <c r="D14" s="35"/>
      <c r="E14" s="35">
        <v>6699</v>
      </c>
      <c r="F14" s="455" t="s">
        <v>41</v>
      </c>
      <c r="G14" s="33">
        <f t="shared" si="0"/>
        <v>0</v>
      </c>
      <c r="H14" s="33">
        <f t="shared" si="1"/>
        <v>0</v>
      </c>
      <c r="I14" s="33">
        <f>SUM(SUMIFS(GTNDKT1,MUC,$B$7,MaNDKT1,$E14),SUMIFS(GTNDKT2,MUC,$B$7,MaNDKT2,$E14),SUMIFS(GTNDKT3,MUC,$B$7,MaNDKT3,$E14),SUMIFS(GTNDKT4,MUC,$B$7,MaNDKT4,$E14),SUMIFS(GTNDKT5,MUC,$B$7,MaNDKT5,$E14),SUMIFS(GTNDKT6,MUC,$B$7,MaNDKT6,$E14),SUMIFS(GTNDKT7,MUC,$B$7,MaNDKT7,$E14))</f>
        <v>0</v>
      </c>
      <c r="J14" s="33"/>
      <c r="K14" s="33"/>
      <c r="L14" s="33"/>
    </row>
    <row r="15" spans="1:14" s="30" customFormat="1" ht="18.75" hidden="1" customHeight="1">
      <c r="A15" s="36"/>
      <c r="B15" s="34"/>
      <c r="C15" s="48"/>
      <c r="D15" s="34">
        <v>6700</v>
      </c>
      <c r="E15" s="34"/>
      <c r="F15" s="454" t="s">
        <v>42</v>
      </c>
      <c r="G15" s="37">
        <f t="shared" ref="G15:G80" si="2">H15+L15</f>
        <v>0</v>
      </c>
      <c r="H15" s="37">
        <f>SUM(I15:K15)</f>
        <v>0</v>
      </c>
      <c r="I15" s="37">
        <f>SUM(I16:I18)</f>
        <v>0</v>
      </c>
      <c r="J15" s="37">
        <f>SUM(J16:J18)</f>
        <v>0</v>
      </c>
      <c r="K15" s="37">
        <f>SUM(K16:K18)</f>
        <v>0</v>
      </c>
      <c r="L15" s="37"/>
    </row>
    <row r="16" spans="1:14" ht="18.75" hidden="1" customHeight="1">
      <c r="A16" s="47"/>
      <c r="B16" s="51"/>
      <c r="C16" s="50"/>
      <c r="D16" s="35"/>
      <c r="E16" s="35">
        <v>6702</v>
      </c>
      <c r="F16" s="455" t="s">
        <v>43</v>
      </c>
      <c r="G16" s="33">
        <f t="shared" si="2"/>
        <v>0</v>
      </c>
      <c r="H16" s="33">
        <f t="shared" ref="H16:H80" si="3">SUM(I16:K16)</f>
        <v>0</v>
      </c>
      <c r="I16" s="33">
        <f>SUM(SUMIFS(GTNDKT1,MUC,$B$7,MaNDKT1,$E16),SUMIFS(GTNDKT2,MUC,$B$7,MaNDKT2,$E16),SUMIFS(GTNDKT3,MUC,$B$7,MaNDKT3,$E16),SUMIFS(GTNDKT4,MUC,$B$7,MaNDKT4,$E16),SUMIFS(GTNDKT5,MUC,$B$7,MaNDKT5,$E16),SUMIFS(GTNDKT6,MUC,$B$7,MaNDKT6,$E16),SUMIFS(GTNDKT7,MUC,$B$7,MaNDKT7,$E16))</f>
        <v>0</v>
      </c>
      <c r="J16" s="33"/>
      <c r="K16" s="33"/>
      <c r="L16" s="33"/>
      <c r="M16" s="46"/>
    </row>
    <row r="17" spans="1:13" ht="18.75" hidden="1" customHeight="1">
      <c r="A17" s="47"/>
      <c r="B17" s="51"/>
      <c r="C17" s="50"/>
      <c r="D17" s="35"/>
      <c r="E17" s="35">
        <v>6703</v>
      </c>
      <c r="F17" s="455" t="s">
        <v>44</v>
      </c>
      <c r="G17" s="33">
        <f t="shared" si="2"/>
        <v>0</v>
      </c>
      <c r="H17" s="33">
        <f t="shared" si="3"/>
        <v>0</v>
      </c>
      <c r="I17" s="33">
        <f>SUM(SUMIFS(GTNDKT1,MUC,$B$7,MaNDKT1,$E17),SUMIFS(GTNDKT2,MUC,$B$7,MaNDKT2,$E17),SUMIFS(GTNDKT3,MUC,$B$7,MaNDKT3,$E17),SUMIFS(GTNDKT4,MUC,$B$7,MaNDKT4,$E17),SUMIFS(GTNDKT5,MUC,$B$7,MaNDKT5,$E17),SUMIFS(GTNDKT6,MUC,$B$7,MaNDKT6,$E17),SUMIFS(GTNDKT7,MUC,$B$7,MaNDKT7,$E17))</f>
        <v>0</v>
      </c>
      <c r="J17" s="33"/>
      <c r="K17" s="33"/>
      <c r="L17" s="33"/>
      <c r="M17" s="46"/>
    </row>
    <row r="18" spans="1:13" ht="18.75" hidden="1" customHeight="1">
      <c r="A18" s="47"/>
      <c r="B18" s="51"/>
      <c r="C18" s="50"/>
      <c r="D18" s="35"/>
      <c r="E18" s="35">
        <v>6749</v>
      </c>
      <c r="F18" s="455" t="s">
        <v>19</v>
      </c>
      <c r="G18" s="33">
        <f t="shared" si="2"/>
        <v>0</v>
      </c>
      <c r="H18" s="33">
        <f t="shared" si="3"/>
        <v>0</v>
      </c>
      <c r="I18" s="33">
        <f>SUM(SUMIFS(GTNDKT1,MUC,$B$7,MaNDKT1,$E18),SUMIFS(GTNDKT2,MUC,$B$7,MaNDKT2,$E18),SUMIFS(GTNDKT3,MUC,$B$7,MaNDKT3,$E18),SUMIFS(GTNDKT4,MUC,$B$7,MaNDKT4,$E18),SUMIFS(GTNDKT5,MUC,$B$7,MaNDKT5,$E18),SUMIFS(GTNDKT6,MUC,$B$7,MaNDKT6,$E18),SUMIFS(GTNDKT7,MUC,$B$7,MaNDKT7,$E18))</f>
        <v>0</v>
      </c>
      <c r="J18" s="33"/>
      <c r="K18" s="33"/>
      <c r="L18" s="33"/>
      <c r="M18" s="46"/>
    </row>
    <row r="19" spans="1:13" s="30" customFormat="1" ht="18.75" hidden="1" customHeight="1">
      <c r="A19" s="36"/>
      <c r="B19" s="34"/>
      <c r="C19" s="48"/>
      <c r="D19" s="34">
        <v>7000</v>
      </c>
      <c r="E19" s="34"/>
      <c r="F19" s="454" t="s">
        <v>45</v>
      </c>
      <c r="G19" s="37">
        <f t="shared" si="2"/>
        <v>0</v>
      </c>
      <c r="H19" s="37">
        <f t="shared" si="3"/>
        <v>0</v>
      </c>
      <c r="I19" s="37">
        <f>SUM(I20:I22)</f>
        <v>0</v>
      </c>
      <c r="J19" s="37">
        <f>SUM(J20:J21)</f>
        <v>0</v>
      </c>
      <c r="K19" s="37">
        <f>SUM(K20:K21)</f>
        <v>0</v>
      </c>
      <c r="L19" s="37"/>
    </row>
    <row r="20" spans="1:13" ht="33" hidden="1" customHeight="1">
      <c r="A20" s="47"/>
      <c r="B20" s="51"/>
      <c r="C20" s="50"/>
      <c r="D20" s="35"/>
      <c r="E20" s="35">
        <v>7003</v>
      </c>
      <c r="F20" s="455" t="s">
        <v>46</v>
      </c>
      <c r="G20" s="33">
        <f t="shared" si="2"/>
        <v>0</v>
      </c>
      <c r="H20" s="33">
        <f t="shared" si="3"/>
        <v>0</v>
      </c>
      <c r="I20" s="33">
        <f>SUM(SUMIFS(GTNDKT1,MUC,$B$7,MaNDKT1,$E20),SUMIFS(GTNDKT2,MUC,$B$7,MaNDKT2,$E20),SUMIFS(GTNDKT3,MUC,$B$7,MaNDKT3,$E20),SUMIFS(GTNDKT4,MUC,$B$7,MaNDKT4,$E20),SUMIFS(GTNDKT5,MUC,$B$7,MaNDKT5,$E20),SUMIFS(GTNDKT6,MUC,$B$7,MaNDKT6,$E20),SUMIFS(GTNDKT7,MUC,$B$7,MaNDKT7,$E20))</f>
        <v>0</v>
      </c>
      <c r="J20" s="33"/>
      <c r="K20" s="33"/>
      <c r="L20" s="33"/>
      <c r="M20" s="46"/>
    </row>
    <row r="21" spans="1:13" ht="18.75" hidden="1" customHeight="1">
      <c r="A21" s="47"/>
      <c r="B21" s="51"/>
      <c r="C21" s="50"/>
      <c r="D21" s="35"/>
      <c r="E21" s="35">
        <v>7012</v>
      </c>
      <c r="F21" s="455" t="s">
        <v>47</v>
      </c>
      <c r="G21" s="33">
        <f t="shared" si="2"/>
        <v>0</v>
      </c>
      <c r="H21" s="33">
        <f t="shared" si="3"/>
        <v>0</v>
      </c>
      <c r="I21" s="33">
        <f>SUM(SUMIFS(GTNDKT1,MUC,$B$7,MaNDKT1,$E21),SUMIFS(GTNDKT2,MUC,$B$7,MaNDKT2,$E21),SUMIFS(GTNDKT3,MUC,$B$7,MaNDKT3,$E21),SUMIFS(GTNDKT4,MUC,$B$7,MaNDKT4,$E21),SUMIFS(GTNDKT5,MUC,$B$7,MaNDKT5,$E21),SUMIFS(GTNDKT6,MUC,$B$7,MaNDKT6,$E21),SUMIFS(GTNDKT7,MUC,$B$7,MaNDKT7,$E21))</f>
        <v>0</v>
      </c>
      <c r="J21" s="33"/>
      <c r="K21" s="33"/>
      <c r="L21" s="33"/>
      <c r="M21" s="46"/>
    </row>
    <row r="22" spans="1:13" ht="18.75" hidden="1" customHeight="1">
      <c r="A22" s="47"/>
      <c r="B22" s="51"/>
      <c r="C22" s="50"/>
      <c r="D22" s="35"/>
      <c r="E22" s="35">
        <v>7049</v>
      </c>
      <c r="F22" s="455" t="s">
        <v>41</v>
      </c>
      <c r="G22" s="33">
        <f t="shared" si="2"/>
        <v>0</v>
      </c>
      <c r="H22" s="33">
        <f t="shared" si="3"/>
        <v>0</v>
      </c>
      <c r="I22" s="33">
        <f>SUM(SUMIFS(GTNDKT1,MUC,$B$7,MaNDKT1,$E22),SUMIFS(GTNDKT2,MUC,$B$7,MaNDKT2,$E22),SUMIFS(GTNDKT3,MUC,$B$7,MaNDKT3,$E22),SUMIFS(GTNDKT4,MUC,$B$7,MaNDKT4,$E22),SUMIFS(GTNDKT5,MUC,$B$7,MaNDKT5,$E22),SUMIFS(GTNDKT6,MUC,$B$7,MaNDKT6,$E22),SUMIFS(GTNDKT7,MUC,$B$7,MaNDKT7,$E22))</f>
        <v>0</v>
      </c>
      <c r="J22" s="33"/>
      <c r="K22" s="33"/>
      <c r="L22" s="33"/>
      <c r="M22" s="46"/>
    </row>
    <row r="23" spans="1:13" s="43" customFormat="1" ht="18.75" customHeight="1">
      <c r="A23" s="60"/>
      <c r="B23" s="60"/>
      <c r="C23" s="58" t="s">
        <v>31</v>
      </c>
      <c r="D23" s="59"/>
      <c r="E23" s="59"/>
      <c r="F23" s="453" t="s">
        <v>48</v>
      </c>
      <c r="G23" s="61">
        <f t="shared" si="2"/>
        <v>0</v>
      </c>
      <c r="H23" s="61">
        <f t="shared" si="3"/>
        <v>0</v>
      </c>
      <c r="I23" s="61">
        <f>+I24</f>
        <v>0</v>
      </c>
      <c r="J23" s="61"/>
      <c r="K23" s="61"/>
      <c r="L23" s="61"/>
      <c r="M23" s="55"/>
    </row>
    <row r="24" spans="1:13" s="30" customFormat="1" ht="18.75" customHeight="1">
      <c r="A24" s="36"/>
      <c r="B24" s="34"/>
      <c r="C24" s="48"/>
      <c r="D24" s="34">
        <v>7750</v>
      </c>
      <c r="E24" s="34"/>
      <c r="F24" s="454" t="s">
        <v>48</v>
      </c>
      <c r="G24" s="37">
        <f t="shared" si="2"/>
        <v>0</v>
      </c>
      <c r="H24" s="37">
        <f t="shared" si="3"/>
        <v>0</v>
      </c>
      <c r="I24" s="37">
        <f>SUM(I25:I28)</f>
        <v>0</v>
      </c>
      <c r="J24" s="37">
        <f>SUM(J25:J27)</f>
        <v>0</v>
      </c>
      <c r="K24" s="37">
        <f>SUM(K25:K27)</f>
        <v>0</v>
      </c>
      <c r="L24" s="37"/>
    </row>
    <row r="25" spans="1:13" ht="18.75" hidden="1" customHeight="1">
      <c r="A25" s="47"/>
      <c r="B25" s="51"/>
      <c r="C25" s="50"/>
      <c r="D25" s="35"/>
      <c r="E25" s="35">
        <v>7752</v>
      </c>
      <c r="F25" s="455" t="s">
        <v>49</v>
      </c>
      <c r="G25" s="33">
        <f t="shared" si="2"/>
        <v>0</v>
      </c>
      <c r="H25" s="33">
        <f t="shared" si="3"/>
        <v>0</v>
      </c>
      <c r="I25" s="33">
        <f>SUM(SUMIFS(GTNDKT1,MUC,$B$7,MaNDKT1,$E25),SUMIFS(GTNDKT2,MUC,$B$7,MaNDKT2,$E25),SUMIFS(GTNDKT3,MUC,$B$7,MaNDKT3,$E25),SUMIFS(GTNDKT4,MUC,$B$7,MaNDKT4,$E25),SUMIFS(GTNDKT5,MUC,$B$7,MaNDKT5,$E25),SUMIFS(GTNDKT6,MUC,$B$7,MaNDKT6,$E25),SUMIFS(GTNDKT7,MUC,$B$7,MaNDKT7,$E25))</f>
        <v>0</v>
      </c>
      <c r="J25" s="33"/>
      <c r="K25" s="33"/>
      <c r="L25" s="33"/>
      <c r="M25" s="46"/>
    </row>
    <row r="26" spans="1:13" ht="18.75" customHeight="1">
      <c r="A26" s="47"/>
      <c r="B26" s="51"/>
      <c r="C26" s="50"/>
      <c r="D26" s="35"/>
      <c r="E26" s="35">
        <v>7758</v>
      </c>
      <c r="F26" s="455" t="s">
        <v>50</v>
      </c>
      <c r="G26" s="33">
        <f t="shared" si="2"/>
        <v>0</v>
      </c>
      <c r="H26" s="33">
        <f t="shared" si="3"/>
        <v>0</v>
      </c>
      <c r="I26" s="33">
        <f>SUM(SUMIFS(GTNDKT1,MUC,$B$7,MaNDKT1,$E26),SUMIFS(GTNDKT2,MUC,$B$7,MaNDKT2,$E26),SUMIFS(GTNDKT3,MUC,$B$7,MaNDKT3,$E26),SUMIFS(GTNDKT4,MUC,$B$7,MaNDKT4,$E26),SUMIFS(GTNDKT5,MUC,$B$7,MaNDKT5,$E26),SUMIFS(GTNDKT6,MUC,$B$7,MaNDKT6,$E26),SUMIFS(GTNDKT7,MUC,$B$7,MaNDKT7,$E26))</f>
        <v>0</v>
      </c>
      <c r="J26" s="33"/>
      <c r="K26" s="33"/>
      <c r="L26" s="33"/>
      <c r="M26" s="46"/>
    </row>
    <row r="27" spans="1:13" ht="18.75" customHeight="1">
      <c r="A27" s="47"/>
      <c r="B27" s="51"/>
      <c r="C27" s="50"/>
      <c r="D27" s="35"/>
      <c r="E27" s="35">
        <v>7761</v>
      </c>
      <c r="F27" s="455" t="s">
        <v>51</v>
      </c>
      <c r="G27" s="33">
        <f t="shared" si="2"/>
        <v>0</v>
      </c>
      <c r="H27" s="33">
        <f t="shared" si="3"/>
        <v>0</v>
      </c>
      <c r="I27" s="33">
        <f>SUM(SUMIFS(GTNDKT1,MUC,$B$7,MaNDKT1,$E27),SUMIFS(GTNDKT2,MUC,$B$7,MaNDKT2,$E27),SUMIFS(GTNDKT3,MUC,$B$7,MaNDKT3,$E27),SUMIFS(GTNDKT4,MUC,$B$7,MaNDKT4,$E27),SUMIFS(GTNDKT5,MUC,$B$7,MaNDKT5,$E27),SUMIFS(GTNDKT6,MUC,$B$7,MaNDKT6,$E27),SUMIFS(GTNDKT7,MUC,$B$7,MaNDKT7,$E27))</f>
        <v>0</v>
      </c>
      <c r="J27" s="33"/>
      <c r="K27" s="33"/>
      <c r="L27" s="33"/>
      <c r="M27" s="46"/>
    </row>
    <row r="28" spans="1:13" ht="18.75" hidden="1" customHeight="1">
      <c r="A28" s="52"/>
      <c r="B28" s="53"/>
      <c r="C28" s="54"/>
      <c r="D28" s="38"/>
      <c r="E28" s="38">
        <v>7799</v>
      </c>
      <c r="F28" s="456" t="s">
        <v>52</v>
      </c>
      <c r="G28" s="39">
        <f t="shared" si="2"/>
        <v>0</v>
      </c>
      <c r="H28" s="39">
        <f t="shared" si="3"/>
        <v>0</v>
      </c>
      <c r="I28" s="33">
        <f>SUM(SUMIFS(GTNDKT1,MUC,$B$7,MaNDKT1,$E28),SUMIFS(GTNDKT2,MUC,$B$7,MaNDKT2,$E28),SUMIFS(GTNDKT3,MUC,$B$7,MaNDKT3,$E28),SUMIFS(GTNDKT4,MUC,$B$7,MaNDKT4,$E28),SUMIFS(GTNDKT5,MUC,$B$7,MaNDKT5,$E28),SUMIFS(GTNDKT6,MUC,$B$7,MaNDKT6,$E28),SUMIFS(GTNDKT7,MUC,$B$7,MaNDKT7,$E28))</f>
        <v>0</v>
      </c>
      <c r="J28" s="39"/>
      <c r="K28" s="39"/>
      <c r="L28" s="39"/>
      <c r="M28" s="46"/>
    </row>
    <row r="29" spans="1:13" ht="24" customHeight="1">
      <c r="A29" s="147">
        <v>190</v>
      </c>
      <c r="B29" s="147">
        <v>194</v>
      </c>
      <c r="C29" s="147"/>
      <c r="D29" s="148"/>
      <c r="E29" s="148"/>
      <c r="F29" s="686" t="s">
        <v>525</v>
      </c>
      <c r="G29" s="62">
        <f t="shared" ref="G29:G48" si="4">H29+L29</f>
        <v>0</v>
      </c>
      <c r="H29" s="62">
        <f>+I29+J29+K29</f>
        <v>0</v>
      </c>
      <c r="I29" s="62">
        <f>SUM(I30,I43)</f>
        <v>0</v>
      </c>
      <c r="J29" s="32"/>
      <c r="K29" s="32"/>
      <c r="L29" s="32"/>
      <c r="M29" s="46"/>
    </row>
    <row r="30" spans="1:13" s="43" customFormat="1" ht="18" customHeight="1">
      <c r="A30" s="60"/>
      <c r="B30" s="60"/>
      <c r="C30" s="58" t="s">
        <v>30</v>
      </c>
      <c r="D30" s="59"/>
      <c r="E30" s="59"/>
      <c r="F30" s="453" t="s">
        <v>36</v>
      </c>
      <c r="G30" s="61">
        <f t="shared" si="4"/>
        <v>0</v>
      </c>
      <c r="H30" s="61">
        <f t="shared" ref="H30:H37" si="5">SUM(I30:K30)</f>
        <v>0</v>
      </c>
      <c r="I30" s="61">
        <f>+I31+I35+I38</f>
        <v>0</v>
      </c>
      <c r="J30" s="61"/>
      <c r="K30" s="61"/>
      <c r="L30" s="61"/>
      <c r="M30" s="55"/>
    </row>
    <row r="31" spans="1:13" s="31" customFormat="1" ht="18" customHeight="1">
      <c r="A31" s="36"/>
      <c r="B31" s="36"/>
      <c r="C31" s="48"/>
      <c r="D31" s="36">
        <v>6700</v>
      </c>
      <c r="E31" s="36"/>
      <c r="F31" s="454" t="s">
        <v>42</v>
      </c>
      <c r="G31" s="37">
        <f t="shared" si="4"/>
        <v>0</v>
      </c>
      <c r="H31" s="37">
        <f t="shared" si="5"/>
        <v>0</v>
      </c>
      <c r="I31" s="37">
        <f>SUM(I32:I34)</f>
        <v>0</v>
      </c>
      <c r="J31" s="63">
        <f>SUM(J32:J34)</f>
        <v>0</v>
      </c>
      <c r="K31" s="63">
        <f>SUM(K32:K34)</f>
        <v>0</v>
      </c>
      <c r="L31" s="63"/>
      <c r="M31" s="30"/>
    </row>
    <row r="32" spans="1:13" ht="18" hidden="1" customHeight="1">
      <c r="A32" s="49"/>
      <c r="B32" s="49"/>
      <c r="C32" s="50"/>
      <c r="D32" s="49"/>
      <c r="E32" s="49">
        <v>6702</v>
      </c>
      <c r="F32" s="455" t="s">
        <v>43</v>
      </c>
      <c r="G32" s="33">
        <f t="shared" si="4"/>
        <v>0</v>
      </c>
      <c r="H32" s="33">
        <f t="shared" si="5"/>
        <v>0</v>
      </c>
      <c r="I32" s="33">
        <f>SUM(SUMIFS(GTNDKT1,MUC,$B$29,MaNDKT1,$E32),SUMIFS(GTNDKT2,MUC,$B$29,MaNDKT2,$E32),SUMIFS(GTNDKT3,MUC,$B$29,MaNDKT3,$E32),SUMIFS(GTNDKT4,MUC,$B$29,MaNDKT4,$E32),SUMIFS(GTNDKT5,MUC,$B$29,MaNDKT5,$E32),SUMIFS(GTNDKT6,MUC,$B$29,MaNDKT6,$E32),SUMIFS(GTNDKT7,MUC,$B$29,MaNDKT7,$E32))</f>
        <v>0</v>
      </c>
      <c r="J32" s="64"/>
      <c r="K32" s="64"/>
      <c r="L32" s="64"/>
      <c r="M32" s="46"/>
    </row>
    <row r="33" spans="1:13" ht="18" customHeight="1">
      <c r="A33" s="49"/>
      <c r="B33" s="49"/>
      <c r="C33" s="50"/>
      <c r="D33" s="49"/>
      <c r="E33" s="49">
        <v>6703</v>
      </c>
      <c r="F33" s="455" t="s">
        <v>44</v>
      </c>
      <c r="G33" s="33">
        <f t="shared" si="4"/>
        <v>0</v>
      </c>
      <c r="H33" s="33">
        <f t="shared" si="5"/>
        <v>0</v>
      </c>
      <c r="I33" s="33">
        <f>SUM(SUMIFS(GTNDKT1,MUC,$B$29,MaNDKT1,$E33),SUMIFS(GTNDKT2,MUC,$B$29,MaNDKT2,$E33),SUMIFS(GTNDKT3,MUC,$B$29,MaNDKT3,$E33),SUMIFS(GTNDKT4,MUC,$B$29,MaNDKT4,$E33),SUMIFS(GTNDKT5,MUC,$B$29,MaNDKT5,$E33),SUMIFS(GTNDKT6,MUC,$B$29,MaNDKT6,$E33),SUMIFS(GTNDKT7,MUC,$B$29,MaNDKT7,$E33))</f>
        <v>0</v>
      </c>
      <c r="J33" s="64"/>
      <c r="K33" s="64"/>
      <c r="L33" s="64"/>
      <c r="M33" s="46"/>
    </row>
    <row r="34" spans="1:13" ht="18" customHeight="1">
      <c r="A34" s="49"/>
      <c r="B34" s="49"/>
      <c r="C34" s="50"/>
      <c r="D34" s="49"/>
      <c r="E34" s="49">
        <v>6749</v>
      </c>
      <c r="F34" s="455" t="s">
        <v>19</v>
      </c>
      <c r="G34" s="33">
        <f t="shared" si="4"/>
        <v>0</v>
      </c>
      <c r="H34" s="33">
        <f t="shared" si="5"/>
        <v>0</v>
      </c>
      <c r="I34" s="33">
        <f>SUM(SUMIFS(GTNDKT1,MUC,$B$29,MaNDKT1,$E34),SUMIFS(GTNDKT2,MUC,$B$29,MaNDKT2,$E34),SUMIFS(GTNDKT3,MUC,$B$29,MaNDKT3,$E34),SUMIFS(GTNDKT4,MUC,$B$29,MaNDKT4,$E34),SUMIFS(GTNDKT5,MUC,$B$29,MaNDKT5,$E34),SUMIFS(GTNDKT6,MUC,$B$29,MaNDKT6,$E34),SUMIFS(GTNDKT7,MUC,$B$29,MaNDKT7,$E34))</f>
        <v>0</v>
      </c>
      <c r="J34" s="64"/>
      <c r="K34" s="64"/>
      <c r="L34" s="64"/>
      <c r="M34" s="46"/>
    </row>
    <row r="35" spans="1:13" s="31" customFormat="1" ht="18" customHeight="1">
      <c r="A35" s="36"/>
      <c r="B35" s="36"/>
      <c r="C35" s="48"/>
      <c r="D35" s="36">
        <v>6750</v>
      </c>
      <c r="E35" s="36"/>
      <c r="F35" s="454" t="s">
        <v>58</v>
      </c>
      <c r="G35" s="37">
        <f t="shared" si="4"/>
        <v>0</v>
      </c>
      <c r="H35" s="37">
        <f t="shared" si="5"/>
        <v>0</v>
      </c>
      <c r="I35" s="37">
        <f>SUM(I36:I37)</f>
        <v>0</v>
      </c>
      <c r="J35" s="63"/>
      <c r="K35" s="63"/>
      <c r="L35" s="63"/>
      <c r="M35" s="30"/>
    </row>
    <row r="36" spans="1:13" ht="18" customHeight="1">
      <c r="A36" s="49"/>
      <c r="B36" s="49"/>
      <c r="C36" s="50"/>
      <c r="D36" s="67"/>
      <c r="E36" s="49">
        <v>6751</v>
      </c>
      <c r="F36" s="455" t="s">
        <v>59</v>
      </c>
      <c r="G36" s="33">
        <f t="shared" si="4"/>
        <v>0</v>
      </c>
      <c r="H36" s="33">
        <f t="shared" si="5"/>
        <v>0</v>
      </c>
      <c r="I36" s="33">
        <f>SUM(SUMIFS(GTNDKT1,MUC,$B$29,MaNDKT1,$E36),SUMIFS(GTNDKT2,MUC,$B$29,MaNDKT2,$E36),SUMIFS(GTNDKT3,MUC,$B$29,MaNDKT3,$E36),SUMIFS(GTNDKT4,MUC,$B$29,MaNDKT4,$E36),SUMIFS(GTNDKT5,MUC,$B$29,MaNDKT5,$E36),SUMIFS(GTNDKT6,MUC,$B$29,MaNDKT6,$E36),SUMIFS(GTNDKT7,MUC,$B$29,MaNDKT7,$E36))</f>
        <v>0</v>
      </c>
      <c r="J36" s="64"/>
      <c r="K36" s="64"/>
      <c r="L36" s="64"/>
      <c r="M36" s="46"/>
    </row>
    <row r="37" spans="1:13" ht="18" customHeight="1">
      <c r="A37" s="49"/>
      <c r="B37" s="49"/>
      <c r="C37" s="50"/>
      <c r="D37" s="49"/>
      <c r="E37" s="49">
        <v>6799</v>
      </c>
      <c r="F37" s="455" t="s">
        <v>60</v>
      </c>
      <c r="G37" s="33">
        <f t="shared" si="4"/>
        <v>0</v>
      </c>
      <c r="H37" s="33">
        <f t="shared" si="5"/>
        <v>0</v>
      </c>
      <c r="I37" s="33">
        <f>SUM(SUMIFS(GTNDKT1,MUC,$B$29,MaNDKT1,$E37),SUMIFS(GTNDKT2,MUC,$B$29,MaNDKT2,$E37),SUMIFS(GTNDKT3,MUC,$B$29,MaNDKT3,$E37),SUMIFS(GTNDKT4,MUC,$B$29,MaNDKT4,$E37),SUMIFS(GTNDKT5,MUC,$B$29,MaNDKT5,$E37),SUMIFS(GTNDKT6,MUC,$B$29,MaNDKT6,$E37),SUMIFS(GTNDKT7,MUC,$B$29,MaNDKT7,$E37))</f>
        <v>0</v>
      </c>
      <c r="J37" s="64"/>
      <c r="K37" s="64"/>
      <c r="L37" s="64"/>
      <c r="M37" s="46"/>
    </row>
    <row r="38" spans="1:13" s="31" customFormat="1" ht="18" customHeight="1">
      <c r="A38" s="36"/>
      <c r="B38" s="36"/>
      <c r="C38" s="48"/>
      <c r="D38" s="36">
        <v>7000</v>
      </c>
      <c r="E38" s="36"/>
      <c r="F38" s="454" t="s">
        <v>45</v>
      </c>
      <c r="G38" s="37">
        <f t="shared" si="4"/>
        <v>0</v>
      </c>
      <c r="H38" s="37">
        <f t="shared" ref="H38:H48" si="6">SUM(I38:K38)</f>
        <v>0</v>
      </c>
      <c r="I38" s="37">
        <f>SUM(I40:I42)</f>
        <v>0</v>
      </c>
      <c r="J38" s="63">
        <f>SUM(J40:J41)</f>
        <v>0</v>
      </c>
      <c r="K38" s="63">
        <f>SUM(K40:K41)</f>
        <v>0</v>
      </c>
      <c r="L38" s="63"/>
      <c r="M38" s="30"/>
    </row>
    <row r="39" spans="1:13" ht="29.25" customHeight="1">
      <c r="A39" s="49"/>
      <c r="B39" s="49"/>
      <c r="C39" s="50"/>
      <c r="D39" s="49"/>
      <c r="E39" s="49">
        <v>7001</v>
      </c>
      <c r="F39" s="455" t="s">
        <v>401</v>
      </c>
      <c r="G39" s="33">
        <f t="shared" si="4"/>
        <v>0</v>
      </c>
      <c r="H39" s="33">
        <f t="shared" si="6"/>
        <v>0</v>
      </c>
      <c r="I39" s="33">
        <f>SUM(SUMIFS(GTNDKT1,MUC,$B$29,MaNDKT1,$E39),SUMIFS(GTNDKT2,MUC,$B$29,MaNDKT2,$E39),SUMIFS(GTNDKT3,MUC,$B$29,MaNDKT3,$E39),SUMIFS(GTNDKT4,MUC,$B$29,MaNDKT4,$E39),SUMIFS(GTNDKT5,MUC,$B$29,MaNDKT5,$E39),SUMIFS(GTNDKT6,MUC,$B$29,MaNDKT6,$E39),SUMIFS(GTNDKT7,MUC,$B$29,MaNDKT7,$E39))</f>
        <v>0</v>
      </c>
      <c r="J39" s="64"/>
      <c r="K39" s="64"/>
      <c r="L39" s="64"/>
      <c r="M39" s="46"/>
    </row>
    <row r="40" spans="1:13" ht="33.75" hidden="1" customHeight="1">
      <c r="A40" s="49"/>
      <c r="B40" s="49"/>
      <c r="C40" s="50"/>
      <c r="D40" s="49"/>
      <c r="E40" s="49">
        <v>7003</v>
      </c>
      <c r="F40" s="455" t="s">
        <v>46</v>
      </c>
      <c r="G40" s="33">
        <f t="shared" si="4"/>
        <v>0</v>
      </c>
      <c r="H40" s="33">
        <f t="shared" si="6"/>
        <v>0</v>
      </c>
      <c r="I40" s="33">
        <f>SUM(SUMIFS(GTNDKT1,MUC,$B$29,MaNDKT1,$E40),SUMIFS(GTNDKT2,MUC,$B$29,MaNDKT2,$E40),SUMIFS(GTNDKT3,MUC,$B$29,MaNDKT3,$E40),SUMIFS(GTNDKT4,MUC,$B$29,MaNDKT4,$E40),SUMIFS(GTNDKT5,MUC,$B$29,MaNDKT5,$E40),SUMIFS(GTNDKT6,MUC,$B$29,MaNDKT6,$E40),SUMIFS(GTNDKT7,MUC,$B$29,MaNDKT7,$E40))</f>
        <v>0</v>
      </c>
      <c r="J40" s="64"/>
      <c r="K40" s="64"/>
      <c r="L40" s="64"/>
      <c r="M40" s="46"/>
    </row>
    <row r="41" spans="1:13" ht="18" customHeight="1">
      <c r="A41" s="49"/>
      <c r="B41" s="49"/>
      <c r="C41" s="50"/>
      <c r="D41" s="49"/>
      <c r="E41" s="49">
        <v>7012</v>
      </c>
      <c r="F41" s="455" t="s">
        <v>47</v>
      </c>
      <c r="G41" s="33">
        <f t="shared" si="4"/>
        <v>0</v>
      </c>
      <c r="H41" s="33">
        <f t="shared" si="6"/>
        <v>0</v>
      </c>
      <c r="I41" s="33">
        <f>SUM(SUMIFS(GTNDKT1,MUC,$B$29,MaNDKT1,$E41),SUMIFS(GTNDKT2,MUC,$B$29,MaNDKT2,$E41),SUMIFS(GTNDKT3,MUC,$B$29,MaNDKT3,$E41),SUMIFS(GTNDKT4,MUC,$B$29,MaNDKT4,$E41),SUMIFS(GTNDKT5,MUC,$B$29,MaNDKT5,$E41),SUMIFS(GTNDKT6,MUC,$B$29,MaNDKT6,$E41),SUMIFS(GTNDKT7,MUC,$B$29,MaNDKT7,$E41))</f>
        <v>0</v>
      </c>
      <c r="J41" s="64"/>
      <c r="K41" s="64"/>
      <c r="L41" s="64"/>
      <c r="M41" s="46"/>
    </row>
    <row r="42" spans="1:13" ht="18" customHeight="1">
      <c r="A42" s="49"/>
      <c r="B42" s="49"/>
      <c r="C42" s="50"/>
      <c r="D42" s="49"/>
      <c r="E42" s="49">
        <v>7049</v>
      </c>
      <c r="F42" s="455" t="s">
        <v>41</v>
      </c>
      <c r="G42" s="33">
        <f t="shared" si="4"/>
        <v>0</v>
      </c>
      <c r="H42" s="33">
        <f t="shared" si="6"/>
        <v>0</v>
      </c>
      <c r="I42" s="33">
        <f>SUM(SUMIFS(GTNDKT1,MUC,$B$29,MaNDKT1,$E42),SUMIFS(GTNDKT2,MUC,$B$29,MaNDKT2,$E42),SUMIFS(GTNDKT3,MUC,$B$29,MaNDKT3,$E42),SUMIFS(GTNDKT4,MUC,$B$29,MaNDKT4,$E42),SUMIFS(GTNDKT5,MUC,$B$29,MaNDKT5,$E42),SUMIFS(GTNDKT6,MUC,$B$29,MaNDKT6,$E42),SUMIFS(GTNDKT7,MUC,$B$29,MaNDKT7,$E42))</f>
        <v>0</v>
      </c>
      <c r="J42" s="64"/>
      <c r="K42" s="64"/>
      <c r="L42" s="64"/>
      <c r="M42" s="46"/>
    </row>
    <row r="43" spans="1:13" s="43" customFormat="1" ht="18" hidden="1" customHeight="1">
      <c r="A43" s="60"/>
      <c r="B43" s="60"/>
      <c r="C43" s="58" t="s">
        <v>31</v>
      </c>
      <c r="D43" s="59"/>
      <c r="E43" s="59"/>
      <c r="F43" s="453" t="s">
        <v>48</v>
      </c>
      <c r="G43" s="61">
        <f t="shared" si="4"/>
        <v>0</v>
      </c>
      <c r="H43" s="61">
        <f t="shared" si="6"/>
        <v>0</v>
      </c>
      <c r="I43" s="61">
        <f>+I44</f>
        <v>0</v>
      </c>
      <c r="J43" s="61"/>
      <c r="K43" s="61"/>
      <c r="L43" s="61"/>
      <c r="M43" s="55"/>
    </row>
    <row r="44" spans="1:13" ht="18" hidden="1" customHeight="1">
      <c r="A44" s="49"/>
      <c r="B44" s="49"/>
      <c r="C44" s="50"/>
      <c r="D44" s="49">
        <v>7750</v>
      </c>
      <c r="E44" s="49"/>
      <c r="F44" s="455" t="s">
        <v>48</v>
      </c>
      <c r="G44" s="33">
        <f t="shared" si="4"/>
        <v>0</v>
      </c>
      <c r="H44" s="33">
        <f t="shared" si="6"/>
        <v>0</v>
      </c>
      <c r="I44" s="33">
        <f>SUM(SUMIFS(GTNDKT1,MUC,$B$29,MaNDKT1,$E44),SUMIFS(GTNDKT2,MUC,$B$29,MaNDKT2,$E44),SUMIFS(GTNDKT3,MUC,$B$29,MaNDKT3,$E44),SUMIFS(GTNDKT4,MUC,$B$29,MaNDKT4,$E44),SUMIFS(GTNDKT5,MUC,$B$29,MaNDKT5,$E44),SUMIFS(GTNDKT6,MUC,$B$29,MaNDKT6,$E44),SUMIFS(GTNDKT7,MUC,$B$29,MaNDKT7,$E44))</f>
        <v>0</v>
      </c>
      <c r="J44" s="64">
        <f>SUM(J45:J47)</f>
        <v>0</v>
      </c>
      <c r="K44" s="64">
        <f>SUM(K45:K47)</f>
        <v>0</v>
      </c>
      <c r="L44" s="64"/>
      <c r="M44" s="46"/>
    </row>
    <row r="45" spans="1:13" ht="18" hidden="1" customHeight="1">
      <c r="A45" s="49"/>
      <c r="B45" s="49"/>
      <c r="C45" s="50"/>
      <c r="D45" s="49"/>
      <c r="E45" s="49">
        <v>7752</v>
      </c>
      <c r="F45" s="455" t="s">
        <v>49</v>
      </c>
      <c r="G45" s="33">
        <f t="shared" si="4"/>
        <v>0</v>
      </c>
      <c r="H45" s="33">
        <f t="shared" si="6"/>
        <v>0</v>
      </c>
      <c r="I45" s="33">
        <f>SUM(SUMIFS(GTNDKT1,MUC,$B$29,MaNDKT1,$E45),SUMIFS(GTNDKT2,MUC,$B$29,MaNDKT2,$E45),SUMIFS(GTNDKT3,MUC,$B$29,MaNDKT3,$E45),SUMIFS(GTNDKT4,MUC,$B$29,MaNDKT4,$E45),SUMIFS(GTNDKT5,MUC,$B$29,MaNDKT5,$E45),SUMIFS(GTNDKT6,MUC,$B$29,MaNDKT6,$E45),SUMIFS(GTNDKT7,MUC,$B$29,MaNDKT7,$E45))</f>
        <v>0</v>
      </c>
      <c r="J45" s="64"/>
      <c r="K45" s="64"/>
      <c r="L45" s="64"/>
      <c r="M45" s="46"/>
    </row>
    <row r="46" spans="1:13" ht="18" customHeight="1">
      <c r="A46" s="49"/>
      <c r="B46" s="49"/>
      <c r="C46" s="50"/>
      <c r="D46" s="49"/>
      <c r="E46" s="49">
        <v>7758</v>
      </c>
      <c r="F46" s="455" t="s">
        <v>50</v>
      </c>
      <c r="G46" s="33">
        <f t="shared" si="4"/>
        <v>0</v>
      </c>
      <c r="H46" s="33">
        <f t="shared" si="6"/>
        <v>0</v>
      </c>
      <c r="I46" s="33">
        <f>SUM(SUMIFS(GTNDKT1,MUC,$B$29,MaNDKT1,$E46),SUMIFS(GTNDKT2,MUC,$B$29,MaNDKT2,$E46),SUMIFS(GTNDKT3,MUC,$B$29,MaNDKT3,$E46),SUMIFS(GTNDKT4,MUC,$B$29,MaNDKT4,$E46),SUMIFS(GTNDKT5,MUC,$B$29,MaNDKT5,$E46),SUMIFS(GTNDKT6,MUC,$B$29,MaNDKT6,$E46),SUMIFS(GTNDKT7,MUC,$B$29,MaNDKT7,$E46))</f>
        <v>0</v>
      </c>
      <c r="J46" s="64"/>
      <c r="K46" s="64"/>
      <c r="L46" s="64"/>
      <c r="M46" s="46"/>
    </row>
    <row r="47" spans="1:13" ht="18" customHeight="1">
      <c r="A47" s="49"/>
      <c r="B47" s="49"/>
      <c r="C47" s="50"/>
      <c r="D47" s="49"/>
      <c r="E47" s="49">
        <v>7761</v>
      </c>
      <c r="F47" s="455" t="s">
        <v>51</v>
      </c>
      <c r="G47" s="33">
        <f t="shared" si="4"/>
        <v>0</v>
      </c>
      <c r="H47" s="33">
        <f t="shared" si="6"/>
        <v>0</v>
      </c>
      <c r="I47" s="33">
        <f>SUM(SUMIFS(GTNDKT1,MUC,$B$29,MaNDKT1,$E47),SUMIFS(GTNDKT2,MUC,$B$29,MaNDKT2,$E47),SUMIFS(GTNDKT3,MUC,$B$29,MaNDKT3,$E47),SUMIFS(GTNDKT4,MUC,$B$29,MaNDKT4,$E47),SUMIFS(GTNDKT5,MUC,$B$29,MaNDKT5,$E47),SUMIFS(GTNDKT6,MUC,$B$29,MaNDKT6,$E47),SUMIFS(GTNDKT7,MUC,$B$29,MaNDKT7,$E47))</f>
        <v>0</v>
      </c>
      <c r="J47" s="64"/>
      <c r="K47" s="64"/>
      <c r="L47" s="64"/>
      <c r="M47" s="46"/>
    </row>
    <row r="48" spans="1:13" ht="18" customHeight="1">
      <c r="A48" s="65"/>
      <c r="B48" s="65"/>
      <c r="C48" s="54"/>
      <c r="D48" s="65"/>
      <c r="E48" s="65">
        <v>7799</v>
      </c>
      <c r="F48" s="456" t="s">
        <v>52</v>
      </c>
      <c r="G48" s="39">
        <f t="shared" si="4"/>
        <v>0</v>
      </c>
      <c r="H48" s="39">
        <f t="shared" si="6"/>
        <v>0</v>
      </c>
      <c r="I48" s="33">
        <f>SUM(SUMIFS(GTNDKT1,MUC,$B$29,MaNDKT1,$E48),SUMIFS(GTNDKT2,MUC,$B$29,MaNDKT2,$E48),SUMIFS(GTNDKT3,MUC,$B$29,MaNDKT3,$E48),SUMIFS(GTNDKT4,MUC,$B$29,MaNDKT4,$E48),SUMIFS(GTNDKT5,MUC,$B$29,MaNDKT5,$E48),SUMIFS(GTNDKT6,MUC,$B$29,MaNDKT6,$E48),SUMIFS(GTNDKT7,MUC,$B$29,MaNDKT7,$E48))</f>
        <v>0</v>
      </c>
      <c r="J48" s="66"/>
      <c r="K48" s="66"/>
      <c r="L48" s="66"/>
      <c r="M48" s="46"/>
    </row>
    <row r="49" spans="1:13" ht="36.75" customHeight="1">
      <c r="A49" s="147" t="s">
        <v>61</v>
      </c>
      <c r="B49" s="147" t="s">
        <v>62</v>
      </c>
      <c r="C49" s="147"/>
      <c r="D49" s="148"/>
      <c r="E49" s="148"/>
      <c r="F49" s="686" t="s">
        <v>593</v>
      </c>
      <c r="G49" s="62">
        <f t="shared" ref="G49:G58" si="7">H49+L49</f>
        <v>5179755</v>
      </c>
      <c r="H49" s="62">
        <f t="shared" ref="H49:H78" si="8">SUM(I49:K49)</f>
        <v>5179755</v>
      </c>
      <c r="I49" s="62">
        <f>SUM(I50,I72)</f>
        <v>5179755</v>
      </c>
      <c r="J49" s="32"/>
      <c r="K49" s="32"/>
      <c r="L49" s="32"/>
      <c r="M49" s="46"/>
    </row>
    <row r="50" spans="1:13" s="43" customFormat="1" ht="18" customHeight="1">
      <c r="A50" s="60"/>
      <c r="B50" s="60"/>
      <c r="C50" s="58" t="s">
        <v>30</v>
      </c>
      <c r="D50" s="59"/>
      <c r="E50" s="59"/>
      <c r="F50" s="453" t="s">
        <v>36</v>
      </c>
      <c r="G50" s="61">
        <f t="shared" si="7"/>
        <v>5179755</v>
      </c>
      <c r="H50" s="61">
        <f t="shared" si="8"/>
        <v>5179755</v>
      </c>
      <c r="I50" s="61">
        <f>I51+I55+I58+I63+I68</f>
        <v>5179755</v>
      </c>
      <c r="J50" s="61"/>
      <c r="K50" s="61"/>
      <c r="L50" s="61"/>
      <c r="M50" s="55"/>
    </row>
    <row r="51" spans="1:13" s="31" customFormat="1" ht="18" customHeight="1">
      <c r="A51" s="36"/>
      <c r="B51" s="36"/>
      <c r="C51" s="48"/>
      <c r="D51" s="36">
        <v>6500</v>
      </c>
      <c r="E51" s="36"/>
      <c r="F51" s="454" t="s">
        <v>211</v>
      </c>
      <c r="G51" s="37">
        <f t="shared" si="7"/>
        <v>5000000</v>
      </c>
      <c r="H51" s="37">
        <f t="shared" si="8"/>
        <v>5000000</v>
      </c>
      <c r="I51" s="37">
        <f>SUM(I52:I54)</f>
        <v>5000000</v>
      </c>
      <c r="J51" s="63"/>
      <c r="K51" s="63"/>
      <c r="L51" s="63"/>
      <c r="M51" s="30"/>
    </row>
    <row r="52" spans="1:13" s="46" customFormat="1" ht="18" customHeight="1">
      <c r="A52" s="49"/>
      <c r="B52" s="35"/>
      <c r="C52" s="50"/>
      <c r="D52" s="35"/>
      <c r="E52" s="35">
        <v>6501</v>
      </c>
      <c r="F52" s="455" t="s">
        <v>212</v>
      </c>
      <c r="G52" s="33">
        <f>+H52+L52</f>
        <v>5000000</v>
      </c>
      <c r="H52" s="33">
        <f t="shared" ref="H52" si="9">SUM(I52:K52)</f>
        <v>5000000</v>
      </c>
      <c r="I52" s="33">
        <f>SUM(SUMIFS(GTNDKT1,MUC,$B$49,MaNDKT1,$E52),SUMIFS(GTNDKT2,MUC,$B$49,MaNDKT2,$E52),SUMIFS(GTNDKT3,MUC,$B$49,MaNDKT3,$E52),SUMIFS(GTNDKT4,MUC,$B$49,MaNDKT4,$E52),SUMIFS(GTNDKT5,MUC,$B$49,MaNDKT5,$E52),SUMIFS(GTNDKT6,MUC,$B$49,MaNDKT6,$E52),SUMIFS(GTNDKT7,MUC,$B$49,MaNDKT7,$E52))</f>
        <v>5000000</v>
      </c>
      <c r="J52" s="33"/>
      <c r="K52" s="33"/>
      <c r="L52" s="33"/>
    </row>
    <row r="53" spans="1:13" s="46" customFormat="1" ht="18" hidden="1" customHeight="1">
      <c r="A53" s="49"/>
      <c r="B53" s="35"/>
      <c r="C53" s="50"/>
      <c r="D53" s="35"/>
      <c r="E53" s="35"/>
      <c r="F53" s="455"/>
      <c r="G53" s="33"/>
      <c r="H53" s="33"/>
      <c r="I53" s="33"/>
      <c r="J53" s="33"/>
      <c r="K53" s="33"/>
      <c r="L53" s="33"/>
    </row>
    <row r="54" spans="1:13" s="46" customFormat="1" ht="18" hidden="1" customHeight="1">
      <c r="A54" s="49"/>
      <c r="B54" s="35"/>
      <c r="C54" s="50"/>
      <c r="D54" s="35"/>
      <c r="E54" s="35"/>
      <c r="F54" s="455"/>
      <c r="G54" s="33"/>
      <c r="H54" s="33"/>
      <c r="I54" s="33"/>
      <c r="J54" s="33"/>
      <c r="K54" s="33"/>
      <c r="L54" s="33"/>
    </row>
    <row r="55" spans="1:13" s="31" customFormat="1" ht="18" customHeight="1">
      <c r="A55" s="36"/>
      <c r="B55" s="36"/>
      <c r="C55" s="48"/>
      <c r="D55" s="36">
        <v>6600</v>
      </c>
      <c r="E55" s="36"/>
      <c r="F55" s="454" t="s">
        <v>222</v>
      </c>
      <c r="G55" s="37">
        <f t="shared" ref="G55" si="10">H55+L55</f>
        <v>0</v>
      </c>
      <c r="H55" s="37">
        <f t="shared" ref="H55:H56" si="11">SUM(I55:K55)</f>
        <v>0</v>
      </c>
      <c r="I55" s="37">
        <f>SUM(I56:I57)</f>
        <v>0</v>
      </c>
      <c r="J55" s="63">
        <f>SUM(J57:J59)</f>
        <v>0</v>
      </c>
      <c r="K55" s="63">
        <f>SUM(K57:K59)</f>
        <v>0</v>
      </c>
      <c r="L55" s="63"/>
      <c r="M55" s="30"/>
    </row>
    <row r="56" spans="1:13" s="46" customFormat="1" ht="18" customHeight="1">
      <c r="A56" s="49"/>
      <c r="B56" s="35"/>
      <c r="C56" s="50"/>
      <c r="D56" s="35"/>
      <c r="E56" s="35">
        <v>6606</v>
      </c>
      <c r="F56" s="455" t="s">
        <v>227</v>
      </c>
      <c r="G56" s="33">
        <f>+H56+L56</f>
        <v>0</v>
      </c>
      <c r="H56" s="33">
        <f t="shared" si="11"/>
        <v>0</v>
      </c>
      <c r="I56" s="33">
        <f>SUM(SUMIFS(GTNDKT1,MUC,$B$49,MaNDKT1,$E56),SUMIFS(GTNDKT2,MUC,$B$49,MaNDKT2,$E56),SUMIFS(GTNDKT3,MUC,$B$49,MaNDKT3,$E56),SUMIFS(GTNDKT4,MUC,$B$49,MaNDKT4,$E56),SUMIFS(GTNDKT5,MUC,$B$49,MaNDKT5,$E56),SUMIFS(GTNDKT6,MUC,$B$49,MaNDKT6,$E56),SUMIFS(GTNDKT7,MUC,$B$49,MaNDKT7,$E56))</f>
        <v>0</v>
      </c>
      <c r="J56" s="33"/>
      <c r="K56" s="33"/>
      <c r="L56" s="33"/>
    </row>
    <row r="57" spans="1:13" s="46" customFormat="1" ht="18" hidden="1" customHeight="1">
      <c r="A57" s="49"/>
      <c r="B57" s="35"/>
      <c r="C57" s="50"/>
      <c r="D57" s="35"/>
      <c r="E57" s="35"/>
      <c r="F57" s="455"/>
      <c r="G57" s="33"/>
      <c r="H57" s="33"/>
      <c r="I57" s="33"/>
      <c r="J57" s="33"/>
      <c r="K57" s="33"/>
      <c r="L57" s="33"/>
    </row>
    <row r="58" spans="1:13" s="31" customFormat="1" ht="18" customHeight="1">
      <c r="A58" s="36"/>
      <c r="B58" s="36"/>
      <c r="C58" s="48"/>
      <c r="D58" s="36">
        <v>6650</v>
      </c>
      <c r="E58" s="36"/>
      <c r="F58" s="454" t="s">
        <v>37</v>
      </c>
      <c r="G58" s="37">
        <f t="shared" si="7"/>
        <v>0</v>
      </c>
      <c r="H58" s="37">
        <f t="shared" si="8"/>
        <v>0</v>
      </c>
      <c r="I58" s="37">
        <f>SUM(I59:I62)</f>
        <v>0</v>
      </c>
      <c r="J58" s="63">
        <f>SUM(J59:J62)</f>
        <v>0</v>
      </c>
      <c r="K58" s="63">
        <f>SUM(K59:K62)</f>
        <v>0</v>
      </c>
      <c r="L58" s="63"/>
      <c r="M58" s="30"/>
    </row>
    <row r="59" spans="1:13" s="46" customFormat="1" ht="18" customHeight="1">
      <c r="A59" s="49"/>
      <c r="B59" s="35"/>
      <c r="C59" s="50"/>
      <c r="D59" s="35"/>
      <c r="E59" s="35">
        <v>6651</v>
      </c>
      <c r="F59" s="455" t="s">
        <v>38</v>
      </c>
      <c r="G59" s="33">
        <f>+H59+L59</f>
        <v>0</v>
      </c>
      <c r="H59" s="33">
        <f t="shared" si="8"/>
        <v>0</v>
      </c>
      <c r="I59" s="33">
        <f>SUM(SUMIFS(GTNDKT1,MUC,$B$49,MaNDKT1,$E59),SUMIFS(GTNDKT2,MUC,$B$49,MaNDKT2,$E59),SUMIFS(GTNDKT3,MUC,$B$49,MaNDKT3,$E59),SUMIFS(GTNDKT4,MUC,$B$49,MaNDKT4,$E59),SUMIFS(GTNDKT5,MUC,$B$49,MaNDKT5,$E59),SUMIFS(GTNDKT6,MUC,$B$49,MaNDKT6,$E59),SUMIFS(GTNDKT7,MUC,$B$49,MaNDKT7,$E59))</f>
        <v>0</v>
      </c>
      <c r="J59" s="33"/>
      <c r="K59" s="33"/>
      <c r="L59" s="33"/>
    </row>
    <row r="60" spans="1:13" s="46" customFormat="1" ht="18" customHeight="1">
      <c r="A60" s="49"/>
      <c r="B60" s="35"/>
      <c r="C60" s="50"/>
      <c r="D60" s="35"/>
      <c r="E60" s="35">
        <v>6655</v>
      </c>
      <c r="F60" s="455" t="s">
        <v>39</v>
      </c>
      <c r="G60" s="33">
        <f>+H60+L60</f>
        <v>0</v>
      </c>
      <c r="H60" s="33">
        <f t="shared" si="8"/>
        <v>0</v>
      </c>
      <c r="I60" s="33">
        <f>SUM(SUMIFS(GTNDKT1,MUC,$B$49,MaNDKT1,$E60),SUMIFS(GTNDKT2,MUC,$B$49,MaNDKT2,$E60),SUMIFS(GTNDKT3,MUC,$B$49,MaNDKT3,$E60),SUMIFS(GTNDKT4,MUC,$B$49,MaNDKT4,$E60),SUMIFS(GTNDKT5,MUC,$B$49,MaNDKT5,$E60),SUMIFS(GTNDKT6,MUC,$B$49,MaNDKT6,$E60),SUMIFS(GTNDKT7,MUC,$B$49,MaNDKT7,$E60))</f>
        <v>0</v>
      </c>
      <c r="J60" s="33"/>
      <c r="K60" s="33"/>
      <c r="L60" s="33"/>
    </row>
    <row r="61" spans="1:13" s="46" customFormat="1" ht="18" customHeight="1">
      <c r="A61" s="49"/>
      <c r="B61" s="35"/>
      <c r="C61" s="50"/>
      <c r="D61" s="35"/>
      <c r="E61" s="35">
        <v>6658</v>
      </c>
      <c r="F61" s="455" t="s">
        <v>40</v>
      </c>
      <c r="G61" s="33">
        <f>+H61+L61</f>
        <v>0</v>
      </c>
      <c r="H61" s="33">
        <f t="shared" si="8"/>
        <v>0</v>
      </c>
      <c r="I61" s="33">
        <f>SUM(SUMIFS(GTNDKT1,MUC,$B$49,MaNDKT1,$E61),SUMIFS(GTNDKT2,MUC,$B$49,MaNDKT2,$E61),SUMIFS(GTNDKT3,MUC,$B$49,MaNDKT3,$E61),SUMIFS(GTNDKT4,MUC,$B$49,MaNDKT4,$E61),SUMIFS(GTNDKT5,MUC,$B$49,MaNDKT5,$E61),SUMIFS(GTNDKT6,MUC,$B$49,MaNDKT6,$E61),SUMIFS(GTNDKT7,MUC,$B$49,MaNDKT7,$E61))</f>
        <v>0</v>
      </c>
      <c r="J61" s="33"/>
      <c r="K61" s="33"/>
      <c r="L61" s="33"/>
    </row>
    <row r="62" spans="1:13" s="46" customFormat="1" ht="18" customHeight="1">
      <c r="A62" s="49"/>
      <c r="B62" s="35"/>
      <c r="C62" s="50"/>
      <c r="D62" s="35"/>
      <c r="E62" s="35">
        <v>6699</v>
      </c>
      <c r="F62" s="455" t="s">
        <v>41</v>
      </c>
      <c r="G62" s="33">
        <f>+H62+L62</f>
        <v>0</v>
      </c>
      <c r="H62" s="33">
        <f t="shared" si="8"/>
        <v>0</v>
      </c>
      <c r="I62" s="33">
        <f>SUM(SUMIFS(GTNDKT1,MUC,$B$49,MaNDKT1,$E62),SUMIFS(GTNDKT2,MUC,$B$49,MaNDKT2,$E62),SUMIFS(GTNDKT3,MUC,$B$49,MaNDKT3,$E62),SUMIFS(GTNDKT4,MUC,$B$49,MaNDKT4,$E62),SUMIFS(GTNDKT5,MUC,$B$49,MaNDKT5,$E62),SUMIFS(GTNDKT6,MUC,$B$49,MaNDKT6,$E62),SUMIFS(GTNDKT7,MUC,$B$49,MaNDKT7,$E62))</f>
        <v>0</v>
      </c>
      <c r="J62" s="33"/>
      <c r="K62" s="33"/>
      <c r="L62" s="33"/>
    </row>
    <row r="63" spans="1:13" s="31" customFormat="1" ht="45.75" customHeight="1">
      <c r="A63" s="36"/>
      <c r="B63" s="36"/>
      <c r="C63" s="48"/>
      <c r="D63" s="36">
        <v>6900</v>
      </c>
      <c r="E63" s="36"/>
      <c r="F63" s="454" t="s">
        <v>63</v>
      </c>
      <c r="G63" s="37">
        <f>H63+L63</f>
        <v>179755</v>
      </c>
      <c r="H63" s="37">
        <f t="shared" si="8"/>
        <v>179755</v>
      </c>
      <c r="I63" s="37">
        <f>SUM(I64:I67)</f>
        <v>179755</v>
      </c>
      <c r="J63" s="63">
        <f>SUM(J64:J67)</f>
        <v>0</v>
      </c>
      <c r="K63" s="63">
        <f>SUM(K64:K67)</f>
        <v>0</v>
      </c>
      <c r="L63" s="63"/>
      <c r="M63" s="30"/>
    </row>
    <row r="64" spans="1:13" ht="18.75" hidden="1" customHeight="1">
      <c r="A64" s="47"/>
      <c r="B64" s="51"/>
      <c r="C64" s="50"/>
      <c r="D64" s="35"/>
      <c r="E64" s="35">
        <v>6918</v>
      </c>
      <c r="F64" s="455" t="s">
        <v>64</v>
      </c>
      <c r="G64" s="33"/>
      <c r="H64" s="33">
        <f t="shared" si="8"/>
        <v>0</v>
      </c>
      <c r="I64" s="33">
        <f>SUM(SUMIFS(GTNDKT1,MUC,$B$49,MaNDKT1,$E64),SUMIFS(GTNDKT2,MUC,$B$49,MaNDKT2,$E64),SUMIFS(GTNDKT3,MUC,$B$49,MaNDKT3,$E64),SUMIFS(GTNDKT4,MUC,$B$49,MaNDKT4,$E64),SUMIFS(GTNDKT5,MUC,$B$49,MaNDKT5,$E64),SUMIFS(GTNDKT6,MUC,$B$49,MaNDKT6,$E64),SUMIFS(GTNDKT7,MUC,$B$49,MaNDKT7,$E64))</f>
        <v>0</v>
      </c>
      <c r="J64" s="33"/>
      <c r="K64" s="33"/>
      <c r="L64" s="33"/>
      <c r="M64" s="46"/>
    </row>
    <row r="65" spans="1:14" ht="18.75" hidden="1" customHeight="1">
      <c r="A65" s="47"/>
      <c r="B65" s="51"/>
      <c r="C65" s="50"/>
      <c r="D65" s="35"/>
      <c r="E65" s="35">
        <v>6921</v>
      </c>
      <c r="F65" s="455" t="s">
        <v>65</v>
      </c>
      <c r="G65" s="33">
        <f t="shared" ref="G65:G78" si="12">H65+L65</f>
        <v>0</v>
      </c>
      <c r="H65" s="33">
        <f t="shared" si="8"/>
        <v>0</v>
      </c>
      <c r="I65" s="33">
        <f>SUM(SUMIFS(GTNDKT1,MUC,$B$49,MaNDKT1,$E65),SUMIFS(GTNDKT2,MUC,$B$49,MaNDKT2,$E65),SUMIFS(GTNDKT3,MUC,$B$49,MaNDKT3,$E65),SUMIFS(GTNDKT4,MUC,$B$49,MaNDKT4,$E65),SUMIFS(GTNDKT5,MUC,$B$49,MaNDKT5,$E65),SUMIFS(GTNDKT6,MUC,$B$49,MaNDKT6,$E65),SUMIFS(GTNDKT7,MUC,$B$49,MaNDKT7,$E65))</f>
        <v>0</v>
      </c>
      <c r="J65" s="33"/>
      <c r="K65" s="33"/>
      <c r="L65" s="33"/>
      <c r="M65" s="46"/>
    </row>
    <row r="66" spans="1:14" ht="18.75" customHeight="1">
      <c r="A66" s="47"/>
      <c r="B66" s="51"/>
      <c r="C66" s="50"/>
      <c r="D66" s="35"/>
      <c r="E66" s="35">
        <v>6922</v>
      </c>
      <c r="F66" s="455" t="s">
        <v>66</v>
      </c>
      <c r="G66" s="33">
        <f t="shared" si="12"/>
        <v>179755</v>
      </c>
      <c r="H66" s="33">
        <f t="shared" si="8"/>
        <v>179755</v>
      </c>
      <c r="I66" s="33">
        <f>SUM(SUMIFS(GTNDKT1,MUC,$B$49,MaNDKT1,$E66),SUMIFS(GTNDKT2,MUC,$B$49,MaNDKT2,$E66),SUMIFS(GTNDKT3,MUC,$B$49,MaNDKT3,$E66),SUMIFS(GTNDKT4,MUC,$B$49,MaNDKT4,$E66),SUMIFS(GTNDKT5,MUC,$B$49,MaNDKT5,$E66),SUMIFS(GTNDKT6,MUC,$B$49,MaNDKT6,$E66),SUMIFS(GTNDKT7,MUC,$B$49,MaNDKT7,$E66))</f>
        <v>179755</v>
      </c>
      <c r="J66" s="33"/>
      <c r="K66" s="33"/>
      <c r="L66" s="33"/>
      <c r="M66" s="46"/>
    </row>
    <row r="67" spans="1:14" ht="18.75" hidden="1" customHeight="1">
      <c r="A67" s="47"/>
      <c r="B67" s="51"/>
      <c r="C67" s="50"/>
      <c r="D67" s="35"/>
      <c r="E67" s="35">
        <v>6949</v>
      </c>
      <c r="F67" s="455" t="s">
        <v>67</v>
      </c>
      <c r="G67" s="33">
        <f t="shared" si="12"/>
        <v>0</v>
      </c>
      <c r="H67" s="33">
        <f t="shared" si="8"/>
        <v>0</v>
      </c>
      <c r="I67" s="33">
        <f>SUM(SUMIFS(GTNDKT1,MUC,$B$49,MaNDKT1,$E67),SUMIFS(GTNDKT2,MUC,$B$49,MaNDKT2,$E67),SUMIFS(GTNDKT3,MUC,$B$49,MaNDKT3,$E67),SUMIFS(GTNDKT4,MUC,$B$49,MaNDKT4,$E67),SUMIFS(GTNDKT5,MUC,$B$49,MaNDKT5,$E67),SUMIFS(GTNDKT6,MUC,$B$49,MaNDKT6,$E67),SUMIFS(GTNDKT7,MUC,$B$49,MaNDKT7,$E67))</f>
        <v>0</v>
      </c>
      <c r="J67" s="33"/>
      <c r="K67" s="33"/>
      <c r="L67" s="33"/>
      <c r="M67" s="46"/>
    </row>
    <row r="68" spans="1:14" s="31" customFormat="1" ht="18.75" customHeight="1">
      <c r="A68" s="36"/>
      <c r="B68" s="36"/>
      <c r="C68" s="48"/>
      <c r="D68" s="36">
        <v>7000</v>
      </c>
      <c r="E68" s="36"/>
      <c r="F68" s="454" t="s">
        <v>45</v>
      </c>
      <c r="G68" s="37">
        <f t="shared" si="12"/>
        <v>0</v>
      </c>
      <c r="H68" s="37">
        <f t="shared" si="8"/>
        <v>0</v>
      </c>
      <c r="I68" s="37">
        <f>SUM(I69:I71)</f>
        <v>0</v>
      </c>
      <c r="J68" s="63">
        <f>SUM(J69:J70)</f>
        <v>0</v>
      </c>
      <c r="K68" s="63">
        <f>SUM(K69:K70)</f>
        <v>0</v>
      </c>
      <c r="L68" s="63"/>
      <c r="M68" s="30"/>
      <c r="N68" s="104"/>
    </row>
    <row r="69" spans="1:14" ht="30.75" customHeight="1">
      <c r="A69" s="68"/>
      <c r="B69" s="69"/>
      <c r="C69" s="50"/>
      <c r="D69" s="35"/>
      <c r="E69" s="35">
        <v>7003</v>
      </c>
      <c r="F69" s="455" t="s">
        <v>46</v>
      </c>
      <c r="G69" s="33">
        <f t="shared" si="12"/>
        <v>0</v>
      </c>
      <c r="H69" s="33">
        <f t="shared" si="8"/>
        <v>0</v>
      </c>
      <c r="I69" s="33">
        <f>SUM(SUMIFS(GTNDKT1,MUC,$B$49,MaNDKT1,$E69),SUMIFS(GTNDKT2,MUC,$B$49,MaNDKT2,$E69),SUMIFS(GTNDKT3,MUC,$B$49,MaNDKT3,$E69),SUMIFS(GTNDKT4,MUC,$B$49,MaNDKT4,$E69),SUMIFS(GTNDKT5,MUC,$B$49,MaNDKT5,$E69),SUMIFS(GTNDKT6,MUC,$B$49,MaNDKT6,$E69),SUMIFS(GTNDKT7,MUC,$B$49,MaNDKT7,$E69))</f>
        <v>0</v>
      </c>
      <c r="J69" s="33"/>
      <c r="K69" s="33"/>
      <c r="L69" s="33"/>
      <c r="M69" s="46"/>
    </row>
    <row r="70" spans="1:14" ht="18.75" hidden="1" customHeight="1">
      <c r="A70" s="68"/>
      <c r="B70" s="69"/>
      <c r="C70" s="50"/>
      <c r="D70" s="35"/>
      <c r="E70" s="35">
        <v>7012</v>
      </c>
      <c r="F70" s="455" t="s">
        <v>47</v>
      </c>
      <c r="G70" s="33">
        <f t="shared" si="12"/>
        <v>0</v>
      </c>
      <c r="H70" s="33">
        <f t="shared" si="8"/>
        <v>0</v>
      </c>
      <c r="I70" s="33">
        <f>SUM(SUMIFS(GTNDKT1,MUC,$B$49,MaNDKT1,$E70),SUMIFS(GTNDKT2,MUC,$B$49,MaNDKT2,$E70),SUMIFS(GTNDKT3,MUC,$B$49,MaNDKT3,$E70),SUMIFS(GTNDKT4,MUC,$B$49,MaNDKT4,$E70),SUMIFS(GTNDKT5,MUC,$B$49,MaNDKT5,$E70),SUMIFS(GTNDKT6,MUC,$B$49,MaNDKT6,$E70),SUMIFS(GTNDKT7,MUC,$B$49,MaNDKT7,$E70))</f>
        <v>0</v>
      </c>
      <c r="J70" s="33"/>
      <c r="K70" s="33"/>
      <c r="L70" s="33"/>
      <c r="M70" s="46"/>
    </row>
    <row r="71" spans="1:14" ht="18.75" hidden="1" customHeight="1">
      <c r="A71" s="70"/>
      <c r="B71" s="71"/>
      <c r="C71" s="54"/>
      <c r="D71" s="38"/>
      <c r="E71" s="38">
        <v>7049</v>
      </c>
      <c r="F71" s="456" t="s">
        <v>41</v>
      </c>
      <c r="G71" s="39">
        <f t="shared" si="12"/>
        <v>0</v>
      </c>
      <c r="H71" s="39">
        <f t="shared" si="8"/>
        <v>0</v>
      </c>
      <c r="I71" s="39">
        <f>SUM(SUMIFS(GTNDKT1,MUC,$B$49,MaNDKT1,$E71),SUMIFS(GTNDKT2,MUC,$B$49,MaNDKT2,$E71),SUMIFS(GTNDKT3,MUC,$B$49,MaNDKT3,$E71),SUMIFS(GTNDKT4,MUC,$B$49,MaNDKT4,$E71),SUMIFS(GTNDKT5,MUC,$B$49,MaNDKT5,$E71),SUMIFS(GTNDKT6,MUC,$B$49,MaNDKT6,$E71),SUMIFS(GTNDKT7,MUC,$B$49,MaNDKT7,$E71))</f>
        <v>0</v>
      </c>
      <c r="J71" s="39"/>
      <c r="K71" s="39"/>
      <c r="L71" s="39"/>
      <c r="M71" s="46"/>
    </row>
    <row r="72" spans="1:14" s="43" customFormat="1" ht="18.75" customHeight="1">
      <c r="A72" s="94"/>
      <c r="B72" s="94"/>
      <c r="C72" s="95" t="s">
        <v>31</v>
      </c>
      <c r="D72" s="96"/>
      <c r="E72" s="96"/>
      <c r="F72" s="457" t="s">
        <v>48</v>
      </c>
      <c r="G72" s="97">
        <f t="shared" si="12"/>
        <v>0</v>
      </c>
      <c r="H72" s="97">
        <f t="shared" si="8"/>
        <v>0</v>
      </c>
      <c r="I72" s="97">
        <f>I73+I76+I77</f>
        <v>0</v>
      </c>
      <c r="J72" s="97"/>
      <c r="K72" s="97"/>
      <c r="L72" s="97"/>
      <c r="M72" s="55"/>
    </row>
    <row r="73" spans="1:14" s="31" customFormat="1" ht="18.75" customHeight="1">
      <c r="A73" s="36"/>
      <c r="B73" s="36"/>
      <c r="C73" s="48"/>
      <c r="D73" s="36">
        <v>7750</v>
      </c>
      <c r="E73" s="36"/>
      <c r="F73" s="454" t="s">
        <v>48</v>
      </c>
      <c r="G73" s="37">
        <f t="shared" si="12"/>
        <v>0</v>
      </c>
      <c r="H73" s="37">
        <f t="shared" si="8"/>
        <v>0</v>
      </c>
      <c r="I73" s="37">
        <f>SUM(I74:I75)</f>
        <v>0</v>
      </c>
      <c r="J73" s="63">
        <f>SUM(J74:J75)</f>
        <v>0</v>
      </c>
      <c r="K73" s="63">
        <f>SUM(K74:K75)</f>
        <v>0</v>
      </c>
      <c r="L73" s="63"/>
      <c r="M73" s="30"/>
    </row>
    <row r="74" spans="1:14" ht="18.75" customHeight="1">
      <c r="A74" s="68"/>
      <c r="B74" s="69"/>
      <c r="C74" s="50"/>
      <c r="D74" s="35"/>
      <c r="E74" s="35">
        <v>7758</v>
      </c>
      <c r="F74" s="455" t="s">
        <v>50</v>
      </c>
      <c r="G74" s="33">
        <f t="shared" si="12"/>
        <v>0</v>
      </c>
      <c r="H74" s="33">
        <f t="shared" si="8"/>
        <v>0</v>
      </c>
      <c r="I74" s="33">
        <f>SUM(SUMIFS(GTNDKT1,MUC,$B$49,MaNDKT1,$E74),SUMIFS(GTNDKT2,MUC,$B$49,MaNDKT2,$E74),SUMIFS(GTNDKT3,MUC,$B$49,MaNDKT3,$E74),SUMIFS(GTNDKT4,MUC,$B$49,MaNDKT4,$E74),SUMIFS(GTNDKT5,MUC,$B$49,MaNDKT5,$E74),SUMIFS(GTNDKT6,MUC,$B$49,MaNDKT6,$E74),SUMIFS(GTNDKT7,MUC,$B$49,MaNDKT7,$E74))</f>
        <v>0</v>
      </c>
      <c r="J74" s="33"/>
      <c r="K74" s="33"/>
      <c r="L74" s="33"/>
      <c r="M74" s="46"/>
    </row>
    <row r="75" spans="1:14" ht="18.75" customHeight="1">
      <c r="A75" s="68"/>
      <c r="B75" s="69"/>
      <c r="C75" s="50"/>
      <c r="D75" s="35"/>
      <c r="E75" s="35">
        <v>7761</v>
      </c>
      <c r="F75" s="455" t="s">
        <v>51</v>
      </c>
      <c r="G75" s="33">
        <f t="shared" si="12"/>
        <v>0</v>
      </c>
      <c r="H75" s="33">
        <f t="shared" si="8"/>
        <v>0</v>
      </c>
      <c r="I75" s="33">
        <f>SUM(SUMIFS(GTNDKT1,MUC,$B$49,MaNDKT1,$E75),SUMIFS(GTNDKT2,MUC,$B$49,MaNDKT2,$E75),SUMIFS(GTNDKT3,MUC,$B$49,MaNDKT3,$E75),SUMIFS(GTNDKT4,MUC,$B$49,MaNDKT4,$E75),SUMIFS(GTNDKT5,MUC,$B$49,MaNDKT5,$E75),SUMIFS(GTNDKT6,MUC,$B$49,MaNDKT6,$E75),SUMIFS(GTNDKT7,MUC,$B$49,MaNDKT7,$E75))</f>
        <v>0</v>
      </c>
      <c r="J75" s="33"/>
      <c r="K75" s="33"/>
      <c r="L75" s="33"/>
      <c r="M75" s="46"/>
    </row>
    <row r="76" spans="1:14" s="31" customFormat="1" ht="18.75" hidden="1" customHeight="1">
      <c r="A76" s="36"/>
      <c r="B76" s="36"/>
      <c r="C76" s="48"/>
      <c r="D76" s="36">
        <v>8150</v>
      </c>
      <c r="E76" s="36"/>
      <c r="F76" s="454" t="s">
        <v>68</v>
      </c>
      <c r="G76" s="37">
        <f t="shared" si="12"/>
        <v>0</v>
      </c>
      <c r="H76" s="37">
        <f t="shared" si="8"/>
        <v>0</v>
      </c>
      <c r="I76" s="37"/>
      <c r="J76" s="63"/>
      <c r="K76" s="63"/>
      <c r="L76" s="63"/>
      <c r="M76" s="30"/>
    </row>
    <row r="77" spans="1:14" s="31" customFormat="1" ht="29.25" hidden="1" customHeight="1">
      <c r="A77" s="36"/>
      <c r="B77" s="36"/>
      <c r="C77" s="48"/>
      <c r="D77" s="36">
        <v>9050</v>
      </c>
      <c r="E77" s="36"/>
      <c r="F77" s="454" t="s">
        <v>69</v>
      </c>
      <c r="G77" s="37">
        <f t="shared" si="12"/>
        <v>0</v>
      </c>
      <c r="H77" s="37">
        <f t="shared" si="8"/>
        <v>0</v>
      </c>
      <c r="I77" s="37">
        <f>+I78</f>
        <v>0</v>
      </c>
      <c r="J77" s="63"/>
      <c r="K77" s="63"/>
      <c r="L77" s="63"/>
      <c r="M77" s="30"/>
    </row>
    <row r="78" spans="1:14" ht="18.75" hidden="1" customHeight="1">
      <c r="A78" s="70"/>
      <c r="B78" s="71"/>
      <c r="C78" s="54"/>
      <c r="D78" s="72"/>
      <c r="E78" s="38">
        <v>9062</v>
      </c>
      <c r="F78" s="456" t="s">
        <v>70</v>
      </c>
      <c r="G78" s="39">
        <f t="shared" si="12"/>
        <v>0</v>
      </c>
      <c r="H78" s="39">
        <f t="shared" si="8"/>
        <v>0</v>
      </c>
      <c r="I78" s="33">
        <f>SUM(SUMIFS(GTNDKT1,MUC,$B$49,MaNDKT1,$E78),SUMIFS(GTNDKT2,MUC,$B$49,MaNDKT2,$E78),SUMIFS(GTNDKT3,MUC,$B$49,MaNDKT3,$E78),SUMIFS(GTNDKT4,MUC,$B$49,MaNDKT4,$E78),SUMIFS(GTNDKT5,MUC,$B$49,MaNDKT5,$E78),SUMIFS(GTNDKT6,MUC,$B$49,MaNDKT6,$E78),SUMIFS(GTNDKT7,MUC,$B$49,MaNDKT7,$E78))</f>
        <v>0</v>
      </c>
      <c r="J78" s="39"/>
      <c r="K78" s="39"/>
      <c r="L78" s="39"/>
      <c r="M78" s="46"/>
    </row>
    <row r="79" spans="1:14" ht="24" hidden="1" customHeight="1">
      <c r="A79" s="147" t="s">
        <v>53</v>
      </c>
      <c r="B79" s="147" t="s">
        <v>54</v>
      </c>
      <c r="C79" s="147"/>
      <c r="D79" s="148"/>
      <c r="E79" s="148"/>
      <c r="F79" s="686" t="s">
        <v>526</v>
      </c>
      <c r="G79" s="62">
        <f t="shared" si="2"/>
        <v>0</v>
      </c>
      <c r="H79" s="62">
        <f>+I79+J79+K79</f>
        <v>0</v>
      </c>
      <c r="I79" s="62">
        <f>SUM(I80,I93,I96)</f>
        <v>0</v>
      </c>
      <c r="J79" s="32"/>
      <c r="K79" s="32"/>
      <c r="L79" s="32"/>
      <c r="M79" s="46"/>
    </row>
    <row r="80" spans="1:14" s="43" customFormat="1" ht="21.75" hidden="1" customHeight="1">
      <c r="A80" s="60"/>
      <c r="B80" s="60"/>
      <c r="C80" s="58" t="s">
        <v>30</v>
      </c>
      <c r="D80" s="59"/>
      <c r="E80" s="59"/>
      <c r="F80" s="453" t="s">
        <v>36</v>
      </c>
      <c r="G80" s="61">
        <f t="shared" si="2"/>
        <v>0</v>
      </c>
      <c r="H80" s="61">
        <f t="shared" si="3"/>
        <v>0</v>
      </c>
      <c r="I80" s="61">
        <f>SUM(I81,I83,I88)</f>
        <v>0</v>
      </c>
      <c r="J80" s="61"/>
      <c r="K80" s="61"/>
      <c r="L80" s="61"/>
      <c r="M80" s="55"/>
    </row>
    <row r="81" spans="1:13" s="30" customFormat="1" ht="21.75" hidden="1" customHeight="1">
      <c r="A81" s="36"/>
      <c r="B81" s="34"/>
      <c r="C81" s="48"/>
      <c r="D81" s="34">
        <v>6600</v>
      </c>
      <c r="E81" s="34"/>
      <c r="F81" s="454" t="s">
        <v>55</v>
      </c>
      <c r="G81" s="37">
        <f>+H81+L81</f>
        <v>0</v>
      </c>
      <c r="H81" s="37">
        <f>SUM(I81:K81)</f>
        <v>0</v>
      </c>
      <c r="I81" s="37">
        <f>I82</f>
        <v>0</v>
      </c>
      <c r="J81" s="37"/>
      <c r="K81" s="37"/>
      <c r="L81" s="37"/>
    </row>
    <row r="82" spans="1:13" ht="21.75" hidden="1" customHeight="1">
      <c r="A82" s="49"/>
      <c r="B82" s="49"/>
      <c r="C82" s="36"/>
      <c r="D82" s="36"/>
      <c r="E82" s="49">
        <v>6617</v>
      </c>
      <c r="F82" s="455" t="s">
        <v>56</v>
      </c>
      <c r="G82" s="33">
        <f>+H82+L82</f>
        <v>0</v>
      </c>
      <c r="H82" s="33">
        <f>SUM(I82:K82)</f>
        <v>0</v>
      </c>
      <c r="I82" s="33">
        <f>SUM(SUMIFS(GTNDKT1,MUC,$B$79,MaNDKT1,$E82),SUMIFS(GTNDKT2,MUC,$B$79,MaNDKT2,$E82),SUMIFS(GTNDKT3,MUC,$B$79,MaNDKT3,$E82),SUMIFS(GTNDKT4,MUC,$B$79,MaNDKT4,$E82),SUMIFS(GTNDKT5,MUC,$B$79,MaNDKT5,$E82),SUMIFS(GTNDKT6,MUC,$B$79,MaNDKT6,$E82),SUMIFS(GTNDKT7,MUC,$B$79,MaNDKT7,$E82))</f>
        <v>0</v>
      </c>
      <c r="J82" s="64"/>
      <c r="K82" s="64"/>
      <c r="L82" s="64"/>
      <c r="M82" s="46"/>
    </row>
    <row r="83" spans="1:13" s="30" customFormat="1" ht="21.75" hidden="1" customHeight="1">
      <c r="A83" s="36"/>
      <c r="B83" s="34"/>
      <c r="C83" s="48"/>
      <c r="D83" s="34">
        <v>6650</v>
      </c>
      <c r="E83" s="34"/>
      <c r="F83" s="454" t="s">
        <v>37</v>
      </c>
      <c r="G83" s="37">
        <f t="shared" ref="G83:G110" si="13">H83+L83</f>
        <v>0</v>
      </c>
      <c r="H83" s="37">
        <f t="shared" ref="H83:H95" si="14">SUM(I83:K83)</f>
        <v>0</v>
      </c>
      <c r="I83" s="37">
        <f>SUM(I84:I87)</f>
        <v>0</v>
      </c>
      <c r="J83" s="37">
        <f>SUM(J84:J87)</f>
        <v>0</v>
      </c>
      <c r="K83" s="37">
        <f>SUM(K84:K87)</f>
        <v>0</v>
      </c>
      <c r="L83" s="37"/>
    </row>
    <row r="84" spans="1:13" s="46" customFormat="1" ht="21.75" hidden="1" customHeight="1">
      <c r="A84" s="49"/>
      <c r="B84" s="49"/>
      <c r="C84" s="50"/>
      <c r="D84" s="49"/>
      <c r="E84" s="49">
        <v>6651</v>
      </c>
      <c r="F84" s="455" t="s">
        <v>38</v>
      </c>
      <c r="G84" s="33">
        <f t="shared" si="13"/>
        <v>0</v>
      </c>
      <c r="H84" s="33">
        <f t="shared" si="14"/>
        <v>0</v>
      </c>
      <c r="I84" s="33">
        <f>SUM(SUMIFS(GTNDKT1,MUC,$B$79,MaNDKT1,$E84),SUMIFS(GTNDKT2,MUC,$B$79,MaNDKT2,$E84),SUMIFS(GTNDKT3,MUC,$B$79,MaNDKT3,$E84),SUMIFS(GTNDKT4,MUC,$B$79,MaNDKT4,$E84),SUMIFS(GTNDKT5,MUC,$B$79,MaNDKT5,$E84),SUMIFS(GTNDKT6,MUC,$B$79,MaNDKT6,$E84),SUMIFS(GTNDKT7,MUC,$B$79,MaNDKT7,$E84))</f>
        <v>0</v>
      </c>
      <c r="J84" s="64"/>
      <c r="K84" s="64"/>
      <c r="L84" s="64"/>
    </row>
    <row r="85" spans="1:13" s="46" customFormat="1" ht="21.75" hidden="1" customHeight="1">
      <c r="A85" s="49"/>
      <c r="B85" s="49"/>
      <c r="C85" s="50"/>
      <c r="D85" s="49"/>
      <c r="E85" s="49">
        <v>6655</v>
      </c>
      <c r="F85" s="455" t="s">
        <v>39</v>
      </c>
      <c r="G85" s="33">
        <f t="shared" si="13"/>
        <v>0</v>
      </c>
      <c r="H85" s="33">
        <f t="shared" si="14"/>
        <v>0</v>
      </c>
      <c r="I85" s="33">
        <f>SUM(SUMIFS(GTNDKT1,MUC,$B$79,MaNDKT1,$E85),SUMIFS(GTNDKT2,MUC,$B$79,MaNDKT2,$E85),SUMIFS(GTNDKT3,MUC,$B$79,MaNDKT3,$E85),SUMIFS(GTNDKT4,MUC,$B$79,MaNDKT4,$E85),SUMIFS(GTNDKT5,MUC,$B$79,MaNDKT5,$E85),SUMIFS(GTNDKT6,MUC,$B$79,MaNDKT6,$E85),SUMIFS(GTNDKT7,MUC,$B$79,MaNDKT7,$E85))</f>
        <v>0</v>
      </c>
      <c r="J85" s="64"/>
      <c r="K85" s="64"/>
      <c r="L85" s="64"/>
    </row>
    <row r="86" spans="1:13" s="46" customFormat="1" ht="21.75" hidden="1" customHeight="1">
      <c r="A86" s="49"/>
      <c r="B86" s="49"/>
      <c r="C86" s="50"/>
      <c r="D86" s="49"/>
      <c r="E86" s="49">
        <v>6658</v>
      </c>
      <c r="F86" s="455" t="s">
        <v>40</v>
      </c>
      <c r="G86" s="33">
        <f t="shared" si="13"/>
        <v>0</v>
      </c>
      <c r="H86" s="33">
        <f t="shared" si="14"/>
        <v>0</v>
      </c>
      <c r="I86" s="33">
        <f>SUM(SUMIFS(GTNDKT1,MUC,$B$79,MaNDKT1,$E86),SUMIFS(GTNDKT2,MUC,$B$79,MaNDKT2,$E86),SUMIFS(GTNDKT3,MUC,$B$79,MaNDKT3,$E86),SUMIFS(GTNDKT4,MUC,$B$79,MaNDKT4,$E86),SUMIFS(GTNDKT5,MUC,$B$79,MaNDKT5,$E86),SUMIFS(GTNDKT6,MUC,$B$79,MaNDKT6,$E86),SUMIFS(GTNDKT7,MUC,$B$79,MaNDKT7,$E86))</f>
        <v>0</v>
      </c>
      <c r="J86" s="64"/>
      <c r="K86" s="64"/>
      <c r="L86" s="64"/>
    </row>
    <row r="87" spans="1:13" s="46" customFormat="1" ht="21.75" hidden="1" customHeight="1">
      <c r="A87" s="49"/>
      <c r="B87" s="49"/>
      <c r="C87" s="50"/>
      <c r="D87" s="49"/>
      <c r="E87" s="49">
        <v>6699</v>
      </c>
      <c r="F87" s="455" t="s">
        <v>41</v>
      </c>
      <c r="G87" s="33">
        <f t="shared" si="13"/>
        <v>0</v>
      </c>
      <c r="H87" s="33">
        <f t="shared" si="14"/>
        <v>0</v>
      </c>
      <c r="I87" s="33">
        <f>SUM(SUMIFS(GTNDKT1,MUC,$B$79,MaNDKT1,$E87),SUMIFS(GTNDKT2,MUC,$B$79,MaNDKT2,$E87),SUMIFS(GTNDKT3,MUC,$B$79,MaNDKT3,$E87),SUMIFS(GTNDKT4,MUC,$B$79,MaNDKT4,$E87),SUMIFS(GTNDKT5,MUC,$B$79,MaNDKT5,$E87),SUMIFS(GTNDKT6,MUC,$B$79,MaNDKT6,$E87),SUMIFS(GTNDKT7,MUC,$B$79,MaNDKT7,$E87))</f>
        <v>0</v>
      </c>
      <c r="J87" s="64"/>
      <c r="K87" s="64"/>
      <c r="L87" s="64"/>
    </row>
    <row r="88" spans="1:13" s="30" customFormat="1" ht="21.75" hidden="1" customHeight="1">
      <c r="A88" s="36"/>
      <c r="B88" s="34"/>
      <c r="C88" s="48"/>
      <c r="D88" s="34">
        <v>7000</v>
      </c>
      <c r="E88" s="34"/>
      <c r="F88" s="454" t="s">
        <v>45</v>
      </c>
      <c r="G88" s="37">
        <f t="shared" si="13"/>
        <v>0</v>
      </c>
      <c r="H88" s="37">
        <f t="shared" si="14"/>
        <v>0</v>
      </c>
      <c r="I88" s="37">
        <f>SUM(I89:I92)</f>
        <v>0</v>
      </c>
      <c r="J88" s="37">
        <f>SUM(J89:J91)</f>
        <v>0</v>
      </c>
      <c r="K88" s="37">
        <f>SUM(K89:K91)</f>
        <v>0</v>
      </c>
      <c r="L88" s="37"/>
    </row>
    <row r="89" spans="1:13" ht="33" hidden="1" customHeight="1">
      <c r="A89" s="49"/>
      <c r="B89" s="49"/>
      <c r="C89" s="50"/>
      <c r="D89" s="49"/>
      <c r="E89" s="49">
        <v>7001</v>
      </c>
      <c r="F89" s="455" t="s">
        <v>57</v>
      </c>
      <c r="G89" s="33">
        <f t="shared" si="13"/>
        <v>0</v>
      </c>
      <c r="H89" s="33">
        <f t="shared" si="14"/>
        <v>0</v>
      </c>
      <c r="I89" s="33">
        <f>SUM(SUMIFS(GTNDKT1,MUC,$B$79,MaNDKT1,$E89),SUMIFS(GTNDKT2,MUC,$B$79,MaNDKT2,$E89),SUMIFS(GTNDKT3,MUC,$B$79,MaNDKT3,$E89),SUMIFS(GTNDKT4,MUC,$B$79,MaNDKT4,$E89),SUMIFS(GTNDKT5,MUC,$B$79,MaNDKT5,$E89),SUMIFS(GTNDKT6,MUC,$B$79,MaNDKT6,$E89),SUMIFS(GTNDKT7,MUC,$B$79,MaNDKT7,$E89))</f>
        <v>0</v>
      </c>
      <c r="J89" s="64"/>
      <c r="K89" s="64"/>
      <c r="L89" s="64"/>
      <c r="M89" s="46"/>
    </row>
    <row r="90" spans="1:13" ht="28.5" hidden="1" customHeight="1">
      <c r="A90" s="49"/>
      <c r="B90" s="49"/>
      <c r="C90" s="50"/>
      <c r="D90" s="49"/>
      <c r="E90" s="49">
        <v>7003</v>
      </c>
      <c r="F90" s="455" t="s">
        <v>46</v>
      </c>
      <c r="G90" s="33">
        <f t="shared" si="13"/>
        <v>0</v>
      </c>
      <c r="H90" s="33">
        <f t="shared" si="14"/>
        <v>0</v>
      </c>
      <c r="I90" s="33">
        <f>SUM(SUMIFS(GTNDKT1,MUC,$B$79,MaNDKT1,$E90),SUMIFS(GTNDKT2,MUC,$B$79,MaNDKT2,$E90),SUMIFS(GTNDKT3,MUC,$B$79,MaNDKT3,$E90),SUMIFS(GTNDKT4,MUC,$B$79,MaNDKT4,$E90),SUMIFS(GTNDKT5,MUC,$B$79,MaNDKT5,$E90),SUMIFS(GTNDKT6,MUC,$B$79,MaNDKT6,$E90),SUMIFS(GTNDKT7,MUC,$B$79,MaNDKT7,$E90))</f>
        <v>0</v>
      </c>
      <c r="J90" s="64"/>
      <c r="K90" s="64"/>
      <c r="L90" s="64"/>
      <c r="M90" s="46"/>
    </row>
    <row r="91" spans="1:13" ht="19.5" hidden="1" customHeight="1">
      <c r="A91" s="49"/>
      <c r="B91" s="49"/>
      <c r="C91" s="50"/>
      <c r="D91" s="49"/>
      <c r="E91" s="49">
        <v>7012</v>
      </c>
      <c r="F91" s="455" t="s">
        <v>47</v>
      </c>
      <c r="G91" s="33">
        <f t="shared" si="13"/>
        <v>0</v>
      </c>
      <c r="H91" s="33">
        <f t="shared" si="14"/>
        <v>0</v>
      </c>
      <c r="I91" s="33">
        <f>SUM(SUMIFS(GTNDKT1,MUC,$B$79,MaNDKT1,$E91),SUMIFS(GTNDKT2,MUC,$B$79,MaNDKT2,$E91),SUMIFS(GTNDKT3,MUC,$B$79,MaNDKT3,$E91),SUMIFS(GTNDKT4,MUC,$B$79,MaNDKT4,$E91),SUMIFS(GTNDKT5,MUC,$B$79,MaNDKT5,$E91),SUMIFS(GTNDKT6,MUC,$B$79,MaNDKT6,$E91),SUMIFS(GTNDKT7,MUC,$B$79,MaNDKT7,$E91))</f>
        <v>0</v>
      </c>
      <c r="J91" s="64"/>
      <c r="K91" s="64"/>
      <c r="L91" s="64"/>
      <c r="M91" s="46"/>
    </row>
    <row r="92" spans="1:13" ht="19.5" hidden="1" customHeight="1">
      <c r="A92" s="49"/>
      <c r="B92" s="49"/>
      <c r="C92" s="50"/>
      <c r="D92" s="49"/>
      <c r="E92" s="49">
        <v>7049</v>
      </c>
      <c r="F92" s="455" t="s">
        <v>41</v>
      </c>
      <c r="G92" s="33">
        <f t="shared" si="13"/>
        <v>0</v>
      </c>
      <c r="H92" s="33">
        <f t="shared" si="14"/>
        <v>0</v>
      </c>
      <c r="I92" s="33">
        <f>SUM(SUMIFS(GTNDKT1,MUC,$B$79,MaNDKT1,$E92),SUMIFS(GTNDKT2,MUC,$B$79,MaNDKT2,$E92),SUMIFS(GTNDKT3,MUC,$B$79,MaNDKT3,$E92),SUMIFS(GTNDKT4,MUC,$B$79,MaNDKT4,$E92),SUMIFS(GTNDKT5,MUC,$B$79,MaNDKT5,$E92),SUMIFS(GTNDKT6,MUC,$B$79,MaNDKT6,$E92),SUMIFS(GTNDKT7,MUC,$B$79,MaNDKT7,$E92))</f>
        <v>0</v>
      </c>
      <c r="J92" s="64"/>
      <c r="K92" s="64"/>
      <c r="L92" s="64"/>
      <c r="M92" s="46"/>
    </row>
    <row r="93" spans="1:13" s="43" customFormat="1" ht="19.5" hidden="1" customHeight="1">
      <c r="A93" s="60"/>
      <c r="B93" s="60"/>
      <c r="C93" s="58" t="s">
        <v>31</v>
      </c>
      <c r="D93" s="59"/>
      <c r="E93" s="59"/>
      <c r="F93" s="453" t="s">
        <v>48</v>
      </c>
      <c r="G93" s="61">
        <f t="shared" si="13"/>
        <v>0</v>
      </c>
      <c r="H93" s="61">
        <f t="shared" si="14"/>
        <v>0</v>
      </c>
      <c r="I93" s="61">
        <f>+I94</f>
        <v>0</v>
      </c>
      <c r="J93" s="61"/>
      <c r="K93" s="61"/>
      <c r="L93" s="61"/>
      <c r="M93" s="55"/>
    </row>
    <row r="94" spans="1:13" s="30" customFormat="1" ht="19.5" hidden="1" customHeight="1">
      <c r="A94" s="36"/>
      <c r="B94" s="34"/>
      <c r="C94" s="48"/>
      <c r="D94" s="34">
        <v>7750</v>
      </c>
      <c r="E94" s="34"/>
      <c r="F94" s="454" t="s">
        <v>48</v>
      </c>
      <c r="G94" s="37">
        <f t="shared" si="13"/>
        <v>0</v>
      </c>
      <c r="H94" s="37">
        <f t="shared" si="14"/>
        <v>0</v>
      </c>
      <c r="I94" s="37">
        <f>+I95</f>
        <v>0</v>
      </c>
      <c r="J94" s="37">
        <f>SUM(J95:J95)</f>
        <v>0</v>
      </c>
      <c r="K94" s="37">
        <f>SUM(K95:K95)</f>
        <v>0</v>
      </c>
      <c r="L94" s="37"/>
    </row>
    <row r="95" spans="1:13" ht="19.5" hidden="1" customHeight="1">
      <c r="A95" s="152"/>
      <c r="B95" s="152"/>
      <c r="C95" s="153"/>
      <c r="D95" s="152"/>
      <c r="E95" s="152">
        <v>7758</v>
      </c>
      <c r="F95" s="458" t="s">
        <v>50</v>
      </c>
      <c r="G95" s="154">
        <f t="shared" si="13"/>
        <v>0</v>
      </c>
      <c r="H95" s="154">
        <f t="shared" si="14"/>
        <v>0</v>
      </c>
      <c r="I95" s="33">
        <f>SUM(SUMIFS(GTNDKT1,MUC,$B$79,MaNDKT1,$E95),SUMIFS(GTNDKT2,MUC,$B$79,MaNDKT2,$E95),SUMIFS(GTNDKT3,MUC,$B$79,MaNDKT3,$E95),SUMIFS(GTNDKT4,MUC,$B$79,MaNDKT4,$E95),SUMIFS(GTNDKT5,MUC,$B$79,MaNDKT5,$E95),SUMIFS(GTNDKT6,MUC,$B$79,MaNDKT6,$E95),SUMIFS(GTNDKT7,MUC,$B$79,MaNDKT7,$E95))</f>
        <v>0</v>
      </c>
      <c r="J95" s="155"/>
      <c r="K95" s="155"/>
      <c r="L95" s="155"/>
      <c r="M95" s="46"/>
    </row>
    <row r="96" spans="1:13" ht="30.75" hidden="1" customHeight="1">
      <c r="A96" s="156"/>
      <c r="B96" s="156"/>
      <c r="C96" s="157" t="s">
        <v>105</v>
      </c>
      <c r="D96" s="156">
        <v>9050</v>
      </c>
      <c r="E96" s="156"/>
      <c r="F96" s="459" t="s">
        <v>106</v>
      </c>
      <c r="G96" s="151">
        <f>+H96+I96</f>
        <v>0</v>
      </c>
      <c r="H96" s="151"/>
      <c r="I96" s="151">
        <f>SUM(I97:I99)</f>
        <v>0</v>
      </c>
      <c r="J96" s="158"/>
      <c r="K96" s="158"/>
      <c r="L96" s="158"/>
      <c r="M96" s="46"/>
    </row>
    <row r="97" spans="1:13" ht="18.75" hidden="1" customHeight="1">
      <c r="A97" s="49"/>
      <c r="B97" s="49"/>
      <c r="C97" s="50"/>
      <c r="D97" s="49"/>
      <c r="E97" s="49">
        <v>9055</v>
      </c>
      <c r="F97" s="455" t="s">
        <v>107</v>
      </c>
      <c r="G97" s="33"/>
      <c r="H97" s="33">
        <f>SUM(I97:L97)</f>
        <v>0</v>
      </c>
      <c r="I97" s="33">
        <f>SUM(SUMIFS(GTNDKT1,MUC,$B$79,MaNDKT1,$E97),SUMIFS(GTNDKT2,MUC,$B$79,MaNDKT2,$E97),SUMIFS(GTNDKT3,MUC,$B$79,MaNDKT3,$E97),SUMIFS(GTNDKT4,MUC,$B$79,MaNDKT4,$E97),SUMIFS(GTNDKT5,MUC,$B$79,MaNDKT5,$E97),SUMIFS(GTNDKT6,MUC,$B$79,MaNDKT6,$E97),SUMIFS(GTNDKT7,MUC,$B$79,MaNDKT7,$E97))</f>
        <v>0</v>
      </c>
      <c r="J97" s="64"/>
      <c r="K97" s="64"/>
      <c r="L97" s="64"/>
      <c r="M97" s="46"/>
    </row>
    <row r="98" spans="1:13" ht="18.75" hidden="1" customHeight="1">
      <c r="A98" s="49"/>
      <c r="B98" s="49"/>
      <c r="C98" s="50"/>
      <c r="D98" s="49"/>
      <c r="E98" s="49">
        <v>9062</v>
      </c>
      <c r="F98" s="455" t="s">
        <v>70</v>
      </c>
      <c r="G98" s="33"/>
      <c r="H98" s="33">
        <f>SUM(I98:L98)</f>
        <v>0</v>
      </c>
      <c r="I98" s="33">
        <f>SUM(SUMIFS(GTNDKT1,MUC,$B$79,MaNDKT1,$E98),SUMIFS(GTNDKT2,MUC,$B$79,MaNDKT2,$E98),SUMIFS(GTNDKT3,MUC,$B$79,MaNDKT3,$E98),SUMIFS(GTNDKT4,MUC,$B$79,MaNDKT4,$E98),SUMIFS(GTNDKT5,MUC,$B$79,MaNDKT5,$E98),SUMIFS(GTNDKT6,MUC,$B$79,MaNDKT6,$E98),SUMIFS(GTNDKT7,MUC,$B$79,MaNDKT7,$E98))</f>
        <v>0</v>
      </c>
      <c r="J98" s="64"/>
      <c r="K98" s="64"/>
      <c r="L98" s="64"/>
      <c r="M98" s="46"/>
    </row>
    <row r="99" spans="1:13" ht="18.75" hidden="1" customHeight="1">
      <c r="A99" s="159"/>
      <c r="B99" s="159"/>
      <c r="C99" s="160"/>
      <c r="D99" s="161"/>
      <c r="E99" s="65">
        <v>9099</v>
      </c>
      <c r="F99" s="456" t="s">
        <v>108</v>
      </c>
      <c r="G99" s="162"/>
      <c r="H99" s="39">
        <f>SUM(I99:L99)</f>
        <v>0</v>
      </c>
      <c r="I99" s="33">
        <f>SUM(SUMIFS(GTNDKT1,MUC,$B$79,MaNDKT1,$E99),SUMIFS(GTNDKT2,MUC,$B$79,MaNDKT2,$E99),SUMIFS(GTNDKT3,MUC,$B$79,MaNDKT3,$E99),SUMIFS(GTNDKT4,MUC,$B$79,MaNDKT4,$E99),SUMIFS(GTNDKT5,MUC,$B$79,MaNDKT5,$E99),SUMIFS(GTNDKT6,MUC,$B$79,MaNDKT6,$E99),SUMIFS(GTNDKT7,MUC,$B$79,MaNDKT7,$E99))</f>
        <v>0</v>
      </c>
      <c r="J99" s="162"/>
      <c r="K99" s="162"/>
      <c r="L99" s="162"/>
      <c r="M99" s="46"/>
    </row>
    <row r="100" spans="1:13" s="149" customFormat="1" ht="23.25" hidden="1" customHeight="1">
      <c r="A100" s="147">
        <v>460</v>
      </c>
      <c r="B100" s="147">
        <v>432</v>
      </c>
      <c r="C100" s="147"/>
      <c r="D100" s="147"/>
      <c r="E100" s="100"/>
      <c r="F100" s="686" t="s">
        <v>104</v>
      </c>
      <c r="G100" s="101">
        <f t="shared" si="13"/>
        <v>0</v>
      </c>
      <c r="H100" s="101">
        <f>+I100+J100+K100</f>
        <v>0</v>
      </c>
      <c r="I100" s="101">
        <f>I101</f>
        <v>0</v>
      </c>
      <c r="J100" s="102"/>
      <c r="K100" s="102"/>
      <c r="L100" s="102"/>
      <c r="M100" s="103"/>
    </row>
    <row r="101" spans="1:13" s="150" customFormat="1" ht="21" hidden="1" customHeight="1">
      <c r="A101" s="82"/>
      <c r="B101" s="82"/>
      <c r="C101" s="83" t="s">
        <v>30</v>
      </c>
      <c r="D101" s="84"/>
      <c r="E101" s="84"/>
      <c r="F101" s="460" t="s">
        <v>36</v>
      </c>
      <c r="G101" s="85">
        <f t="shared" si="13"/>
        <v>0</v>
      </c>
      <c r="H101" s="85">
        <f>SUM(I101:K101)</f>
        <v>0</v>
      </c>
      <c r="I101" s="85">
        <f>I102</f>
        <v>0</v>
      </c>
      <c r="J101" s="86"/>
      <c r="K101" s="86"/>
      <c r="L101" s="86"/>
      <c r="M101" s="80"/>
    </row>
    <row r="102" spans="1:13" s="150" customFormat="1" ht="21" hidden="1" customHeight="1">
      <c r="A102" s="87"/>
      <c r="B102" s="88"/>
      <c r="C102" s="89"/>
      <c r="D102" s="84">
        <v>6700</v>
      </c>
      <c r="E102" s="90"/>
      <c r="F102" s="461" t="s">
        <v>42</v>
      </c>
      <c r="G102" s="91">
        <f t="shared" si="13"/>
        <v>0</v>
      </c>
      <c r="H102" s="91">
        <f>SUM(I102:K102)</f>
        <v>0</v>
      </c>
      <c r="I102" s="85">
        <f>SUM(I103:I105)</f>
        <v>0</v>
      </c>
      <c r="J102" s="85">
        <f>SUM(J103:J105)</f>
        <v>0</v>
      </c>
      <c r="K102" s="85">
        <f>SUM(K103:K105)</f>
        <v>0</v>
      </c>
      <c r="L102" s="85"/>
      <c r="M102" s="81"/>
    </row>
    <row r="103" spans="1:13" s="150" customFormat="1" ht="21" hidden="1" customHeight="1">
      <c r="A103" s="87"/>
      <c r="B103" s="88"/>
      <c r="C103" s="89"/>
      <c r="D103" s="92"/>
      <c r="E103" s="92">
        <v>6702</v>
      </c>
      <c r="F103" s="462" t="s">
        <v>43</v>
      </c>
      <c r="G103" s="91">
        <f t="shared" si="13"/>
        <v>0</v>
      </c>
      <c r="H103" s="91">
        <f>SUM(I103:K103)</f>
        <v>0</v>
      </c>
      <c r="I103" s="33">
        <f>SUM(SUMIFS(GTNDKT1,MUC,$B$100,MaNDKT1,$E103),SUMIFS(GTNDKT2,MUC,$B$100,MaNDKT2,$E103),SUMIFS(GTNDKT3,MUC,$B$100,MaNDKT3,$E103),SUMIFS(GTNDKT4,MUC,$B$100,MaNDKT4,$E103),SUMIFS(GTNDKT5,MUC,$B$100,MaNDKT5,$E103),SUMIFS(GTNDKT6,MUC,$B$100,MaNDKT6,$E103),SUMIFS(GTNDKT7,MUC,$B$100,MaNDKT7,$E103))</f>
        <v>0</v>
      </c>
      <c r="J103" s="85"/>
      <c r="K103" s="85"/>
      <c r="L103" s="85"/>
      <c r="M103" s="81"/>
    </row>
    <row r="104" spans="1:13" s="150" customFormat="1" ht="21" hidden="1" customHeight="1">
      <c r="A104" s="87"/>
      <c r="B104" s="88"/>
      <c r="C104" s="89"/>
      <c r="D104" s="92"/>
      <c r="E104" s="92">
        <v>6703</v>
      </c>
      <c r="F104" s="462" t="s">
        <v>44</v>
      </c>
      <c r="G104" s="91">
        <f t="shared" si="13"/>
        <v>0</v>
      </c>
      <c r="H104" s="91">
        <f>SUM(I104:K104)</f>
        <v>0</v>
      </c>
      <c r="I104" s="33">
        <f>SUM(SUMIFS(GTNDKT1,MUC,$B$100,MaNDKT1,$E104),SUMIFS(GTNDKT2,MUC,$B$100,MaNDKT2,$E104),SUMIFS(GTNDKT3,MUC,$B$100,MaNDKT3,$E104),SUMIFS(GTNDKT4,MUC,$B$100,MaNDKT4,$E104),SUMIFS(GTNDKT5,MUC,$B$100,MaNDKT5,$E104),SUMIFS(GTNDKT6,MUC,$B$100,MaNDKT6,$E104),SUMIFS(GTNDKT7,MUC,$B$100,MaNDKT7,$E104))</f>
        <v>0</v>
      </c>
      <c r="J104" s="85"/>
      <c r="K104" s="85"/>
      <c r="L104" s="85"/>
      <c r="M104" s="81"/>
    </row>
    <row r="105" spans="1:13" s="150" customFormat="1" ht="21" hidden="1" customHeight="1">
      <c r="A105" s="87"/>
      <c r="B105" s="88"/>
      <c r="C105" s="89"/>
      <c r="D105" s="92"/>
      <c r="E105" s="92">
        <v>6749</v>
      </c>
      <c r="F105" s="462" t="s">
        <v>19</v>
      </c>
      <c r="G105" s="91">
        <f t="shared" si="13"/>
        <v>0</v>
      </c>
      <c r="H105" s="91">
        <f>SUM(I105:K105)</f>
        <v>0</v>
      </c>
      <c r="I105" s="33">
        <f>SUM(SUMIFS(GTNDKT1,MUC,$B$100,MaNDKT1,$E105),SUMIFS(GTNDKT2,MUC,$B$100,MaNDKT2,$E105),SUMIFS(GTNDKT3,MUC,$B$100,MaNDKT3,$E105),SUMIFS(GTNDKT4,MUC,$B$100,MaNDKT4,$E105),SUMIFS(GTNDKT5,MUC,$B$100,MaNDKT5,$E105),SUMIFS(GTNDKT6,MUC,$B$100,MaNDKT6,$E105),SUMIFS(GTNDKT7,MUC,$B$100,MaNDKT7,$E105))</f>
        <v>0</v>
      </c>
      <c r="J105" s="85"/>
      <c r="K105" s="85"/>
      <c r="L105" s="85"/>
      <c r="M105" s="81"/>
    </row>
    <row r="106" spans="1:13" s="150" customFormat="1" ht="21" hidden="1" customHeight="1">
      <c r="A106" s="82"/>
      <c r="B106" s="82"/>
      <c r="C106" s="89"/>
      <c r="D106" s="84">
        <v>8150</v>
      </c>
      <c r="E106" s="84"/>
      <c r="F106" s="461" t="s">
        <v>45</v>
      </c>
      <c r="G106" s="85">
        <f t="shared" si="13"/>
        <v>0</v>
      </c>
      <c r="H106" s="85">
        <f t="shared" ref="H106:H110" si="15">SUM(I106:K106)</f>
        <v>0</v>
      </c>
      <c r="I106" s="85">
        <f>SUM(I107:I110)</f>
        <v>0</v>
      </c>
      <c r="J106" s="86">
        <f>SUM(J107:J109)</f>
        <v>0</v>
      </c>
      <c r="K106" s="86">
        <f>SUM(K107:K109)</f>
        <v>0</v>
      </c>
      <c r="L106" s="86"/>
      <c r="M106" s="81"/>
    </row>
    <row r="107" spans="1:13" s="150" customFormat="1" ht="29.25" hidden="1" customHeight="1">
      <c r="A107" s="82"/>
      <c r="B107" s="82"/>
      <c r="C107" s="89"/>
      <c r="D107" s="93"/>
      <c r="E107" s="93">
        <v>8151</v>
      </c>
      <c r="F107" s="462" t="s">
        <v>100</v>
      </c>
      <c r="G107" s="85">
        <f t="shared" si="13"/>
        <v>0</v>
      </c>
      <c r="H107" s="85">
        <f t="shared" si="15"/>
        <v>0</v>
      </c>
      <c r="I107" s="33">
        <f>SUM(SUMIFS(GTNDKT1,MUC,$B$100,MaNDKT1,$E107),SUMIFS(GTNDKT2,MUC,$B$100,MaNDKT2,$E107),SUMIFS(GTNDKT3,MUC,$B$100,MaNDKT3,$E107),SUMIFS(GTNDKT4,MUC,$B$100,MaNDKT4,$E107),SUMIFS(GTNDKT5,MUC,$B$100,MaNDKT5,$E107),SUMIFS(GTNDKT6,MUC,$B$100,MaNDKT6,$E107),SUMIFS(GTNDKT7,MUC,$B$100,MaNDKT7,$E107))</f>
        <v>0</v>
      </c>
      <c r="J107" s="86"/>
      <c r="K107" s="86"/>
      <c r="L107" s="86"/>
      <c r="M107" s="81"/>
    </row>
    <row r="108" spans="1:13" s="150" customFormat="1" ht="21.75" hidden="1" customHeight="1">
      <c r="A108" s="82"/>
      <c r="B108" s="82"/>
      <c r="C108" s="89"/>
      <c r="D108" s="93"/>
      <c r="E108" s="93">
        <v>8152</v>
      </c>
      <c r="F108" s="462" t="s">
        <v>101</v>
      </c>
      <c r="G108" s="85">
        <f t="shared" si="13"/>
        <v>0</v>
      </c>
      <c r="H108" s="85">
        <f t="shared" si="15"/>
        <v>0</v>
      </c>
      <c r="I108" s="33">
        <f>SUM(SUMIFS(GTNDKT1,MUC,$B$100,MaNDKT1,$E108),SUMIFS(GTNDKT2,MUC,$B$100,MaNDKT2,$E108),SUMIFS(GTNDKT3,MUC,$B$100,MaNDKT3,$E108),SUMIFS(GTNDKT4,MUC,$B$100,MaNDKT4,$E108),SUMIFS(GTNDKT5,MUC,$B$100,MaNDKT5,$E108),SUMIFS(GTNDKT6,MUC,$B$100,MaNDKT6,$E108),SUMIFS(GTNDKT7,MUC,$B$100,MaNDKT7,$E108))</f>
        <v>0</v>
      </c>
      <c r="J108" s="86"/>
      <c r="K108" s="86"/>
      <c r="L108" s="86"/>
      <c r="M108" s="81"/>
    </row>
    <row r="109" spans="1:13" s="150" customFormat="1" ht="21.75" hidden="1" customHeight="1">
      <c r="A109" s="82"/>
      <c r="B109" s="82"/>
      <c r="C109" s="89"/>
      <c r="D109" s="93"/>
      <c r="E109" s="93">
        <v>8153</v>
      </c>
      <c r="F109" s="462" t="s">
        <v>102</v>
      </c>
      <c r="G109" s="85">
        <f>H109+L109</f>
        <v>0</v>
      </c>
      <c r="H109" s="85">
        <f>SUM(I109:K109)</f>
        <v>0</v>
      </c>
      <c r="I109" s="33">
        <f>SUM(SUMIFS(GTNDKT1,MUC,$B$100,MaNDKT1,$E109),SUMIFS(GTNDKT2,MUC,$B$100,MaNDKT2,$E109),SUMIFS(GTNDKT3,MUC,$B$100,MaNDKT3,$E109),SUMIFS(GTNDKT4,MUC,$B$100,MaNDKT4,$E109),SUMIFS(GTNDKT5,MUC,$B$100,MaNDKT5,$E109),SUMIFS(GTNDKT6,MUC,$B$100,MaNDKT6,$E109),SUMIFS(GTNDKT7,MUC,$B$100,MaNDKT7,$E109))</f>
        <v>0</v>
      </c>
      <c r="J109" s="86"/>
      <c r="K109" s="86"/>
      <c r="L109" s="86"/>
      <c r="M109" s="81"/>
    </row>
    <row r="110" spans="1:13" s="150" customFormat="1" ht="21.75" hidden="1" customHeight="1">
      <c r="A110" s="82"/>
      <c r="B110" s="82"/>
      <c r="C110" s="89"/>
      <c r="D110" s="93"/>
      <c r="E110" s="93">
        <v>8199</v>
      </c>
      <c r="F110" s="462" t="s">
        <v>103</v>
      </c>
      <c r="G110" s="85">
        <f t="shared" si="13"/>
        <v>0</v>
      </c>
      <c r="H110" s="85">
        <f t="shared" si="15"/>
        <v>0</v>
      </c>
      <c r="I110" s="33">
        <f>SUM(SUMIFS(GTNDKT1,MUC,$B$100,MaNDKT1,$E110),SUMIFS(GTNDKT2,MUC,$B$100,MaNDKT2,$E110),SUMIFS(GTNDKT3,MUC,$B$100,MaNDKT3,$E110),SUMIFS(GTNDKT4,MUC,$B$100,MaNDKT4,$E110),SUMIFS(GTNDKT5,MUC,$B$100,MaNDKT5,$E110),SUMIFS(GTNDKT6,MUC,$B$100,MaNDKT6,$E110),SUMIFS(GTNDKT7,MUC,$B$100,MaNDKT7,$E110))</f>
        <v>0</v>
      </c>
      <c r="J110" s="86"/>
      <c r="K110" s="86"/>
      <c r="L110" s="86"/>
      <c r="M110" s="81"/>
    </row>
    <row r="111" spans="1:13" ht="24" hidden="1" customHeight="1">
      <c r="A111" s="163" t="s">
        <v>61</v>
      </c>
      <c r="B111" s="163" t="s">
        <v>71</v>
      </c>
      <c r="C111" s="163"/>
      <c r="D111" s="164"/>
      <c r="E111" s="164"/>
      <c r="F111" s="686" t="s">
        <v>72</v>
      </c>
      <c r="G111" s="165"/>
      <c r="H111" s="165"/>
      <c r="I111" s="165">
        <f>I112+I114</f>
        <v>0</v>
      </c>
      <c r="J111" s="166"/>
      <c r="K111" s="166"/>
      <c r="L111" s="166"/>
      <c r="M111" s="46"/>
    </row>
    <row r="112" spans="1:13" s="31" customFormat="1" ht="21.75" hidden="1" customHeight="1">
      <c r="A112" s="167"/>
      <c r="B112" s="167"/>
      <c r="C112" s="168"/>
      <c r="D112" s="167">
        <v>9300</v>
      </c>
      <c r="E112" s="167"/>
      <c r="F112" s="169" t="s">
        <v>73</v>
      </c>
      <c r="G112" s="170"/>
      <c r="H112" s="170"/>
      <c r="I112" s="170">
        <f>+I113</f>
        <v>0</v>
      </c>
      <c r="J112" s="171"/>
      <c r="K112" s="171"/>
      <c r="L112" s="171"/>
      <c r="M112" s="30"/>
    </row>
    <row r="113" spans="1:13" ht="27" hidden="1" customHeight="1">
      <c r="A113" s="56"/>
      <c r="B113" s="57"/>
      <c r="C113" s="44"/>
      <c r="D113" s="27"/>
      <c r="E113" s="28">
        <v>9301</v>
      </c>
      <c r="F113" s="29" t="s">
        <v>74</v>
      </c>
      <c r="G113" s="26"/>
      <c r="H113" s="26"/>
      <c r="I113" s="26">
        <f>SUM(SUMIFS(GTNDKT1,MUC,$B$111,MaNDKT1,$E113),SUMIFS(GTNDKT2,MUC,$B$111,MaNDKT2,$E113),SUMIFS(GTNDKT3,MUC,$B$111,MaNDKT3,$E113),SUMIFS(GTNDKT4,MUC,$B$111,MaNDKT4,$E113),SUMIFS(GTNDKT5,MUC,$B$111,MaNDKT5,$E113))</f>
        <v>0</v>
      </c>
      <c r="J113" s="26"/>
      <c r="K113" s="26"/>
      <c r="L113" s="26"/>
      <c r="M113" s="46"/>
    </row>
    <row r="114" spans="1:13" s="31" customFormat="1" ht="21.75" hidden="1" customHeight="1">
      <c r="A114" s="167"/>
      <c r="B114" s="167"/>
      <c r="C114" s="168"/>
      <c r="D114" s="167">
        <v>9400</v>
      </c>
      <c r="E114" s="167"/>
      <c r="F114" s="169" t="s">
        <v>41</v>
      </c>
      <c r="G114" s="170"/>
      <c r="H114" s="170"/>
      <c r="I114" s="170">
        <f>+I115+I116</f>
        <v>0</v>
      </c>
      <c r="J114" s="171"/>
      <c r="K114" s="171"/>
      <c r="L114" s="171"/>
      <c r="M114" s="30"/>
    </row>
    <row r="115" spans="1:13" ht="27" hidden="1" customHeight="1">
      <c r="A115" s="56"/>
      <c r="B115" s="57"/>
      <c r="C115" s="44"/>
      <c r="D115" s="27"/>
      <c r="E115" s="28">
        <v>9401</v>
      </c>
      <c r="F115" s="29" t="s">
        <v>75</v>
      </c>
      <c r="G115" s="26"/>
      <c r="H115" s="26"/>
      <c r="I115" s="26">
        <f>SUM(SUMIFS(GTNDKT1,MUC,$B$111,MaNDKT1,$E115),SUMIFS(GTNDKT2,MUC,$B$111,MaNDKT2,$E115),SUMIFS(GTNDKT3,MUC,$B$111,MaNDKT3,$E115),SUMIFS(GTNDKT4,MUC,$B$111,MaNDKT4,$E115),SUMIFS(GTNDKT5,MUC,$B$111,MaNDKT5,$E115))</f>
        <v>0</v>
      </c>
      <c r="J115" s="26"/>
      <c r="K115" s="26"/>
      <c r="L115" s="26"/>
      <c r="M115" s="46"/>
    </row>
    <row r="116" spans="1:13" ht="27" hidden="1" customHeight="1">
      <c r="A116" s="56"/>
      <c r="B116" s="57"/>
      <c r="C116" s="44"/>
      <c r="D116" s="27"/>
      <c r="E116" s="28">
        <v>9402</v>
      </c>
      <c r="F116" s="29" t="s">
        <v>76</v>
      </c>
      <c r="G116" s="26">
        <f>H116+L116</f>
        <v>0</v>
      </c>
      <c r="H116" s="26">
        <f>SUM(I116:K116)</f>
        <v>0</v>
      </c>
      <c r="I116" s="26">
        <f>SUM(SUMIFS(GTNDKT1,MUC,$B$111,MaNDKT1,$E116),SUMIFS(GTNDKT2,MUC,$B$111,MaNDKT2,$E116),SUMIFS(GTNDKT3,MUC,$B$111,MaNDKT3,$E116),SUMIFS(GTNDKT4,MUC,$B$111,MaNDKT4,$E116),SUMIFS(GTNDKT5,MUC,$B$111,MaNDKT5,$E116))</f>
        <v>0</v>
      </c>
      <c r="J116" s="26"/>
      <c r="K116" s="26"/>
      <c r="L116" s="26"/>
      <c r="M116" s="46"/>
    </row>
    <row r="117" spans="1:13" ht="27" customHeight="1">
      <c r="A117" s="73"/>
      <c r="B117" s="73"/>
      <c r="C117" s="74"/>
      <c r="D117" s="75"/>
      <c r="E117" s="75"/>
      <c r="F117" s="76" t="s">
        <v>77</v>
      </c>
      <c r="G117" s="792">
        <f>H117+L117</f>
        <v>5179755</v>
      </c>
      <c r="H117" s="792">
        <f>SUM(I117:K117)</f>
        <v>5179755</v>
      </c>
      <c r="I117" s="792">
        <f>I6+I111</f>
        <v>5179755</v>
      </c>
      <c r="J117" s="792"/>
      <c r="K117" s="792"/>
      <c r="L117" s="792"/>
      <c r="M117" s="146"/>
    </row>
    <row r="119" spans="1:13" s="43" customFormat="1" ht="21.75" customHeight="1">
      <c r="A119" s="981" t="s">
        <v>78</v>
      </c>
      <c r="B119" s="981"/>
      <c r="C119" s="981"/>
      <c r="D119" s="981"/>
      <c r="F119" s="981" t="s">
        <v>79</v>
      </c>
      <c r="G119" s="981"/>
      <c r="H119" s="981"/>
      <c r="I119" s="981" t="s">
        <v>80</v>
      </c>
      <c r="J119" s="981"/>
      <c r="K119" s="981"/>
    </row>
    <row r="123" spans="1:13" s="43" customFormat="1" ht="21.75" customHeight="1">
      <c r="A123" s="981"/>
      <c r="B123" s="981"/>
      <c r="C123" s="981"/>
      <c r="D123" s="981"/>
      <c r="F123" s="981"/>
      <c r="G123" s="981"/>
      <c r="H123" s="981"/>
      <c r="I123" s="981"/>
      <c r="J123" s="981"/>
      <c r="K123" s="981"/>
    </row>
  </sheetData>
  <sheetProtection formatCells="0" formatColumns="0" formatRows="0"/>
  <mergeCells count="17">
    <mergeCell ref="F123:H123"/>
    <mergeCell ref="I123:K123"/>
    <mergeCell ref="A119:D119"/>
    <mergeCell ref="A123:D123"/>
    <mergeCell ref="A2:L2"/>
    <mergeCell ref="I119:K119"/>
    <mergeCell ref="F119:H119"/>
    <mergeCell ref="A1:L1"/>
    <mergeCell ref="A3:A4"/>
    <mergeCell ref="B3:B4"/>
    <mergeCell ref="C3:C4"/>
    <mergeCell ref="D3:D4"/>
    <mergeCell ref="H3:K3"/>
    <mergeCell ref="L3:L4"/>
    <mergeCell ref="E3:E4"/>
    <mergeCell ref="F3:F4"/>
    <mergeCell ref="G3:G4"/>
  </mergeCells>
  <phoneticPr fontId="28" type="noConversion"/>
  <conditionalFormatting sqref="N59:IV62 A3:L6 M1:M6 N9:IV14 A15:XFD15 A19:XFD19 A24:XFD24 A81:XFD81 A94:XFD94 A82:H82 A83:XFD83 A93:M93 A113:M113 A115:M117 A96:M96 A16:M18 A20:M23 J82:M82 A88:XFD88 A84:H87 J84:XFD87 A89:H92 J89:M92 A95:H95 J95:M95 A97:H99 J97:M99 A100:M110 A7:M14 A25:M38 A58:M80 A41:M50 G39 A40:G40 J40:M40 H39:I40">
    <cfRule type="cellIs" dxfId="25" priority="47" stopIfTrue="1" operator="between">
      <formula>0</formula>
      <formula>0</formula>
    </cfRule>
  </conditionalFormatting>
  <conditionalFormatting sqref="A111:E111 G111:M111">
    <cfRule type="cellIs" dxfId="24" priority="46" stopIfTrue="1" operator="between">
      <formula>0</formula>
      <formula>0</formula>
    </cfRule>
  </conditionalFormatting>
  <conditionalFormatting sqref="A112:M112">
    <cfRule type="cellIs" dxfId="23" priority="45" stopIfTrue="1" operator="between">
      <formula>0</formula>
      <formula>0</formula>
    </cfRule>
  </conditionalFormatting>
  <conditionalFormatting sqref="A114:M114">
    <cfRule type="cellIs" dxfId="22" priority="44" stopIfTrue="1" operator="between">
      <formula>0</formula>
      <formula>0</formula>
    </cfRule>
  </conditionalFormatting>
  <conditionalFormatting sqref="I82">
    <cfRule type="cellIs" dxfId="21" priority="34" stopIfTrue="1" operator="between">
      <formula>0</formula>
      <formula>0</formula>
    </cfRule>
  </conditionalFormatting>
  <conditionalFormatting sqref="I84:I87">
    <cfRule type="cellIs" dxfId="20" priority="33" stopIfTrue="1" operator="between">
      <formula>0</formula>
      <formula>0</formula>
    </cfRule>
  </conditionalFormatting>
  <conditionalFormatting sqref="I89:I92">
    <cfRule type="cellIs" dxfId="19" priority="32" stopIfTrue="1" operator="between">
      <formula>0</formula>
      <formula>0</formula>
    </cfRule>
  </conditionalFormatting>
  <conditionalFormatting sqref="I95">
    <cfRule type="cellIs" dxfId="18" priority="31" stopIfTrue="1" operator="between">
      <formula>0</formula>
      <formula>0</formula>
    </cfRule>
  </conditionalFormatting>
  <conditionalFormatting sqref="I97:I99">
    <cfRule type="cellIs" dxfId="17" priority="30" stopIfTrue="1" operator="between">
      <formula>0</formula>
      <formula>0</formula>
    </cfRule>
  </conditionalFormatting>
  <conditionalFormatting sqref="F111">
    <cfRule type="cellIs" dxfId="16" priority="22" stopIfTrue="1" operator="between">
      <formula>0</formula>
      <formula>0</formula>
    </cfRule>
  </conditionalFormatting>
  <conditionalFormatting sqref="A52:IV52">
    <cfRule type="cellIs" dxfId="15" priority="17" stopIfTrue="1" operator="between">
      <formula>0</formula>
      <formula>0</formula>
    </cfRule>
  </conditionalFormatting>
  <conditionalFormatting sqref="A51:F51 I51:M51">
    <cfRule type="cellIs" dxfId="14" priority="20" stopIfTrue="1" operator="between">
      <formula>0</formula>
      <formula>0</formula>
    </cfRule>
  </conditionalFormatting>
  <conditionalFormatting sqref="H51">
    <cfRule type="cellIs" dxfId="13" priority="15" stopIfTrue="1" operator="between">
      <formula>0</formula>
      <formula>0</formula>
    </cfRule>
  </conditionalFormatting>
  <conditionalFormatting sqref="A53:IV54">
    <cfRule type="cellIs" dxfId="12" priority="9" stopIfTrue="1" operator="between">
      <formula>0</formula>
      <formula>0</formula>
    </cfRule>
  </conditionalFormatting>
  <conditionalFormatting sqref="G51">
    <cfRule type="cellIs" dxfId="11" priority="16" stopIfTrue="1" operator="between">
      <formula>0</formula>
      <formula>0</formula>
    </cfRule>
  </conditionalFormatting>
  <conditionalFormatting sqref="A57:IV57">
    <cfRule type="cellIs" dxfId="10" priority="8" stopIfTrue="1" operator="between">
      <formula>0</formula>
      <formula>0</formula>
    </cfRule>
  </conditionalFormatting>
  <conditionalFormatting sqref="A55:M55">
    <cfRule type="cellIs" dxfId="9" priority="6" stopIfTrue="1" operator="between">
      <formula>0</formula>
      <formula>0</formula>
    </cfRule>
  </conditionalFormatting>
  <conditionalFormatting sqref="A56:IV56">
    <cfRule type="cellIs" dxfId="8" priority="5" stopIfTrue="1" operator="between">
      <formula>0</formula>
      <formula>0</formula>
    </cfRule>
  </conditionalFormatting>
  <conditionalFormatting sqref="A39:E39 J39:M39">
    <cfRule type="cellIs" dxfId="7" priority="2" stopIfTrue="1" operator="between">
      <formula>0</formula>
      <formula>0</formula>
    </cfRule>
  </conditionalFormatting>
  <conditionalFormatting sqref="F39">
    <cfRule type="cellIs" dxfId="6" priority="1" stopIfTrue="1" operator="between">
      <formula>0</formula>
      <formula>0</formula>
    </cfRule>
  </conditionalFormatting>
  <pageMargins left="0.23622047244094491" right="0.15748031496062992" top="0.35433070866141736" bottom="0.46" header="0.23622047244094491" footer="0.19685039370078741"/>
  <pageSetup paperSize="9" orientation="landscape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rang_tính4">
    <tabColor rgb="FFFFC000"/>
  </sheetPr>
  <dimension ref="A1:L105"/>
  <sheetViews>
    <sheetView topLeftCell="B1" workbookViewId="0">
      <pane ySplit="5" topLeftCell="A6" activePane="bottomLeft" state="frozen"/>
      <selection activeCell="B1" sqref="B1"/>
      <selection pane="bottomLeft" activeCell="F14" sqref="F14"/>
    </sheetView>
  </sheetViews>
  <sheetFormatPr defaultRowHeight="15.75"/>
  <cols>
    <col min="1" max="1" width="7.85546875" style="567" hidden="1" customWidth="1"/>
    <col min="2" max="2" width="6.85546875" style="567" customWidth="1"/>
    <col min="3" max="3" width="9.140625" style="567"/>
    <col min="4" max="4" width="11.5703125" style="567" customWidth="1"/>
    <col min="5" max="5" width="22.140625" style="567" customWidth="1"/>
    <col min="6" max="6" width="32.5703125" style="567" customWidth="1"/>
    <col min="7" max="7" width="59.85546875" style="567" customWidth="1"/>
    <col min="8" max="8" width="8.28515625" style="628" customWidth="1"/>
    <col min="9" max="9" width="18.28515625" style="567" customWidth="1"/>
    <col min="10" max="10" width="12.28515625" style="567" customWidth="1"/>
    <col min="11" max="16384" width="9.140625" style="567"/>
  </cols>
  <sheetData>
    <row r="1" spans="1:12" ht="9.75" customHeight="1">
      <c r="F1" s="982" t="str">
        <f>"NHẬT KÝ CHI CÁC NGUỒN VỐN NĂM "&amp;Menu!K4</f>
        <v>NHẬT KÝ CHI CÁC NGUỒN VỐN NĂM 2017</v>
      </c>
      <c r="G1" s="982"/>
    </row>
    <row r="2" spans="1:12" ht="18.75">
      <c r="B2" s="548" t="s">
        <v>541</v>
      </c>
      <c r="C2" s="549"/>
      <c r="D2" s="549" t="s">
        <v>658</v>
      </c>
      <c r="E2" s="547"/>
      <c r="F2" s="982"/>
      <c r="G2" s="982"/>
    </row>
    <row r="3" spans="1:12" ht="9.75" customHeight="1">
      <c r="H3" s="567"/>
    </row>
    <row r="4" spans="1:12">
      <c r="A4" s="625">
        <f>MaBCChi</f>
        <v>102</v>
      </c>
      <c r="B4" s="989" t="s">
        <v>0</v>
      </c>
      <c r="C4" s="991" t="s">
        <v>1</v>
      </c>
      <c r="D4" s="992"/>
      <c r="E4" s="983" t="s">
        <v>123</v>
      </c>
      <c r="F4" s="983" t="s">
        <v>339</v>
      </c>
      <c r="G4" s="983" t="s">
        <v>543</v>
      </c>
      <c r="H4" s="993" t="s">
        <v>547</v>
      </c>
      <c r="I4" s="983" t="s">
        <v>544</v>
      </c>
      <c r="J4" s="985" t="s">
        <v>450</v>
      </c>
    </row>
    <row r="5" spans="1:12" ht="16.5" thickBot="1">
      <c r="B5" s="990"/>
      <c r="C5" s="552" t="s">
        <v>23</v>
      </c>
      <c r="D5" s="552" t="s">
        <v>3</v>
      </c>
      <c r="E5" s="984"/>
      <c r="F5" s="984"/>
      <c r="G5" s="984"/>
      <c r="H5" s="994"/>
      <c r="I5" s="984"/>
      <c r="J5" s="986"/>
    </row>
    <row r="6" spans="1:12" ht="16.5" thickTop="1">
      <c r="B6" s="553"/>
      <c r="C6" s="554" t="s">
        <v>546</v>
      </c>
      <c r="D6" s="555"/>
      <c r="E6" s="987" t="s">
        <v>349</v>
      </c>
      <c r="F6" s="988"/>
      <c r="G6" s="556"/>
      <c r="H6" s="682"/>
      <c r="I6" s="557">
        <f>SUM(I7:I156)</f>
        <v>0</v>
      </c>
      <c r="J6" s="558"/>
    </row>
    <row r="7" spans="1:12" s="566" customFormat="1">
      <c r="A7" s="551" t="str">
        <f>IF($A$4=H7,MAX($A$6:A6)+1,"")</f>
        <v/>
      </c>
      <c r="B7" s="559" t="str">
        <f>IF(D7&lt;&gt;"",COUNTA($D7:D$7),"")</f>
        <v/>
      </c>
      <c r="C7" s="560"/>
      <c r="D7" s="626"/>
      <c r="E7" s="624"/>
      <c r="F7" s="624"/>
      <c r="G7" s="624"/>
      <c r="H7" s="683"/>
      <c r="I7" s="687"/>
      <c r="J7" s="564"/>
      <c r="K7" s="550"/>
      <c r="L7" s="565"/>
    </row>
    <row r="8" spans="1:12" s="566" customFormat="1">
      <c r="A8" s="551" t="str">
        <f>IF($A$4=H8,MAX($A$6:A7)+1,"")</f>
        <v/>
      </c>
      <c r="B8" s="559" t="str">
        <f>IF(D8&lt;&gt;"",COUNTA($D$7:D8),"")</f>
        <v/>
      </c>
      <c r="C8" s="560"/>
      <c r="D8" s="627"/>
      <c r="E8" s="624"/>
      <c r="F8" s="624"/>
      <c r="G8" s="624"/>
      <c r="H8" s="684"/>
      <c r="I8" s="687"/>
      <c r="J8" s="564"/>
      <c r="K8" s="550"/>
      <c r="L8" s="565"/>
    </row>
    <row r="9" spans="1:12" s="566" customFormat="1">
      <c r="A9" s="551" t="str">
        <f>IF($A$4=H9,MAX($A$6:A8)+1,"")</f>
        <v/>
      </c>
      <c r="B9" s="559" t="str">
        <f>IF(D9&lt;&gt;"",COUNTA($D$7:D9),"")</f>
        <v/>
      </c>
      <c r="C9" s="560"/>
      <c r="D9" s="626"/>
      <c r="E9" s="624"/>
      <c r="F9" s="624"/>
      <c r="G9" s="624"/>
      <c r="H9" s="684"/>
      <c r="I9" s="563"/>
      <c r="J9" s="564"/>
      <c r="K9" s="550"/>
      <c r="L9" s="565"/>
    </row>
    <row r="10" spans="1:12" s="566" customFormat="1">
      <c r="A10" s="551" t="str">
        <f>IF($A$4=H10,MAX($A$6:A9)+1,"")</f>
        <v/>
      </c>
      <c r="B10" s="559" t="str">
        <f>IF(D10&lt;&gt;"",COUNTA($D$7:D10),"")</f>
        <v/>
      </c>
      <c r="C10" s="560"/>
      <c r="D10" s="626"/>
      <c r="E10" s="562"/>
      <c r="F10" s="562"/>
      <c r="G10" s="562"/>
      <c r="H10" s="684"/>
      <c r="I10" s="563"/>
      <c r="J10" s="564"/>
      <c r="K10" s="550"/>
      <c r="L10" s="565"/>
    </row>
    <row r="11" spans="1:12" s="566" customFormat="1">
      <c r="A11" s="551" t="str">
        <f>IF($A$4=H11,MAX($A$6:A10)+1,"")</f>
        <v/>
      </c>
      <c r="B11" s="559" t="str">
        <f>IF(D11&lt;&gt;"",COUNTA($D$7:D11),"")</f>
        <v/>
      </c>
      <c r="C11" s="560"/>
      <c r="D11" s="626"/>
      <c r="E11" s="624"/>
      <c r="F11" s="624"/>
      <c r="G11" s="624"/>
      <c r="H11" s="684"/>
      <c r="I11" s="563"/>
      <c r="J11" s="564"/>
      <c r="K11" s="550"/>
      <c r="L11" s="565"/>
    </row>
    <row r="12" spans="1:12" s="566" customFormat="1">
      <c r="A12" s="551" t="str">
        <f>IF($A$4=H12,MAX($A$6:A11)+1,"")</f>
        <v/>
      </c>
      <c r="B12" s="559" t="str">
        <f>IF(D12&lt;&gt;"",COUNTA($D$7:D12),"")</f>
        <v/>
      </c>
      <c r="C12" s="560"/>
      <c r="D12" s="626"/>
      <c r="E12" s="624"/>
      <c r="F12" s="624"/>
      <c r="G12" s="562"/>
      <c r="H12" s="684"/>
      <c r="I12" s="563"/>
      <c r="J12" s="564"/>
      <c r="K12" s="550"/>
      <c r="L12" s="565"/>
    </row>
    <row r="13" spans="1:12" s="566" customFormat="1">
      <c r="A13" s="551" t="str">
        <f>IF($A$4=H13,MAX($A$6:A12)+1,"")</f>
        <v/>
      </c>
      <c r="B13" s="559" t="str">
        <f>IF(D13&lt;&gt;"",COUNTA($D$7:D13),"")</f>
        <v/>
      </c>
      <c r="C13" s="560"/>
      <c r="D13" s="626"/>
      <c r="E13" s="562"/>
      <c r="F13" s="624"/>
      <c r="G13" s="562"/>
      <c r="H13" s="684"/>
      <c r="I13" s="563"/>
      <c r="J13" s="564"/>
      <c r="K13" s="550"/>
      <c r="L13" s="565"/>
    </row>
    <row r="14" spans="1:12">
      <c r="A14" s="551" t="str">
        <f>IF($A$4=H14,MAX($A$6:A13)+1,"")</f>
        <v/>
      </c>
      <c r="B14" s="559" t="str">
        <f>IF(D14&lt;&gt;"",COUNTA($D$7:D14),"")</f>
        <v/>
      </c>
      <c r="C14" s="560"/>
      <c r="D14" s="626"/>
      <c r="E14" s="562"/>
      <c r="F14" s="624"/>
      <c r="G14" s="562"/>
      <c r="H14" s="684"/>
      <c r="I14" s="563"/>
      <c r="J14" s="564"/>
    </row>
    <row r="15" spans="1:12">
      <c r="A15" s="551" t="str">
        <f>IF($A$4=H15,MAX($A$6:A14)+1,"")</f>
        <v/>
      </c>
      <c r="B15" s="559" t="str">
        <f>IF(D15&lt;&gt;"",COUNTA($D$7:D15),"")</f>
        <v/>
      </c>
      <c r="C15" s="560"/>
      <c r="D15" s="561"/>
      <c r="E15" s="562"/>
      <c r="F15" s="562"/>
      <c r="G15" s="562"/>
      <c r="H15" s="684"/>
      <c r="I15" s="563"/>
      <c r="J15" s="564"/>
    </row>
    <row r="16" spans="1:12">
      <c r="A16" s="551" t="str">
        <f>IF($A$4=H16,MAX($A$6:A15)+1,"")</f>
        <v/>
      </c>
      <c r="B16" s="559" t="str">
        <f>IF(D16&lt;&gt;"",COUNTA($D$7:D16),"")</f>
        <v/>
      </c>
      <c r="C16" s="560"/>
      <c r="D16" s="561"/>
      <c r="E16" s="562"/>
      <c r="F16" s="562"/>
      <c r="G16" s="562"/>
      <c r="H16" s="684"/>
      <c r="I16" s="563"/>
      <c r="J16" s="564"/>
    </row>
    <row r="17" spans="1:10">
      <c r="A17" s="551" t="str">
        <f>IF($A$4=H17,MAX($A$6:A16)+1,"")</f>
        <v/>
      </c>
      <c r="B17" s="559" t="str">
        <f>IF(D17&lt;&gt;"",COUNTA($D$7:D17),"")</f>
        <v/>
      </c>
      <c r="C17" s="560" t="str">
        <f t="shared" ref="C17:C80" si="0">IF(B17="","",$C$6&amp;IF(B17&lt;10,"0"&amp;B17,B17))</f>
        <v/>
      </c>
      <c r="D17" s="561"/>
      <c r="E17" s="562"/>
      <c r="F17" s="562"/>
      <c r="G17" s="562"/>
      <c r="H17" s="684"/>
      <c r="I17" s="563"/>
      <c r="J17" s="564"/>
    </row>
    <row r="18" spans="1:10">
      <c r="A18" s="551" t="str">
        <f>IF($A$4=H18,MAX($A$6:A17)+1,"")</f>
        <v/>
      </c>
      <c r="B18" s="559" t="str">
        <f>IF(D18&lt;&gt;"",COUNTA($D$7:D18),"")</f>
        <v/>
      </c>
      <c r="C18" s="560" t="str">
        <f t="shared" si="0"/>
        <v/>
      </c>
      <c r="D18" s="561"/>
      <c r="E18" s="562"/>
      <c r="F18" s="562"/>
      <c r="G18" s="562"/>
      <c r="H18" s="684"/>
      <c r="I18" s="563"/>
      <c r="J18" s="564"/>
    </row>
    <row r="19" spans="1:10">
      <c r="A19" s="551" t="str">
        <f>IF($A$4=H19,MAX($A$6:A18)+1,"")</f>
        <v/>
      </c>
      <c r="B19" s="559" t="str">
        <f>IF(D19&lt;&gt;"",COUNTA($D$7:D19),"")</f>
        <v/>
      </c>
      <c r="C19" s="560" t="str">
        <f t="shared" si="0"/>
        <v/>
      </c>
      <c r="D19" s="561"/>
      <c r="E19" s="562"/>
      <c r="F19" s="562"/>
      <c r="G19" s="562"/>
      <c r="H19" s="684"/>
      <c r="I19" s="563"/>
      <c r="J19" s="564"/>
    </row>
    <row r="20" spans="1:10">
      <c r="A20" s="551" t="str">
        <f>IF($A$4=H20,MAX($A$6:A19)+1,"")</f>
        <v/>
      </c>
      <c r="B20" s="559" t="str">
        <f>IF(D20&lt;&gt;"",COUNTA($D$7:D20),"")</f>
        <v/>
      </c>
      <c r="C20" s="560" t="str">
        <f t="shared" si="0"/>
        <v/>
      </c>
      <c r="D20" s="561"/>
      <c r="E20" s="562"/>
      <c r="F20" s="562"/>
      <c r="G20" s="562"/>
      <c r="H20" s="684"/>
      <c r="I20" s="563"/>
      <c r="J20" s="564"/>
    </row>
    <row r="21" spans="1:10">
      <c r="A21" s="551" t="str">
        <f>IF($A$4=H21,MAX($A$6:A20)+1,"")</f>
        <v/>
      </c>
      <c r="B21" s="559" t="str">
        <f>IF(D21&lt;&gt;"",COUNTA($D$7:D21),"")</f>
        <v/>
      </c>
      <c r="C21" s="560" t="str">
        <f t="shared" si="0"/>
        <v/>
      </c>
      <c r="D21" s="561"/>
      <c r="E21" s="562"/>
      <c r="F21" s="562"/>
      <c r="G21" s="562"/>
      <c r="H21" s="684"/>
      <c r="I21" s="563"/>
      <c r="J21" s="564"/>
    </row>
    <row r="22" spans="1:10">
      <c r="A22" s="551" t="str">
        <f>IF($A$4=H22,MAX($A$6:A21)+1,"")</f>
        <v/>
      </c>
      <c r="B22" s="559" t="str">
        <f>IF(D22&lt;&gt;"",COUNTA($D$7:D22),"")</f>
        <v/>
      </c>
      <c r="C22" s="560" t="str">
        <f t="shared" si="0"/>
        <v/>
      </c>
      <c r="D22" s="561"/>
      <c r="E22" s="562"/>
      <c r="F22" s="562"/>
      <c r="G22" s="562"/>
      <c r="H22" s="684"/>
      <c r="I22" s="563"/>
      <c r="J22" s="564"/>
    </row>
    <row r="23" spans="1:10">
      <c r="A23" s="551" t="str">
        <f>IF($A$4=H23,MAX($A$6:A22)+1,"")</f>
        <v/>
      </c>
      <c r="B23" s="559" t="str">
        <f>IF(D23&lt;&gt;"",COUNTA($D$7:D23),"")</f>
        <v/>
      </c>
      <c r="C23" s="560" t="str">
        <f t="shared" si="0"/>
        <v/>
      </c>
      <c r="D23" s="561"/>
      <c r="E23" s="562"/>
      <c r="F23" s="562"/>
      <c r="G23" s="562"/>
      <c r="H23" s="684"/>
      <c r="I23" s="563"/>
      <c r="J23" s="564"/>
    </row>
    <row r="24" spans="1:10">
      <c r="A24" s="551" t="str">
        <f>IF($A$4=H24,MAX($A$6:A23)+1,"")</f>
        <v/>
      </c>
      <c r="B24" s="559" t="str">
        <f>IF(D24&lt;&gt;"",COUNTA($D$7:D24),"")</f>
        <v/>
      </c>
      <c r="C24" s="560" t="str">
        <f t="shared" si="0"/>
        <v/>
      </c>
      <c r="D24" s="561"/>
      <c r="E24" s="562"/>
      <c r="F24" s="562"/>
      <c r="G24" s="562"/>
      <c r="H24" s="684"/>
      <c r="I24" s="563"/>
      <c r="J24" s="564"/>
    </row>
    <row r="25" spans="1:10">
      <c r="A25" s="551" t="str">
        <f>IF($A$4=H25,MAX($A$6:A24)+1,"")</f>
        <v/>
      </c>
      <c r="B25" s="559" t="str">
        <f>IF(D25&lt;&gt;"",COUNTA($D$7:D25),"")</f>
        <v/>
      </c>
      <c r="C25" s="560" t="str">
        <f t="shared" si="0"/>
        <v/>
      </c>
      <c r="D25" s="561"/>
      <c r="E25" s="562"/>
      <c r="F25" s="562"/>
      <c r="G25" s="562"/>
      <c r="H25" s="684"/>
      <c r="I25" s="563"/>
      <c r="J25" s="564"/>
    </row>
    <row r="26" spans="1:10">
      <c r="A26" s="551" t="str">
        <f>IF($A$4=H26,MAX($A$6:A25)+1,"")</f>
        <v/>
      </c>
      <c r="B26" s="559" t="str">
        <f>IF(D26&lt;&gt;"",COUNTA($D$7:D26),"")</f>
        <v/>
      </c>
      <c r="C26" s="560" t="str">
        <f t="shared" si="0"/>
        <v/>
      </c>
      <c r="D26" s="561"/>
      <c r="E26" s="562"/>
      <c r="F26" s="562"/>
      <c r="G26" s="562"/>
      <c r="H26" s="684"/>
      <c r="I26" s="563"/>
      <c r="J26" s="564"/>
    </row>
    <row r="27" spans="1:10">
      <c r="A27" s="551" t="str">
        <f>IF($A$4=H27,MAX($A$6:A26)+1,"")</f>
        <v/>
      </c>
      <c r="B27" s="559" t="str">
        <f>IF(D27&lt;&gt;"",COUNTA($D$7:D27),"")</f>
        <v/>
      </c>
      <c r="C27" s="560" t="str">
        <f t="shared" si="0"/>
        <v/>
      </c>
      <c r="D27" s="561"/>
      <c r="E27" s="562"/>
      <c r="F27" s="562"/>
      <c r="G27" s="562"/>
      <c r="H27" s="684"/>
      <c r="I27" s="563"/>
      <c r="J27" s="564"/>
    </row>
    <row r="28" spans="1:10">
      <c r="A28" s="551" t="str">
        <f>IF($A$4=H28,MAX($A$6:A27)+1,"")</f>
        <v/>
      </c>
      <c r="B28" s="559" t="str">
        <f>IF(D28&lt;&gt;"",COUNTA($D$7:D28),"")</f>
        <v/>
      </c>
      <c r="C28" s="560" t="str">
        <f t="shared" si="0"/>
        <v/>
      </c>
      <c r="D28" s="561"/>
      <c r="E28" s="562"/>
      <c r="F28" s="562"/>
      <c r="G28" s="562"/>
      <c r="H28" s="684"/>
      <c r="I28" s="563"/>
      <c r="J28" s="564"/>
    </row>
    <row r="29" spans="1:10">
      <c r="A29" s="551" t="str">
        <f>IF($A$4=H29,MAX($A$6:A28)+1,"")</f>
        <v/>
      </c>
      <c r="B29" s="559" t="str">
        <f>IF(D29&lt;&gt;"",COUNTA($D$7:D29),"")</f>
        <v/>
      </c>
      <c r="C29" s="560" t="str">
        <f t="shared" si="0"/>
        <v/>
      </c>
      <c r="D29" s="561"/>
      <c r="E29" s="562"/>
      <c r="F29" s="562"/>
      <c r="G29" s="562"/>
      <c r="H29" s="684"/>
      <c r="I29" s="563"/>
      <c r="J29" s="564"/>
    </row>
    <row r="30" spans="1:10">
      <c r="A30" s="551" t="str">
        <f>IF($A$4=H30,MAX($A$6:A29)+1,"")</f>
        <v/>
      </c>
      <c r="B30" s="559" t="str">
        <f>IF(D30&lt;&gt;"",COUNTA($D$7:D30),"")</f>
        <v/>
      </c>
      <c r="C30" s="560" t="str">
        <f t="shared" si="0"/>
        <v/>
      </c>
      <c r="D30" s="561"/>
      <c r="E30" s="562"/>
      <c r="F30" s="562"/>
      <c r="G30" s="562"/>
      <c r="H30" s="684"/>
      <c r="I30" s="563"/>
      <c r="J30" s="564"/>
    </row>
    <row r="31" spans="1:10">
      <c r="A31" s="551" t="str">
        <f>IF($A$4=H31,MAX($A$6:A30)+1,"")</f>
        <v/>
      </c>
      <c r="B31" s="559" t="str">
        <f>IF(D31&lt;&gt;"",COUNTA($D$7:D31),"")</f>
        <v/>
      </c>
      <c r="C31" s="560" t="str">
        <f t="shared" si="0"/>
        <v/>
      </c>
      <c r="D31" s="561"/>
      <c r="E31" s="562"/>
      <c r="F31" s="562"/>
      <c r="G31" s="562"/>
      <c r="H31" s="684"/>
      <c r="I31" s="563"/>
      <c r="J31" s="564"/>
    </row>
    <row r="32" spans="1:10">
      <c r="A32" s="551" t="str">
        <f>IF($A$4=H32,MAX($A$6:A31)+1,"")</f>
        <v/>
      </c>
      <c r="B32" s="559" t="str">
        <f>IF(D32&lt;&gt;"",COUNTA($D$7:D32),"")</f>
        <v/>
      </c>
      <c r="C32" s="560" t="str">
        <f t="shared" si="0"/>
        <v/>
      </c>
      <c r="D32" s="561"/>
      <c r="E32" s="562"/>
      <c r="F32" s="562"/>
      <c r="G32" s="562"/>
      <c r="H32" s="684"/>
      <c r="I32" s="563"/>
      <c r="J32" s="564"/>
    </row>
    <row r="33" spans="1:10">
      <c r="A33" s="551" t="str">
        <f>IF($A$4=H33,MAX($A$6:A32)+1,"")</f>
        <v/>
      </c>
      <c r="B33" s="559" t="str">
        <f>IF(D33&lt;&gt;"",COUNTA($D$7:D33),"")</f>
        <v/>
      </c>
      <c r="C33" s="560" t="str">
        <f t="shared" si="0"/>
        <v/>
      </c>
      <c r="D33" s="561"/>
      <c r="E33" s="562"/>
      <c r="F33" s="562"/>
      <c r="G33" s="562"/>
      <c r="H33" s="684"/>
      <c r="I33" s="563"/>
      <c r="J33" s="564"/>
    </row>
    <row r="34" spans="1:10">
      <c r="A34" s="551" t="str">
        <f>IF($A$4=H34,MAX($A$6:A33)+1,"")</f>
        <v/>
      </c>
      <c r="B34" s="559" t="str">
        <f>IF(D34&lt;&gt;"",COUNTA($D$7:D34),"")</f>
        <v/>
      </c>
      <c r="C34" s="560" t="str">
        <f t="shared" si="0"/>
        <v/>
      </c>
      <c r="D34" s="561"/>
      <c r="E34" s="562"/>
      <c r="F34" s="562"/>
      <c r="G34" s="562"/>
      <c r="H34" s="684"/>
      <c r="I34" s="563"/>
      <c r="J34" s="564"/>
    </row>
    <row r="35" spans="1:10">
      <c r="A35" s="551" t="str">
        <f>IF($A$4=H35,MAX($A$6:A34)+1,"")</f>
        <v/>
      </c>
      <c r="B35" s="559" t="str">
        <f>IF(D35&lt;&gt;"",COUNTA($D$7:D35),"")</f>
        <v/>
      </c>
      <c r="C35" s="560" t="str">
        <f t="shared" si="0"/>
        <v/>
      </c>
      <c r="D35" s="561"/>
      <c r="E35" s="562"/>
      <c r="F35" s="562"/>
      <c r="G35" s="562"/>
      <c r="H35" s="684"/>
      <c r="I35" s="563"/>
      <c r="J35" s="564"/>
    </row>
    <row r="36" spans="1:10">
      <c r="A36" s="551" t="str">
        <f>IF($A$4=H36,MAX($A$6:A35)+1,"")</f>
        <v/>
      </c>
      <c r="B36" s="559" t="str">
        <f>IF(D36&lt;&gt;"",COUNTA($D$7:D36),"")</f>
        <v/>
      </c>
      <c r="C36" s="560" t="str">
        <f t="shared" si="0"/>
        <v/>
      </c>
      <c r="D36" s="561"/>
      <c r="E36" s="562"/>
      <c r="F36" s="562"/>
      <c r="G36" s="562"/>
      <c r="H36" s="684"/>
      <c r="I36" s="563"/>
      <c r="J36" s="564"/>
    </row>
    <row r="37" spans="1:10">
      <c r="A37" s="551" t="str">
        <f>IF($A$4=H37,MAX($A$6:A36)+1,"")</f>
        <v/>
      </c>
      <c r="B37" s="559" t="str">
        <f>IF(D37&lt;&gt;"",COUNTA($D$7:D37),"")</f>
        <v/>
      </c>
      <c r="C37" s="560" t="str">
        <f t="shared" si="0"/>
        <v/>
      </c>
      <c r="D37" s="561"/>
      <c r="E37" s="562"/>
      <c r="F37" s="562"/>
      <c r="G37" s="562"/>
      <c r="H37" s="684"/>
      <c r="I37" s="563"/>
      <c r="J37" s="564"/>
    </row>
    <row r="38" spans="1:10">
      <c r="A38" s="551" t="str">
        <f>IF($A$4=H38,MAX($A$6:A37)+1,"")</f>
        <v/>
      </c>
      <c r="B38" s="559" t="str">
        <f>IF(D38&lt;&gt;"",COUNTA($D$7:D38),"")</f>
        <v/>
      </c>
      <c r="C38" s="560" t="str">
        <f t="shared" si="0"/>
        <v/>
      </c>
      <c r="D38" s="561"/>
      <c r="E38" s="562"/>
      <c r="F38" s="562"/>
      <c r="G38" s="562"/>
      <c r="H38" s="684"/>
      <c r="I38" s="563"/>
      <c r="J38" s="564"/>
    </row>
    <row r="39" spans="1:10">
      <c r="A39" s="551" t="str">
        <f>IF($A$4=H39,MAX($A$6:A38)+1,"")</f>
        <v/>
      </c>
      <c r="B39" s="559" t="str">
        <f>IF(D39&lt;&gt;"",COUNTA($D$7:D39),"")</f>
        <v/>
      </c>
      <c r="C39" s="560" t="str">
        <f t="shared" si="0"/>
        <v/>
      </c>
      <c r="D39" s="561"/>
      <c r="E39" s="562"/>
      <c r="F39" s="562"/>
      <c r="G39" s="562"/>
      <c r="H39" s="684"/>
      <c r="I39" s="563"/>
      <c r="J39" s="564"/>
    </row>
    <row r="40" spans="1:10">
      <c r="A40" s="551" t="str">
        <f>IF($A$4=H40,MAX($A$6:A39)+1,"")</f>
        <v/>
      </c>
      <c r="B40" s="559" t="str">
        <f>IF(D40&lt;&gt;"",COUNTA($D$7:D40),"")</f>
        <v/>
      </c>
      <c r="C40" s="560" t="str">
        <f t="shared" si="0"/>
        <v/>
      </c>
      <c r="D40" s="561"/>
      <c r="E40" s="562"/>
      <c r="F40" s="562"/>
      <c r="G40" s="562"/>
      <c r="H40" s="684"/>
      <c r="I40" s="563"/>
      <c r="J40" s="564"/>
    </row>
    <row r="41" spans="1:10">
      <c r="A41" s="551" t="str">
        <f>IF($A$4=H41,MAX($A$6:A40)+1,"")</f>
        <v/>
      </c>
      <c r="B41" s="559" t="str">
        <f>IF(D41&lt;&gt;"",COUNTA($D$7:D41),"")</f>
        <v/>
      </c>
      <c r="C41" s="560" t="str">
        <f t="shared" si="0"/>
        <v/>
      </c>
      <c r="D41" s="561"/>
      <c r="E41" s="562"/>
      <c r="F41" s="562"/>
      <c r="G41" s="562"/>
      <c r="H41" s="684"/>
      <c r="I41" s="563"/>
      <c r="J41" s="564"/>
    </row>
    <row r="42" spans="1:10">
      <c r="A42" s="551" t="str">
        <f>IF($A$4=H42,MAX($A$6:A41)+1,"")</f>
        <v/>
      </c>
      <c r="B42" s="559" t="str">
        <f>IF(D42&lt;&gt;"",COUNTA($D$7:D42),"")</f>
        <v/>
      </c>
      <c r="C42" s="560" t="str">
        <f t="shared" si="0"/>
        <v/>
      </c>
      <c r="D42" s="561"/>
      <c r="E42" s="562"/>
      <c r="F42" s="562"/>
      <c r="G42" s="562"/>
      <c r="H42" s="684"/>
      <c r="I42" s="563"/>
      <c r="J42" s="564"/>
    </row>
    <row r="43" spans="1:10">
      <c r="A43" s="551" t="str">
        <f>IF($A$4=H43,MAX($A$6:A42)+1,"")</f>
        <v/>
      </c>
      <c r="B43" s="559" t="str">
        <f>IF(D43&lt;&gt;"",COUNTA($D$7:D43),"")</f>
        <v/>
      </c>
      <c r="C43" s="560" t="str">
        <f t="shared" si="0"/>
        <v/>
      </c>
      <c r="D43" s="561"/>
      <c r="E43" s="562"/>
      <c r="F43" s="562"/>
      <c r="G43" s="562"/>
      <c r="H43" s="684"/>
      <c r="I43" s="563"/>
      <c r="J43" s="564"/>
    </row>
    <row r="44" spans="1:10">
      <c r="A44" s="551" t="str">
        <f>IF($A$4=H44,MAX($A$6:A43)+1,"")</f>
        <v/>
      </c>
      <c r="B44" s="559" t="str">
        <f>IF(D44&lt;&gt;"",COUNTA($D$7:D44),"")</f>
        <v/>
      </c>
      <c r="C44" s="560" t="str">
        <f t="shared" si="0"/>
        <v/>
      </c>
      <c r="D44" s="561"/>
      <c r="E44" s="562"/>
      <c r="F44" s="562"/>
      <c r="G44" s="562"/>
      <c r="H44" s="684"/>
      <c r="I44" s="563"/>
      <c r="J44" s="564"/>
    </row>
    <row r="45" spans="1:10">
      <c r="A45" s="551" t="str">
        <f>IF($A$4=H45,MAX($A$6:A44)+1,"")</f>
        <v/>
      </c>
      <c r="B45" s="559" t="str">
        <f>IF(D45&lt;&gt;"",COUNTA($D$7:D45),"")</f>
        <v/>
      </c>
      <c r="C45" s="560" t="str">
        <f t="shared" si="0"/>
        <v/>
      </c>
      <c r="D45" s="561"/>
      <c r="E45" s="562"/>
      <c r="F45" s="562"/>
      <c r="G45" s="562"/>
      <c r="H45" s="684"/>
      <c r="I45" s="563"/>
      <c r="J45" s="564"/>
    </row>
    <row r="46" spans="1:10">
      <c r="A46" s="551" t="str">
        <f>IF($A$4=H46,MAX($A$6:A45)+1,"")</f>
        <v/>
      </c>
      <c r="B46" s="559" t="str">
        <f>IF(D46&lt;&gt;"",COUNTA($D$7:D46),"")</f>
        <v/>
      </c>
      <c r="C46" s="560" t="str">
        <f t="shared" si="0"/>
        <v/>
      </c>
      <c r="D46" s="561"/>
      <c r="E46" s="562"/>
      <c r="F46" s="562"/>
      <c r="G46" s="562"/>
      <c r="H46" s="684"/>
      <c r="I46" s="563"/>
      <c r="J46" s="564"/>
    </row>
    <row r="47" spans="1:10">
      <c r="A47" s="551" t="str">
        <f>IF($A$4=H47,MAX($A$6:A46)+1,"")</f>
        <v/>
      </c>
      <c r="B47" s="559" t="str">
        <f>IF(D47&lt;&gt;"",COUNTA($D$7:D47),"")</f>
        <v/>
      </c>
      <c r="C47" s="560" t="str">
        <f t="shared" si="0"/>
        <v/>
      </c>
      <c r="D47" s="561"/>
      <c r="E47" s="562"/>
      <c r="F47" s="562"/>
      <c r="G47" s="562"/>
      <c r="H47" s="684"/>
      <c r="I47" s="563"/>
      <c r="J47" s="564"/>
    </row>
    <row r="48" spans="1:10">
      <c r="A48" s="551" t="str">
        <f>IF($A$4=H48,MAX($A$6:A47)+1,"")</f>
        <v/>
      </c>
      <c r="B48" s="559" t="str">
        <f>IF(D48&lt;&gt;"",COUNTA($D$7:D48),"")</f>
        <v/>
      </c>
      <c r="C48" s="560" t="str">
        <f t="shared" si="0"/>
        <v/>
      </c>
      <c r="D48" s="561"/>
      <c r="E48" s="562"/>
      <c r="F48" s="562"/>
      <c r="G48" s="562"/>
      <c r="H48" s="684"/>
      <c r="I48" s="563"/>
      <c r="J48" s="564"/>
    </row>
    <row r="49" spans="1:10">
      <c r="A49" s="551" t="str">
        <f>IF($A$4=H49,MAX($A$6:A48)+1,"")</f>
        <v/>
      </c>
      <c r="B49" s="559" t="str">
        <f>IF(D49&lt;&gt;"",COUNTA($D$7:D49),"")</f>
        <v/>
      </c>
      <c r="C49" s="560" t="str">
        <f t="shared" si="0"/>
        <v/>
      </c>
      <c r="D49" s="561"/>
      <c r="E49" s="562"/>
      <c r="F49" s="562"/>
      <c r="G49" s="562"/>
      <c r="H49" s="684"/>
      <c r="I49" s="563"/>
      <c r="J49" s="564"/>
    </row>
    <row r="50" spans="1:10">
      <c r="A50" s="551" t="str">
        <f>IF($A$4=H50,MAX($A$6:A49)+1,"")</f>
        <v/>
      </c>
      <c r="B50" s="559" t="str">
        <f>IF(D50&lt;&gt;"",COUNTA($D$7:D50),"")</f>
        <v/>
      </c>
      <c r="C50" s="560" t="str">
        <f t="shared" si="0"/>
        <v/>
      </c>
      <c r="D50" s="561"/>
      <c r="E50" s="562"/>
      <c r="F50" s="562"/>
      <c r="G50" s="562"/>
      <c r="H50" s="684"/>
      <c r="I50" s="563"/>
      <c r="J50" s="564"/>
    </row>
    <row r="51" spans="1:10">
      <c r="A51" s="551" t="str">
        <f>IF($A$4=H51,MAX($A$6:A50)+1,"")</f>
        <v/>
      </c>
      <c r="B51" s="559" t="str">
        <f>IF(D51&lt;&gt;"",COUNTA($D$7:D51),"")</f>
        <v/>
      </c>
      <c r="C51" s="560" t="str">
        <f t="shared" si="0"/>
        <v/>
      </c>
      <c r="D51" s="561"/>
      <c r="E51" s="562"/>
      <c r="F51" s="562"/>
      <c r="G51" s="562"/>
      <c r="H51" s="684"/>
      <c r="I51" s="563"/>
      <c r="J51" s="564"/>
    </row>
    <row r="52" spans="1:10">
      <c r="A52" s="551" t="str">
        <f>IF($A$4=H52,MAX($A$6:A51)+1,"")</f>
        <v/>
      </c>
      <c r="B52" s="559" t="str">
        <f>IF(D52&lt;&gt;"",COUNTA($D$7:D52),"")</f>
        <v/>
      </c>
      <c r="C52" s="560" t="str">
        <f t="shared" si="0"/>
        <v/>
      </c>
      <c r="D52" s="561"/>
      <c r="E52" s="562"/>
      <c r="F52" s="562"/>
      <c r="G52" s="562"/>
      <c r="H52" s="684"/>
      <c r="I52" s="563"/>
      <c r="J52" s="564"/>
    </row>
    <row r="53" spans="1:10">
      <c r="A53" s="551" t="str">
        <f>IF($A$4=H53,MAX($A$6:A52)+1,"")</f>
        <v/>
      </c>
      <c r="B53" s="559" t="str">
        <f>IF(D53&lt;&gt;"",COUNTA($D$7:D53),"")</f>
        <v/>
      </c>
      <c r="C53" s="560" t="str">
        <f t="shared" si="0"/>
        <v/>
      </c>
      <c r="D53" s="561"/>
      <c r="E53" s="562"/>
      <c r="F53" s="562"/>
      <c r="G53" s="562"/>
      <c r="H53" s="684"/>
      <c r="I53" s="563"/>
      <c r="J53" s="564"/>
    </row>
    <row r="54" spans="1:10">
      <c r="A54" s="551" t="str">
        <f>IF($A$4=H54,MAX($A$6:A53)+1,"")</f>
        <v/>
      </c>
      <c r="B54" s="559" t="str">
        <f>IF(D54&lt;&gt;"",COUNTA($D$7:D54),"")</f>
        <v/>
      </c>
      <c r="C54" s="560" t="str">
        <f t="shared" si="0"/>
        <v/>
      </c>
      <c r="D54" s="561"/>
      <c r="E54" s="562"/>
      <c r="F54" s="562"/>
      <c r="G54" s="562"/>
      <c r="H54" s="684"/>
      <c r="I54" s="563"/>
      <c r="J54" s="564"/>
    </row>
    <row r="55" spans="1:10">
      <c r="A55" s="551" t="str">
        <f>IF($A$4=H55,MAX($A$6:A54)+1,"")</f>
        <v/>
      </c>
      <c r="B55" s="559" t="str">
        <f>IF(D55&lt;&gt;"",COUNTA($D$7:D55),"")</f>
        <v/>
      </c>
      <c r="C55" s="560" t="str">
        <f t="shared" si="0"/>
        <v/>
      </c>
      <c r="D55" s="561"/>
      <c r="E55" s="562"/>
      <c r="F55" s="562"/>
      <c r="G55" s="562"/>
      <c r="H55" s="684"/>
      <c r="I55" s="563"/>
      <c r="J55" s="564"/>
    </row>
    <row r="56" spans="1:10">
      <c r="A56" s="551" t="str">
        <f>IF($A$4=H56,MAX($A$6:A55)+1,"")</f>
        <v/>
      </c>
      <c r="B56" s="559" t="str">
        <f>IF(D56&lt;&gt;"",COUNTA($D$7:D56),"")</f>
        <v/>
      </c>
      <c r="C56" s="560" t="str">
        <f t="shared" si="0"/>
        <v/>
      </c>
      <c r="D56" s="561"/>
      <c r="E56" s="562"/>
      <c r="F56" s="562"/>
      <c r="G56" s="562"/>
      <c r="H56" s="684"/>
      <c r="I56" s="563"/>
      <c r="J56" s="564"/>
    </row>
    <row r="57" spans="1:10">
      <c r="A57" s="551" t="str">
        <f>IF($A$4=H57,MAX($A$6:A56)+1,"")</f>
        <v/>
      </c>
      <c r="B57" s="559" t="str">
        <f>IF(D57&lt;&gt;"",COUNTA($D$7:D57),"")</f>
        <v/>
      </c>
      <c r="C57" s="560" t="str">
        <f t="shared" si="0"/>
        <v/>
      </c>
      <c r="D57" s="561"/>
      <c r="E57" s="562"/>
      <c r="F57" s="562"/>
      <c r="G57" s="562"/>
      <c r="H57" s="684"/>
      <c r="I57" s="563"/>
      <c r="J57" s="564"/>
    </row>
    <row r="58" spans="1:10">
      <c r="A58" s="551" t="str">
        <f>IF($A$4=H58,MAX($A$6:A57)+1,"")</f>
        <v/>
      </c>
      <c r="B58" s="559" t="str">
        <f>IF(D58&lt;&gt;"",COUNTA($D$7:D58),"")</f>
        <v/>
      </c>
      <c r="C58" s="560" t="str">
        <f t="shared" si="0"/>
        <v/>
      </c>
      <c r="D58" s="561"/>
      <c r="E58" s="562"/>
      <c r="F58" s="562"/>
      <c r="G58" s="562"/>
      <c r="H58" s="684"/>
      <c r="I58" s="563"/>
      <c r="J58" s="564"/>
    </row>
    <row r="59" spans="1:10">
      <c r="A59" s="551" t="str">
        <f>IF($A$4=H59,MAX($A$6:A58)+1,"")</f>
        <v/>
      </c>
      <c r="B59" s="559" t="str">
        <f>IF(D59&lt;&gt;"",COUNTA($D$7:D59),"")</f>
        <v/>
      </c>
      <c r="C59" s="560" t="str">
        <f t="shared" si="0"/>
        <v/>
      </c>
      <c r="D59" s="561"/>
      <c r="E59" s="562"/>
      <c r="F59" s="562"/>
      <c r="G59" s="562"/>
      <c r="H59" s="684"/>
      <c r="I59" s="563"/>
      <c r="J59" s="564"/>
    </row>
    <row r="60" spans="1:10">
      <c r="A60" s="551" t="str">
        <f>IF($A$4=H60,MAX($A$6:A59)+1,"")</f>
        <v/>
      </c>
      <c r="B60" s="559" t="str">
        <f>IF(D60&lt;&gt;"",COUNTA($D$7:D60),"")</f>
        <v/>
      </c>
      <c r="C60" s="560" t="str">
        <f t="shared" si="0"/>
        <v/>
      </c>
      <c r="D60" s="561"/>
      <c r="E60" s="562"/>
      <c r="F60" s="562"/>
      <c r="G60" s="562"/>
      <c r="H60" s="684"/>
      <c r="I60" s="563"/>
      <c r="J60" s="564"/>
    </row>
    <row r="61" spans="1:10">
      <c r="A61" s="551" t="str">
        <f>IF($A$4=H61,MAX($A$6:A60)+1,"")</f>
        <v/>
      </c>
      <c r="B61" s="559" t="str">
        <f>IF(D61&lt;&gt;"",COUNTA($D$7:D61),"")</f>
        <v/>
      </c>
      <c r="C61" s="560" t="str">
        <f t="shared" si="0"/>
        <v/>
      </c>
      <c r="D61" s="561"/>
      <c r="E61" s="562"/>
      <c r="F61" s="562"/>
      <c r="G61" s="562"/>
      <c r="H61" s="684"/>
      <c r="I61" s="563"/>
      <c r="J61" s="564"/>
    </row>
    <row r="62" spans="1:10">
      <c r="A62" s="551" t="str">
        <f>IF($A$4=H62,MAX($A$6:A61)+1,"")</f>
        <v/>
      </c>
      <c r="B62" s="559" t="str">
        <f>IF(D62&lt;&gt;"",COUNTA($D$7:D62),"")</f>
        <v/>
      </c>
      <c r="C62" s="560" t="str">
        <f t="shared" si="0"/>
        <v/>
      </c>
      <c r="D62" s="561"/>
      <c r="E62" s="562"/>
      <c r="F62" s="562"/>
      <c r="G62" s="562"/>
      <c r="H62" s="684"/>
      <c r="I62" s="563"/>
      <c r="J62" s="564"/>
    </row>
    <row r="63" spans="1:10">
      <c r="A63" s="551" t="str">
        <f>IF($A$4=H63,MAX($A$6:A62)+1,"")</f>
        <v/>
      </c>
      <c r="B63" s="559" t="str">
        <f>IF(D63&lt;&gt;"",COUNTA($D$7:D63),"")</f>
        <v/>
      </c>
      <c r="C63" s="560" t="str">
        <f t="shared" si="0"/>
        <v/>
      </c>
      <c r="D63" s="561"/>
      <c r="E63" s="562"/>
      <c r="F63" s="562"/>
      <c r="G63" s="562"/>
      <c r="H63" s="684"/>
      <c r="I63" s="563"/>
      <c r="J63" s="564"/>
    </row>
    <row r="64" spans="1:10">
      <c r="A64" s="551" t="str">
        <f>IF($A$4=H64,MAX($A$6:A63)+1,"")</f>
        <v/>
      </c>
      <c r="B64" s="559" t="str">
        <f>IF(D64&lt;&gt;"",COUNTA($D$7:D64),"")</f>
        <v/>
      </c>
      <c r="C64" s="560" t="str">
        <f t="shared" si="0"/>
        <v/>
      </c>
      <c r="D64" s="561"/>
      <c r="E64" s="562"/>
      <c r="F64" s="562"/>
      <c r="G64" s="562"/>
      <c r="H64" s="684"/>
      <c r="I64" s="563"/>
      <c r="J64" s="564"/>
    </row>
    <row r="65" spans="1:10">
      <c r="A65" s="551" t="str">
        <f>IF($A$4=H65,MAX($A$6:A64)+1,"")</f>
        <v/>
      </c>
      <c r="B65" s="559" t="str">
        <f>IF(D65&lt;&gt;"",COUNTA($D$7:D65),"")</f>
        <v/>
      </c>
      <c r="C65" s="560" t="str">
        <f t="shared" si="0"/>
        <v/>
      </c>
      <c r="D65" s="561"/>
      <c r="E65" s="562"/>
      <c r="F65" s="562"/>
      <c r="G65" s="562"/>
      <c r="H65" s="684"/>
      <c r="I65" s="563"/>
      <c r="J65" s="564"/>
    </row>
    <row r="66" spans="1:10">
      <c r="A66" s="551" t="str">
        <f>IF($A$4=H66,MAX($A$6:A65)+1,"")</f>
        <v/>
      </c>
      <c r="B66" s="559" t="str">
        <f>IF(D66&lt;&gt;"",COUNTA($D$7:D66),"")</f>
        <v/>
      </c>
      <c r="C66" s="560" t="str">
        <f t="shared" si="0"/>
        <v/>
      </c>
      <c r="D66" s="561"/>
      <c r="E66" s="562"/>
      <c r="F66" s="562"/>
      <c r="G66" s="562"/>
      <c r="H66" s="684"/>
      <c r="I66" s="563"/>
      <c r="J66" s="564"/>
    </row>
    <row r="67" spans="1:10">
      <c r="A67" s="551" t="str">
        <f>IF($A$4=H67,MAX($A$6:A66)+1,"")</f>
        <v/>
      </c>
      <c r="B67" s="559" t="str">
        <f>IF(D67&lt;&gt;"",COUNTA($D$7:D67),"")</f>
        <v/>
      </c>
      <c r="C67" s="560" t="str">
        <f t="shared" si="0"/>
        <v/>
      </c>
      <c r="D67" s="561"/>
      <c r="E67" s="562"/>
      <c r="F67" s="562"/>
      <c r="G67" s="562"/>
      <c r="H67" s="684"/>
      <c r="I67" s="563"/>
      <c r="J67" s="564"/>
    </row>
    <row r="68" spans="1:10">
      <c r="A68" s="551" t="str">
        <f>IF($A$4=H68,MAX($A$6:A67)+1,"")</f>
        <v/>
      </c>
      <c r="B68" s="559" t="str">
        <f>IF(D68&lt;&gt;"",COUNTA($D$7:D68),"")</f>
        <v/>
      </c>
      <c r="C68" s="560" t="str">
        <f t="shared" si="0"/>
        <v/>
      </c>
      <c r="D68" s="561"/>
      <c r="E68" s="562"/>
      <c r="F68" s="562"/>
      <c r="G68" s="562"/>
      <c r="H68" s="684"/>
      <c r="I68" s="563"/>
      <c r="J68" s="564"/>
    </row>
    <row r="69" spans="1:10">
      <c r="A69" s="551" t="str">
        <f>IF($A$4=H69,MAX($A$6:A68)+1,"")</f>
        <v/>
      </c>
      <c r="B69" s="559" t="str">
        <f>IF(D69&lt;&gt;"",COUNTA($D$7:D69),"")</f>
        <v/>
      </c>
      <c r="C69" s="560" t="str">
        <f t="shared" si="0"/>
        <v/>
      </c>
      <c r="D69" s="561"/>
      <c r="E69" s="562"/>
      <c r="F69" s="562"/>
      <c r="G69" s="562"/>
      <c r="H69" s="684"/>
      <c r="I69" s="563"/>
      <c r="J69" s="564"/>
    </row>
    <row r="70" spans="1:10">
      <c r="A70" s="551" t="str">
        <f>IF($A$4=H70,MAX($A$6:A69)+1,"")</f>
        <v/>
      </c>
      <c r="B70" s="559" t="str">
        <f>IF(D70&lt;&gt;"",COUNTA($D$7:D70),"")</f>
        <v/>
      </c>
      <c r="C70" s="560" t="str">
        <f t="shared" si="0"/>
        <v/>
      </c>
      <c r="D70" s="561"/>
      <c r="E70" s="562"/>
      <c r="F70" s="562"/>
      <c r="G70" s="562"/>
      <c r="H70" s="684"/>
      <c r="I70" s="563"/>
      <c r="J70" s="564"/>
    </row>
    <row r="71" spans="1:10">
      <c r="A71" s="551" t="str">
        <f>IF($A$4=H71,MAX($A$6:A70)+1,"")</f>
        <v/>
      </c>
      <c r="B71" s="559" t="str">
        <f>IF(D71&lt;&gt;"",COUNTA($D$7:D71),"")</f>
        <v/>
      </c>
      <c r="C71" s="560" t="str">
        <f t="shared" si="0"/>
        <v/>
      </c>
      <c r="D71" s="561"/>
      <c r="E71" s="562"/>
      <c r="F71" s="562"/>
      <c r="G71" s="562"/>
      <c r="H71" s="684"/>
      <c r="I71" s="563"/>
      <c r="J71" s="564"/>
    </row>
    <row r="72" spans="1:10">
      <c r="A72" s="551" t="str">
        <f>IF($A$4=H72,MAX($A$6:A71)+1,"")</f>
        <v/>
      </c>
      <c r="B72" s="559" t="str">
        <f>IF(D72&lt;&gt;"",COUNTA($D$7:D72),"")</f>
        <v/>
      </c>
      <c r="C72" s="560" t="str">
        <f t="shared" si="0"/>
        <v/>
      </c>
      <c r="D72" s="561"/>
      <c r="E72" s="562"/>
      <c r="F72" s="562"/>
      <c r="G72" s="562"/>
      <c r="H72" s="684"/>
      <c r="I72" s="563"/>
      <c r="J72" s="564"/>
    </row>
    <row r="73" spans="1:10">
      <c r="A73" s="551" t="str">
        <f>IF($A$4=H73,MAX($A$6:A72)+1,"")</f>
        <v/>
      </c>
      <c r="B73" s="559" t="str">
        <f>IF(D73&lt;&gt;"",COUNTA($D$7:D73),"")</f>
        <v/>
      </c>
      <c r="C73" s="560" t="str">
        <f t="shared" si="0"/>
        <v/>
      </c>
      <c r="D73" s="561"/>
      <c r="E73" s="562"/>
      <c r="F73" s="562"/>
      <c r="G73" s="562"/>
      <c r="H73" s="684"/>
      <c r="I73" s="563"/>
      <c r="J73" s="564"/>
    </row>
    <row r="74" spans="1:10">
      <c r="A74" s="551" t="str">
        <f>IF($A$4=H74,MAX($A$6:A73)+1,"")</f>
        <v/>
      </c>
      <c r="B74" s="559" t="str">
        <f>IF(D74&lt;&gt;"",COUNTA($D$7:D74),"")</f>
        <v/>
      </c>
      <c r="C74" s="560" t="str">
        <f t="shared" si="0"/>
        <v/>
      </c>
      <c r="D74" s="561"/>
      <c r="E74" s="562"/>
      <c r="F74" s="562"/>
      <c r="G74" s="562"/>
      <c r="H74" s="684"/>
      <c r="I74" s="563"/>
      <c r="J74" s="564"/>
    </row>
    <row r="75" spans="1:10">
      <c r="A75" s="551" t="str">
        <f>IF($A$4=H75,MAX($A$6:A74)+1,"")</f>
        <v/>
      </c>
      <c r="B75" s="559" t="str">
        <f>IF(D75&lt;&gt;"",COUNTA($D$7:D75),"")</f>
        <v/>
      </c>
      <c r="C75" s="560" t="str">
        <f t="shared" si="0"/>
        <v/>
      </c>
      <c r="D75" s="561"/>
      <c r="E75" s="562"/>
      <c r="F75" s="562"/>
      <c r="G75" s="562"/>
      <c r="H75" s="684"/>
      <c r="I75" s="563"/>
      <c r="J75" s="564"/>
    </row>
    <row r="76" spans="1:10">
      <c r="A76" s="551" t="str">
        <f>IF($A$4=H76,MAX($A$6:A75)+1,"")</f>
        <v/>
      </c>
      <c r="B76" s="559" t="str">
        <f>IF(D76&lt;&gt;"",COUNTA($D$7:D76),"")</f>
        <v/>
      </c>
      <c r="C76" s="560" t="str">
        <f t="shared" si="0"/>
        <v/>
      </c>
      <c r="D76" s="561"/>
      <c r="E76" s="562"/>
      <c r="F76" s="562"/>
      <c r="G76" s="562"/>
      <c r="H76" s="684"/>
      <c r="I76" s="563"/>
      <c r="J76" s="564"/>
    </row>
    <row r="77" spans="1:10">
      <c r="A77" s="551" t="str">
        <f>IF($A$4=H77,MAX($A$6:A76)+1,"")</f>
        <v/>
      </c>
      <c r="B77" s="559" t="str">
        <f>IF(D77&lt;&gt;"",COUNTA($D$7:D77),"")</f>
        <v/>
      </c>
      <c r="C77" s="560" t="str">
        <f t="shared" si="0"/>
        <v/>
      </c>
      <c r="D77" s="561"/>
      <c r="E77" s="562"/>
      <c r="F77" s="562"/>
      <c r="G77" s="562"/>
      <c r="H77" s="684"/>
      <c r="I77" s="563"/>
      <c r="J77" s="564"/>
    </row>
    <row r="78" spans="1:10">
      <c r="A78" s="551" t="str">
        <f>IF($A$4=H78,MAX($A$6:A77)+1,"")</f>
        <v/>
      </c>
      <c r="B78" s="559" t="str">
        <f>IF(D78&lt;&gt;"",COUNTA($D$7:D78),"")</f>
        <v/>
      </c>
      <c r="C78" s="560" t="str">
        <f t="shared" si="0"/>
        <v/>
      </c>
      <c r="D78" s="561"/>
      <c r="E78" s="562"/>
      <c r="F78" s="562"/>
      <c r="G78" s="562"/>
      <c r="H78" s="684"/>
      <c r="I78" s="563"/>
      <c r="J78" s="564"/>
    </row>
    <row r="79" spans="1:10">
      <c r="A79" s="551" t="str">
        <f>IF($A$4=H79,MAX($A$6:A78)+1,"")</f>
        <v/>
      </c>
      <c r="B79" s="559" t="str">
        <f>IF(D79&lt;&gt;"",COUNTA($D$7:D79),"")</f>
        <v/>
      </c>
      <c r="C79" s="560" t="str">
        <f t="shared" si="0"/>
        <v/>
      </c>
      <c r="D79" s="561"/>
      <c r="E79" s="562"/>
      <c r="F79" s="562"/>
      <c r="G79" s="562"/>
      <c r="H79" s="684"/>
      <c r="I79" s="563"/>
      <c r="J79" s="564"/>
    </row>
    <row r="80" spans="1:10">
      <c r="A80" s="551" t="str">
        <f>IF($A$4=H80,MAX($A$6:A79)+1,"")</f>
        <v/>
      </c>
      <c r="B80" s="559" t="str">
        <f>IF(D80&lt;&gt;"",COUNTA($D$7:D80),"")</f>
        <v/>
      </c>
      <c r="C80" s="560" t="str">
        <f t="shared" si="0"/>
        <v/>
      </c>
      <c r="D80" s="561"/>
      <c r="E80" s="562"/>
      <c r="F80" s="562"/>
      <c r="G80" s="562"/>
      <c r="H80" s="684"/>
      <c r="I80" s="563"/>
      <c r="J80" s="564"/>
    </row>
    <row r="81" spans="1:10">
      <c r="A81" s="551" t="str">
        <f>IF($A$4=H81,MAX($A$6:A80)+1,"")</f>
        <v/>
      </c>
      <c r="B81" s="559" t="str">
        <f>IF(D81&lt;&gt;"",COUNTA($D$7:D81),"")</f>
        <v/>
      </c>
      <c r="C81" s="560" t="str">
        <f t="shared" ref="C81:C105" si="1">IF(B81="","",$C$6&amp;IF(B81&lt;10,"0"&amp;B81,B81))</f>
        <v/>
      </c>
      <c r="D81" s="561"/>
      <c r="E81" s="562"/>
      <c r="F81" s="562"/>
      <c r="G81" s="562"/>
      <c r="H81" s="684"/>
      <c r="I81" s="563"/>
      <c r="J81" s="564"/>
    </row>
    <row r="82" spans="1:10">
      <c r="A82" s="551" t="str">
        <f>IF($A$4=H82,MAX($A$6:A81)+1,"")</f>
        <v/>
      </c>
      <c r="B82" s="559" t="str">
        <f>IF(D82&lt;&gt;"",COUNTA($D$7:D82),"")</f>
        <v/>
      </c>
      <c r="C82" s="560" t="str">
        <f t="shared" si="1"/>
        <v/>
      </c>
      <c r="D82" s="561"/>
      <c r="E82" s="562"/>
      <c r="F82" s="562"/>
      <c r="G82" s="562"/>
      <c r="H82" s="684"/>
      <c r="I82" s="563"/>
      <c r="J82" s="564"/>
    </row>
    <row r="83" spans="1:10">
      <c r="A83" s="551" t="str">
        <f>IF($A$4=H83,MAX($A$6:A82)+1,"")</f>
        <v/>
      </c>
      <c r="B83" s="559" t="str">
        <f>IF(D83&lt;&gt;"",COUNTA($D$7:D83),"")</f>
        <v/>
      </c>
      <c r="C83" s="560" t="str">
        <f t="shared" si="1"/>
        <v/>
      </c>
      <c r="D83" s="561"/>
      <c r="E83" s="562"/>
      <c r="F83" s="562"/>
      <c r="G83" s="562"/>
      <c r="H83" s="684"/>
      <c r="I83" s="563"/>
      <c r="J83" s="564"/>
    </row>
    <row r="84" spans="1:10">
      <c r="A84" s="551" t="str">
        <f>IF($A$4=H84,MAX($A$6:A83)+1,"")</f>
        <v/>
      </c>
      <c r="B84" s="559" t="str">
        <f>IF(D84&lt;&gt;"",COUNTA($D$7:D84),"")</f>
        <v/>
      </c>
      <c r="C84" s="560" t="str">
        <f t="shared" si="1"/>
        <v/>
      </c>
      <c r="D84" s="561"/>
      <c r="E84" s="562"/>
      <c r="F84" s="562"/>
      <c r="G84" s="562"/>
      <c r="H84" s="684"/>
      <c r="I84" s="563"/>
      <c r="J84" s="564"/>
    </row>
    <row r="85" spans="1:10">
      <c r="A85" s="551" t="str">
        <f>IF($A$4=H85,MAX($A$6:A84)+1,"")</f>
        <v/>
      </c>
      <c r="B85" s="559" t="str">
        <f>IF(D85&lt;&gt;"",COUNTA($D$7:D85),"")</f>
        <v/>
      </c>
      <c r="C85" s="560" t="str">
        <f t="shared" si="1"/>
        <v/>
      </c>
      <c r="D85" s="561"/>
      <c r="E85" s="562"/>
      <c r="F85" s="562"/>
      <c r="G85" s="562"/>
      <c r="H85" s="684"/>
      <c r="I85" s="563"/>
      <c r="J85" s="564"/>
    </row>
    <row r="86" spans="1:10">
      <c r="A86" s="551" t="str">
        <f>IF($A$4=H86,MAX($A$6:A85)+1,"")</f>
        <v/>
      </c>
      <c r="B86" s="559" t="str">
        <f>IF(D86&lt;&gt;"",COUNTA($D$7:D86),"")</f>
        <v/>
      </c>
      <c r="C86" s="560" t="str">
        <f t="shared" si="1"/>
        <v/>
      </c>
      <c r="D86" s="561"/>
      <c r="E86" s="562"/>
      <c r="F86" s="562"/>
      <c r="G86" s="562"/>
      <c r="H86" s="684"/>
      <c r="I86" s="563"/>
      <c r="J86" s="564"/>
    </row>
    <row r="87" spans="1:10">
      <c r="A87" s="551" t="str">
        <f>IF($A$4=H87,MAX($A$6:A86)+1,"")</f>
        <v/>
      </c>
      <c r="B87" s="559" t="str">
        <f>IF(D87&lt;&gt;"",COUNTA($D$7:D87),"")</f>
        <v/>
      </c>
      <c r="C87" s="560" t="str">
        <f t="shared" si="1"/>
        <v/>
      </c>
      <c r="D87" s="561"/>
      <c r="E87" s="562"/>
      <c r="F87" s="562"/>
      <c r="G87" s="562"/>
      <c r="H87" s="684"/>
      <c r="I87" s="563"/>
      <c r="J87" s="564"/>
    </row>
    <row r="88" spans="1:10">
      <c r="A88" s="551" t="str">
        <f>IF($A$4=H88,MAX($A$6:A87)+1,"")</f>
        <v/>
      </c>
      <c r="B88" s="559" t="str">
        <f>IF(D88&lt;&gt;"",COUNTA($D$7:D88),"")</f>
        <v/>
      </c>
      <c r="C88" s="560" t="str">
        <f t="shared" si="1"/>
        <v/>
      </c>
      <c r="D88" s="561"/>
      <c r="E88" s="562"/>
      <c r="F88" s="562"/>
      <c r="G88" s="562"/>
      <c r="H88" s="684"/>
      <c r="I88" s="563"/>
      <c r="J88" s="564"/>
    </row>
    <row r="89" spans="1:10">
      <c r="A89" s="551" t="str">
        <f>IF($A$4=H89,MAX($A$6:A88)+1,"")</f>
        <v/>
      </c>
      <c r="B89" s="559" t="str">
        <f>IF(D89&lt;&gt;"",COUNTA($D$7:D89),"")</f>
        <v/>
      </c>
      <c r="C89" s="560" t="str">
        <f t="shared" si="1"/>
        <v/>
      </c>
      <c r="D89" s="561"/>
      <c r="E89" s="562"/>
      <c r="F89" s="562"/>
      <c r="G89" s="562"/>
      <c r="H89" s="684"/>
      <c r="I89" s="563"/>
      <c r="J89" s="564"/>
    </row>
    <row r="90" spans="1:10">
      <c r="A90" s="551" t="str">
        <f>IF($A$4=H90,MAX($A$6:A89)+1,"")</f>
        <v/>
      </c>
      <c r="B90" s="559" t="str">
        <f>IF(D90&lt;&gt;"",COUNTA($D$7:D90),"")</f>
        <v/>
      </c>
      <c r="C90" s="560" t="str">
        <f t="shared" si="1"/>
        <v/>
      </c>
      <c r="D90" s="561"/>
      <c r="E90" s="562"/>
      <c r="F90" s="562"/>
      <c r="G90" s="562"/>
      <c r="H90" s="684"/>
      <c r="I90" s="563"/>
      <c r="J90" s="564"/>
    </row>
    <row r="91" spans="1:10">
      <c r="A91" s="551" t="str">
        <f>IF($A$4=H91,MAX($A$6:A90)+1,"")</f>
        <v/>
      </c>
      <c r="B91" s="559" t="str">
        <f>IF(D91&lt;&gt;"",COUNTA($D$7:D91),"")</f>
        <v/>
      </c>
      <c r="C91" s="560" t="str">
        <f t="shared" si="1"/>
        <v/>
      </c>
      <c r="D91" s="561"/>
      <c r="E91" s="562"/>
      <c r="F91" s="562"/>
      <c r="G91" s="562"/>
      <c r="H91" s="684"/>
      <c r="I91" s="563"/>
      <c r="J91" s="564"/>
    </row>
    <row r="92" spans="1:10">
      <c r="A92" s="551" t="str">
        <f>IF($A$4=H92,MAX($A$6:A91)+1,"")</f>
        <v/>
      </c>
      <c r="B92" s="559" t="str">
        <f>IF(D92&lt;&gt;"",COUNTA($D$7:D92),"")</f>
        <v/>
      </c>
      <c r="C92" s="560" t="str">
        <f t="shared" si="1"/>
        <v/>
      </c>
      <c r="D92" s="561"/>
      <c r="E92" s="562"/>
      <c r="F92" s="562"/>
      <c r="G92" s="562"/>
      <c r="H92" s="684"/>
      <c r="I92" s="563"/>
      <c r="J92" s="564"/>
    </row>
    <row r="93" spans="1:10">
      <c r="A93" s="551" t="str">
        <f>IF($A$4=H93,MAX($A$6:A92)+1,"")</f>
        <v/>
      </c>
      <c r="B93" s="559" t="str">
        <f>IF(D93&lt;&gt;"",COUNTA($D$7:D93),"")</f>
        <v/>
      </c>
      <c r="C93" s="560" t="str">
        <f t="shared" si="1"/>
        <v/>
      </c>
      <c r="D93" s="561"/>
      <c r="E93" s="562"/>
      <c r="F93" s="562"/>
      <c r="G93" s="562"/>
      <c r="H93" s="684"/>
      <c r="I93" s="563"/>
      <c r="J93" s="564"/>
    </row>
    <row r="94" spans="1:10">
      <c r="A94" s="551" t="str">
        <f>IF($A$4=H94,MAX($A$6:A93)+1,"")</f>
        <v/>
      </c>
      <c r="B94" s="559" t="str">
        <f>IF(D94&lt;&gt;"",COUNTA($D$7:D94),"")</f>
        <v/>
      </c>
      <c r="C94" s="560" t="str">
        <f t="shared" si="1"/>
        <v/>
      </c>
      <c r="D94" s="561"/>
      <c r="E94" s="562"/>
      <c r="F94" s="562"/>
      <c r="G94" s="562"/>
      <c r="H94" s="684"/>
      <c r="I94" s="563"/>
      <c r="J94" s="564"/>
    </row>
    <row r="95" spans="1:10">
      <c r="A95" s="551" t="str">
        <f>IF($A$4=H95,MAX($A$6:A94)+1,"")</f>
        <v/>
      </c>
      <c r="B95" s="559" t="str">
        <f>IF(D95&lt;&gt;"",COUNTA($D$7:D95),"")</f>
        <v/>
      </c>
      <c r="C95" s="560" t="str">
        <f t="shared" si="1"/>
        <v/>
      </c>
      <c r="D95" s="561"/>
      <c r="E95" s="562"/>
      <c r="F95" s="562"/>
      <c r="G95" s="562"/>
      <c r="H95" s="684"/>
      <c r="I95" s="563"/>
      <c r="J95" s="564"/>
    </row>
    <row r="96" spans="1:10">
      <c r="A96" s="551" t="str">
        <f>IF($A$4=H96,MAX($A$6:A95)+1,"")</f>
        <v/>
      </c>
      <c r="B96" s="559" t="str">
        <f>IF(D96&lt;&gt;"",COUNTA($D$7:D96),"")</f>
        <v/>
      </c>
      <c r="C96" s="560" t="str">
        <f t="shared" si="1"/>
        <v/>
      </c>
      <c r="D96" s="561"/>
      <c r="E96" s="562"/>
      <c r="F96" s="562"/>
      <c r="G96" s="562"/>
      <c r="H96" s="684"/>
      <c r="I96" s="563"/>
      <c r="J96" s="564"/>
    </row>
    <row r="97" spans="1:10">
      <c r="A97" s="551" t="str">
        <f>IF($A$4=H97,MAX($A$6:A96)+1,"")</f>
        <v/>
      </c>
      <c r="B97" s="559" t="str">
        <f>IF(D97&lt;&gt;"",COUNTA($D$7:D97),"")</f>
        <v/>
      </c>
      <c r="C97" s="560" t="str">
        <f t="shared" si="1"/>
        <v/>
      </c>
      <c r="D97" s="561"/>
      <c r="E97" s="562"/>
      <c r="F97" s="562"/>
      <c r="G97" s="562"/>
      <c r="H97" s="684"/>
      <c r="I97" s="563"/>
      <c r="J97" s="564"/>
    </row>
    <row r="98" spans="1:10">
      <c r="A98" s="551" t="str">
        <f>IF($A$4=H98,MAX($A$6:A97)+1,"")</f>
        <v/>
      </c>
      <c r="B98" s="559" t="str">
        <f>IF(D98&lt;&gt;"",COUNTA($D$7:D98),"")</f>
        <v/>
      </c>
      <c r="C98" s="560" t="str">
        <f t="shared" si="1"/>
        <v/>
      </c>
      <c r="D98" s="561"/>
      <c r="E98" s="562"/>
      <c r="F98" s="562"/>
      <c r="G98" s="562"/>
      <c r="H98" s="684"/>
      <c r="I98" s="563"/>
      <c r="J98" s="564"/>
    </row>
    <row r="99" spans="1:10">
      <c r="A99" s="551" t="str">
        <f>IF($A$4=H99,MAX($A$6:A98)+1,"")</f>
        <v/>
      </c>
      <c r="B99" s="559" t="str">
        <f>IF(D99&lt;&gt;"",COUNTA($D$7:D99),"")</f>
        <v/>
      </c>
      <c r="C99" s="560" t="str">
        <f t="shared" si="1"/>
        <v/>
      </c>
      <c r="D99" s="561"/>
      <c r="E99" s="562"/>
      <c r="F99" s="562"/>
      <c r="G99" s="562"/>
      <c r="H99" s="684"/>
      <c r="I99" s="563"/>
      <c r="J99" s="564"/>
    </row>
    <row r="100" spans="1:10">
      <c r="A100" s="551" t="str">
        <f>IF($A$4=H100,MAX($A$6:A99)+1,"")</f>
        <v/>
      </c>
      <c r="B100" s="559" t="str">
        <f>IF(D100&lt;&gt;"",COUNTA($D$7:D100),"")</f>
        <v/>
      </c>
      <c r="C100" s="560" t="str">
        <f t="shared" si="1"/>
        <v/>
      </c>
      <c r="D100" s="561"/>
      <c r="E100" s="562"/>
      <c r="F100" s="562"/>
      <c r="G100" s="562"/>
      <c r="H100" s="684"/>
      <c r="I100" s="563"/>
      <c r="J100" s="564"/>
    </row>
    <row r="101" spans="1:10">
      <c r="A101" s="551" t="str">
        <f>IF($A$4=H101,MAX($A$6:A100)+1,"")</f>
        <v/>
      </c>
      <c r="B101" s="559" t="str">
        <f>IF(D101&lt;&gt;"",COUNTA($D$7:D101),"")</f>
        <v/>
      </c>
      <c r="C101" s="560" t="str">
        <f t="shared" si="1"/>
        <v/>
      </c>
      <c r="D101" s="561"/>
      <c r="E101" s="562"/>
      <c r="F101" s="562"/>
      <c r="G101" s="562"/>
      <c r="H101" s="684"/>
      <c r="I101" s="563"/>
      <c r="J101" s="564"/>
    </row>
    <row r="102" spans="1:10">
      <c r="A102" s="551" t="str">
        <f>IF($A$4=H102,MAX($A$6:A101)+1,"")</f>
        <v/>
      </c>
      <c r="B102" s="559" t="str">
        <f>IF(D102&lt;&gt;"",COUNTA($D$7:D102),"")</f>
        <v/>
      </c>
      <c r="C102" s="560" t="str">
        <f t="shared" si="1"/>
        <v/>
      </c>
      <c r="D102" s="561"/>
      <c r="E102" s="562"/>
      <c r="F102" s="562"/>
      <c r="G102" s="562"/>
      <c r="H102" s="684"/>
      <c r="I102" s="563"/>
      <c r="J102" s="564"/>
    </row>
    <row r="103" spans="1:10">
      <c r="A103" s="551" t="str">
        <f>IF($A$4=H103,MAX($A$6:A102)+1,"")</f>
        <v/>
      </c>
      <c r="B103" s="559" t="str">
        <f>IF(D103&lt;&gt;"",COUNTA($D$7:D103),"")</f>
        <v/>
      </c>
      <c r="C103" s="560" t="str">
        <f t="shared" si="1"/>
        <v/>
      </c>
      <c r="D103" s="561"/>
      <c r="E103" s="562"/>
      <c r="F103" s="562"/>
      <c r="G103" s="562"/>
      <c r="H103" s="684"/>
      <c r="I103" s="563"/>
      <c r="J103" s="564"/>
    </row>
    <row r="104" spans="1:10">
      <c r="A104" s="551" t="str">
        <f>IF($A$4=H104,MAX($A$6:A103)+1,"")</f>
        <v/>
      </c>
      <c r="B104" s="559" t="str">
        <f>IF(D104&lt;&gt;"",COUNTA($D$7:D104),"")</f>
        <v/>
      </c>
      <c r="C104" s="560" t="str">
        <f t="shared" si="1"/>
        <v/>
      </c>
      <c r="D104" s="561"/>
      <c r="E104" s="562"/>
      <c r="F104" s="562"/>
      <c r="G104" s="562"/>
      <c r="H104" s="684"/>
      <c r="I104" s="563"/>
      <c r="J104" s="564"/>
    </row>
    <row r="105" spans="1:10">
      <c r="A105" s="551" t="str">
        <f>IF($A$4=H105,MAX($A$6:A104)+1,"")</f>
        <v/>
      </c>
      <c r="B105" s="559" t="str">
        <f>IF(D105&lt;&gt;"",COUNTA($D$7:D105),"")</f>
        <v/>
      </c>
      <c r="C105" s="560" t="str">
        <f t="shared" si="1"/>
        <v/>
      </c>
      <c r="D105" s="561"/>
      <c r="E105" s="562"/>
      <c r="F105" s="562"/>
      <c r="G105" s="562"/>
      <c r="H105" s="684"/>
      <c r="I105" s="563"/>
      <c r="J105" s="564"/>
    </row>
  </sheetData>
  <mergeCells count="10">
    <mergeCell ref="F1:G2"/>
    <mergeCell ref="I4:I5"/>
    <mergeCell ref="J4:J5"/>
    <mergeCell ref="E6:F6"/>
    <mergeCell ref="B4:B5"/>
    <mergeCell ref="C4:D4"/>
    <mergeCell ref="E4:E5"/>
    <mergeCell ref="F4:F5"/>
    <mergeCell ref="G4:G5"/>
    <mergeCell ref="H4:H5"/>
  </mergeCells>
  <dataValidations count="1">
    <dataValidation type="list" allowBlank="1" showInputMessage="1" showErrorMessage="1" sqref="H7:H105">
      <formula1>MaNV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47107" r:id="rId4" name="ComboBox1">
          <controlPr defaultSize="0" autoLine="0" autoPict="0" linkedCell="D2" listFillRange="SoPC" r:id="rId5">
            <anchor moveWithCells="1">
              <from>
                <xdr:col>3</xdr:col>
                <xdr:colOff>0</xdr:colOff>
                <xdr:row>0</xdr:row>
                <xdr:rowOff>209550</xdr:rowOff>
              </from>
              <to>
                <xdr:col>4</xdr:col>
                <xdr:colOff>95250</xdr:colOff>
                <xdr:row>2</xdr:row>
                <xdr:rowOff>76200</xdr:rowOff>
              </to>
            </anchor>
          </controlPr>
        </control>
      </mc:Choice>
      <mc:Fallback>
        <control shapeId="47107" r:id="rId4" name="ComboBox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ng_tính6">
    <tabColor rgb="FFC00000"/>
    <pageSetUpPr fitToPage="1"/>
  </sheetPr>
  <dimension ref="A1:M24"/>
  <sheetViews>
    <sheetView showGridLines="0" view="pageBreakPreview" topLeftCell="B1" zoomScale="96" zoomScaleNormal="100" zoomScaleSheetLayoutView="96" workbookViewId="0"/>
  </sheetViews>
  <sheetFormatPr defaultRowHeight="12.75"/>
  <cols>
    <col min="1" max="1" width="94.42578125" style="219" hidden="1" customWidth="1"/>
    <col min="2" max="2" width="0.5703125" style="219" customWidth="1"/>
    <col min="3" max="3" width="10.42578125" style="219" customWidth="1"/>
    <col min="4" max="4" width="17" style="219" customWidth="1"/>
    <col min="5" max="5" width="17.5703125" style="219" customWidth="1"/>
    <col min="6" max="6" width="11.85546875" style="219" customWidth="1"/>
    <col min="7" max="7" width="5" style="219" customWidth="1"/>
    <col min="8" max="8" width="11" style="219" customWidth="1"/>
    <col min="9" max="10" width="7.7109375" style="219" customWidth="1"/>
    <col min="11" max="11" width="15.42578125" style="219" customWidth="1"/>
    <col min="12" max="12" width="9.140625" style="219"/>
    <col min="13" max="13" width="15.42578125" style="219" customWidth="1"/>
    <col min="14" max="16384" width="9.140625" style="219"/>
  </cols>
  <sheetData>
    <row r="1" spans="1:13" ht="7.5" customHeight="1">
      <c r="B1" s="611"/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9"/>
    </row>
    <row r="2" spans="1:13" ht="15.75" customHeight="1">
      <c r="B2" s="613" t="s">
        <v>581</v>
      </c>
      <c r="C2" s="614"/>
      <c r="D2" s="612"/>
      <c r="E2" s="995" t="s">
        <v>559</v>
      </c>
      <c r="F2" s="995"/>
      <c r="G2" s="615" t="s">
        <v>579</v>
      </c>
      <c r="H2" s="612"/>
      <c r="I2" s="1000" t="s">
        <v>560</v>
      </c>
      <c r="J2" s="1000"/>
      <c r="K2" s="1000"/>
      <c r="M2" s="619"/>
    </row>
    <row r="3" spans="1:13" ht="17.25" customHeight="1">
      <c r="B3" s="616" t="s">
        <v>561</v>
      </c>
      <c r="C3" s="614"/>
      <c r="D3" s="617"/>
      <c r="E3" s="995"/>
      <c r="F3" s="995"/>
      <c r="G3" s="615" t="s">
        <v>562</v>
      </c>
      <c r="H3" s="612" t="str">
        <f>'DS Chi'!D2</f>
        <v>PC08</v>
      </c>
      <c r="I3" s="997" t="s">
        <v>580</v>
      </c>
      <c r="J3" s="997"/>
      <c r="K3" s="997"/>
      <c r="M3" s="619"/>
    </row>
    <row r="4" spans="1:13" ht="15" customHeight="1">
      <c r="B4" s="616" t="s">
        <v>563</v>
      </c>
      <c r="C4" s="614"/>
      <c r="D4" s="612"/>
      <c r="E4" s="996" t="e">
        <f>IF($H$3="","","Ngày "&amp;DAY(VLOOKUP($H$3,DSChi,2,0))&amp;" tháng "&amp;MONTH(VLOOKUP($H$3,DSChi,2,0))&amp;" năm "&amp;YEAR(VLOOKUP($H$3,DSChi,2,0)))</f>
        <v>#N/A</v>
      </c>
      <c r="F4" s="996"/>
      <c r="G4" s="635"/>
      <c r="H4" s="635"/>
      <c r="I4" s="997"/>
      <c r="J4" s="997"/>
      <c r="K4" s="997"/>
      <c r="L4" s="615"/>
      <c r="M4" s="619"/>
    </row>
    <row r="5" spans="1:13" ht="14.25">
      <c r="B5" s="618"/>
      <c r="C5" s="614"/>
      <c r="D5" s="614"/>
      <c r="E5" s="614"/>
      <c r="F5" s="614"/>
      <c r="G5" s="619" t="s">
        <v>564</v>
      </c>
      <c r="H5" s="619"/>
      <c r="I5" s="619"/>
      <c r="J5" s="619"/>
      <c r="K5" s="612"/>
      <c r="M5" s="619"/>
    </row>
    <row r="6" spans="1:13" ht="14.25">
      <c r="B6" s="618"/>
      <c r="C6" s="614"/>
      <c r="D6" s="614"/>
      <c r="E6" s="614"/>
      <c r="F6" s="614"/>
      <c r="G6" s="619" t="s">
        <v>565</v>
      </c>
      <c r="H6" s="619"/>
      <c r="I6" s="619"/>
      <c r="J6" s="619"/>
      <c r="K6" s="612"/>
      <c r="M6" s="619"/>
    </row>
    <row r="7" spans="1:13" ht="14.25">
      <c r="B7" s="999"/>
      <c r="C7" s="999"/>
      <c r="D7" s="999"/>
      <c r="E7" s="999"/>
      <c r="F7" s="999"/>
      <c r="G7" s="999"/>
      <c r="H7" s="999"/>
      <c r="I7" s="612"/>
      <c r="J7" s="612"/>
      <c r="K7" s="612"/>
      <c r="L7" s="612"/>
      <c r="M7" s="620"/>
    </row>
    <row r="8" spans="1:13" ht="18.75" customHeight="1">
      <c r="B8" s="612"/>
      <c r="C8" s="615" t="s">
        <v>566</v>
      </c>
      <c r="D8" s="612"/>
      <c r="E8" s="621" t="e">
        <f>IF(H3="","",UPPERuni(VLOOKUP(H3,DSChi,3,0)))</f>
        <v>#VALUE!</v>
      </c>
      <c r="F8" s="621"/>
      <c r="H8" s="612"/>
      <c r="I8" s="612"/>
      <c r="J8" s="612"/>
      <c r="K8" s="612"/>
      <c r="L8" s="612"/>
      <c r="M8" s="612"/>
    </row>
    <row r="9" spans="1:13" ht="18.75" customHeight="1">
      <c r="B9" s="612"/>
      <c r="C9" s="622" t="s">
        <v>567</v>
      </c>
      <c r="D9" s="615" t="e">
        <f>IF($H$3="","",VLOOKUP($H$3,DSChi,4,0))</f>
        <v>#N/A</v>
      </c>
      <c r="E9" s="620"/>
      <c r="F9" s="620"/>
      <c r="G9" s="620"/>
      <c r="H9" s="620"/>
      <c r="I9" s="620"/>
      <c r="J9" s="620"/>
      <c r="K9" s="620"/>
      <c r="L9" s="620"/>
      <c r="M9" s="620"/>
    </row>
    <row r="10" spans="1:13" ht="15">
      <c r="A10" s="707" t="e">
        <f>D10</f>
        <v>#N/A</v>
      </c>
      <c r="B10" s="612"/>
      <c r="C10" s="639" t="s">
        <v>577</v>
      </c>
      <c r="D10" s="998" t="e">
        <f>IF($H$3="","",VLOOKUP($H$3,DSChi,5,0))</f>
        <v>#N/A</v>
      </c>
      <c r="E10" s="998"/>
      <c r="F10" s="998"/>
      <c r="G10" s="998"/>
      <c r="H10" s="998"/>
      <c r="I10" s="998"/>
      <c r="J10" s="998"/>
      <c r="K10" s="998"/>
      <c r="L10" s="630"/>
      <c r="M10" s="630"/>
    </row>
    <row r="11" spans="1:13" ht="15">
      <c r="B11" s="612"/>
      <c r="C11" s="615" t="s">
        <v>568</v>
      </c>
      <c r="D11" s="640" t="e">
        <f>IF($H$3="","",VLOOKUP($H$3,DSChi,7,0))</f>
        <v>#N/A</v>
      </c>
      <c r="E11" s="634" t="s">
        <v>578</v>
      </c>
      <c r="F11" s="634"/>
      <c r="H11" s="634"/>
      <c r="I11" s="622"/>
      <c r="J11" s="620"/>
      <c r="K11" s="620"/>
      <c r="L11" s="620"/>
      <c r="M11" s="620"/>
    </row>
    <row r="12" spans="1:13" ht="18" customHeight="1">
      <c r="B12" s="615"/>
      <c r="C12" s="615" t="e">
        <f>"Viết bằng chữ: "&amp;dso(D11)&amp;" đồng."</f>
        <v>#VALUE!</v>
      </c>
      <c r="D12" s="615"/>
      <c r="E12" s="615"/>
      <c r="F12" s="615"/>
      <c r="G12" s="615"/>
      <c r="H12" s="615"/>
      <c r="I12" s="615"/>
      <c r="J12" s="615"/>
      <c r="K12" s="615"/>
      <c r="L12" s="615"/>
      <c r="M12" s="615"/>
    </row>
    <row r="13" spans="1:13" ht="18" customHeight="1">
      <c r="B13" s="612"/>
      <c r="C13" s="615" t="s">
        <v>623</v>
      </c>
      <c r="D13" s="612"/>
      <c r="E13" s="612"/>
      <c r="F13" s="612"/>
      <c r="G13" s="622"/>
      <c r="H13" s="612"/>
      <c r="I13" s="623"/>
      <c r="J13" s="612"/>
      <c r="K13" s="612"/>
      <c r="L13" s="612"/>
      <c r="M13" s="612"/>
    </row>
    <row r="14" spans="1:13" ht="15">
      <c r="B14" s="612"/>
      <c r="C14" s="615" t="s">
        <v>624</v>
      </c>
      <c r="D14" s="612"/>
      <c r="E14" s="612"/>
      <c r="F14" s="612"/>
      <c r="G14" s="612"/>
      <c r="H14" s="612"/>
      <c r="I14" s="612"/>
      <c r="J14" s="612"/>
      <c r="K14" s="612"/>
      <c r="L14" s="612"/>
      <c r="M14" s="612"/>
    </row>
    <row r="15" spans="1:13" ht="14.25">
      <c r="B15" s="612"/>
      <c r="C15" s="638" t="s">
        <v>622</v>
      </c>
      <c r="D15" s="638"/>
      <c r="E15" s="638"/>
      <c r="F15" s="638"/>
      <c r="G15" s="638"/>
      <c r="H15" s="638"/>
      <c r="I15" s="638"/>
      <c r="J15" s="638"/>
      <c r="K15" s="638"/>
      <c r="L15" s="638"/>
      <c r="M15" s="638"/>
    </row>
    <row r="16" spans="1:13" ht="14.25">
      <c r="B16" s="612"/>
      <c r="C16" s="612"/>
      <c r="D16" s="612"/>
      <c r="E16" s="612"/>
      <c r="F16" s="612"/>
      <c r="G16" s="1003" t="str">
        <f ca="1">"Ngày       tháng       năm "&amp;YEAR(Menu!D4)</f>
        <v>Ngày       tháng       năm 2018</v>
      </c>
      <c r="H16" s="1003"/>
      <c r="I16" s="1003"/>
      <c r="J16" s="1003"/>
      <c r="K16" s="1003"/>
      <c r="L16" s="612"/>
      <c r="M16" s="612"/>
    </row>
    <row r="17" spans="2:13" ht="15">
      <c r="B17" s="1002" t="s">
        <v>569</v>
      </c>
      <c r="C17" s="1002"/>
      <c r="D17" s="1002"/>
      <c r="E17" s="631" t="s">
        <v>570</v>
      </c>
      <c r="F17" s="631"/>
      <c r="G17" s="636" t="s">
        <v>571</v>
      </c>
      <c r="H17" s="636"/>
      <c r="I17" s="1002" t="s">
        <v>572</v>
      </c>
      <c r="J17" s="1002"/>
      <c r="K17" s="632" t="s">
        <v>573</v>
      </c>
      <c r="L17" s="636"/>
      <c r="M17" s="636"/>
    </row>
    <row r="18" spans="2:13">
      <c r="B18" s="1001" t="s">
        <v>574</v>
      </c>
      <c r="C18" s="1001"/>
      <c r="D18" s="1001"/>
      <c r="E18" s="633" t="s">
        <v>575</v>
      </c>
      <c r="F18" s="633"/>
      <c r="G18" s="637" t="s">
        <v>575</v>
      </c>
      <c r="H18" s="637"/>
      <c r="I18" s="1001" t="s">
        <v>575</v>
      </c>
      <c r="J18" s="1001"/>
      <c r="K18" s="633" t="s">
        <v>575</v>
      </c>
      <c r="L18" s="637"/>
      <c r="M18" s="637"/>
    </row>
    <row r="19" spans="2:13" ht="14.25">
      <c r="B19" s="612"/>
      <c r="C19" s="612"/>
      <c r="D19" s="612"/>
      <c r="E19" s="612"/>
      <c r="F19" s="612"/>
      <c r="G19" s="612"/>
      <c r="H19" s="612"/>
      <c r="I19" s="612"/>
      <c r="J19" s="612"/>
      <c r="K19" s="612"/>
      <c r="L19" s="612"/>
      <c r="M19" s="612"/>
    </row>
    <row r="20" spans="2:13" ht="14.25">
      <c r="B20" s="612"/>
      <c r="C20" s="612"/>
      <c r="D20" s="612"/>
      <c r="E20" s="612"/>
      <c r="F20" s="612"/>
      <c r="G20" s="612"/>
      <c r="H20" s="612"/>
      <c r="I20" s="612"/>
      <c r="J20" s="612"/>
      <c r="K20" s="612"/>
      <c r="L20" s="612"/>
      <c r="M20" s="612"/>
    </row>
    <row r="21" spans="2:13" ht="14.25">
      <c r="B21" s="612"/>
      <c r="C21" s="612"/>
      <c r="D21" s="612"/>
      <c r="E21" s="612"/>
      <c r="F21" s="612"/>
      <c r="G21" s="612"/>
      <c r="H21" s="612"/>
      <c r="I21" s="612"/>
      <c r="J21" s="612"/>
      <c r="K21" s="612"/>
      <c r="L21" s="612"/>
      <c r="M21" s="612"/>
    </row>
    <row r="22" spans="2:13" ht="14.25">
      <c r="B22" s="620"/>
      <c r="C22" s="620"/>
      <c r="D22" s="620"/>
      <c r="E22" s="620"/>
      <c r="F22" s="620"/>
      <c r="G22" s="620"/>
      <c r="H22" s="620"/>
      <c r="I22" s="620"/>
      <c r="J22" s="620"/>
      <c r="K22" s="620"/>
      <c r="L22" s="620"/>
      <c r="M22" s="620"/>
    </row>
    <row r="23" spans="2:13" ht="14.25">
      <c r="B23" s="620"/>
      <c r="C23" s="620" t="s">
        <v>625</v>
      </c>
      <c r="D23" s="620"/>
      <c r="E23" s="620"/>
      <c r="F23" s="620"/>
      <c r="G23" s="620"/>
      <c r="H23" s="620"/>
      <c r="I23" s="620"/>
      <c r="J23" s="620"/>
      <c r="K23" s="620"/>
      <c r="L23" s="620"/>
      <c r="M23" s="620"/>
    </row>
    <row r="24" spans="2:13" ht="18.75" customHeight="1">
      <c r="B24" s="620"/>
      <c r="C24" s="620" t="s">
        <v>626</v>
      </c>
      <c r="D24" s="620"/>
      <c r="E24" s="620"/>
      <c r="F24" s="620"/>
      <c r="G24" s="620"/>
      <c r="H24" s="620"/>
      <c r="I24" s="620"/>
      <c r="J24" s="620"/>
      <c r="K24" s="620"/>
      <c r="L24" s="620"/>
      <c r="M24" s="620"/>
    </row>
  </sheetData>
  <sheetProtection formatCells="0" formatColumns="0" formatRows="0"/>
  <mergeCells count="11">
    <mergeCell ref="B18:D18"/>
    <mergeCell ref="I17:J17"/>
    <mergeCell ref="I18:J18"/>
    <mergeCell ref="B17:D17"/>
    <mergeCell ref="G16:K16"/>
    <mergeCell ref="E2:F3"/>
    <mergeCell ref="E4:F4"/>
    <mergeCell ref="I3:K4"/>
    <mergeCell ref="D10:K10"/>
    <mergeCell ref="B7:H7"/>
    <mergeCell ref="I2:K2"/>
  </mergeCells>
  <pageMargins left="0.23622047244094491" right="0.15748031496062992" top="0.36" bottom="0.35433070866141736" header="0.31496062992125984" footer="0.19685039370078741"/>
  <pageSetup paperSize="9" scale="97" orientation="portrait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rang_tính3">
    <tabColor rgb="FF00B050"/>
  </sheetPr>
  <dimension ref="A1:I66"/>
  <sheetViews>
    <sheetView showZeros="0" workbookViewId="0">
      <pane ySplit="6" topLeftCell="A7" activePane="bottomLeft" state="frozen"/>
      <selection pane="bottomLeft" activeCell="A66" sqref="A66:XFD66"/>
    </sheetView>
  </sheetViews>
  <sheetFormatPr defaultRowHeight="12.75"/>
  <cols>
    <col min="1" max="1" width="5" customWidth="1"/>
    <col min="2" max="2" width="9.5703125" customWidth="1"/>
    <col min="3" max="3" width="7.42578125" customWidth="1"/>
    <col min="4" max="4" width="11.85546875" customWidth="1"/>
    <col min="5" max="5" width="54.140625" customWidth="1"/>
    <col min="6" max="6" width="14.5703125" customWidth="1"/>
    <col min="7" max="7" width="14.140625" customWidth="1"/>
    <col min="8" max="8" width="15.28515625" customWidth="1"/>
    <col min="9" max="9" width="12" customWidth="1"/>
  </cols>
  <sheetData>
    <row r="1" spans="1:9" ht="6" customHeight="1">
      <c r="A1" s="568"/>
      <c r="B1" s="569"/>
      <c r="C1" s="570"/>
      <c r="D1" s="571"/>
      <c r="E1" s="1008" t="s">
        <v>548</v>
      </c>
      <c r="F1" s="1008"/>
      <c r="G1" s="1008"/>
      <c r="H1" s="572"/>
      <c r="I1" s="573"/>
    </row>
    <row r="2" spans="1:9" ht="20.25" customHeight="1">
      <c r="A2" s="629">
        <v>102</v>
      </c>
      <c r="B2" s="1009"/>
      <c r="C2" s="1009"/>
      <c r="D2" s="1009"/>
      <c r="E2" s="1008"/>
      <c r="F2" s="1008"/>
      <c r="G2" s="1008"/>
      <c r="H2" s="574"/>
      <c r="I2" s="573"/>
    </row>
    <row r="3" spans="1:9" ht="18.75" customHeight="1">
      <c r="A3" s="575"/>
      <c r="B3" s="1010"/>
      <c r="C3" s="1010"/>
      <c r="D3" s="1010"/>
      <c r="E3" s="1011" t="str">
        <f>"Nguồn: "&amp;IF(MaBCChi="","",IF(ISNA(VLOOKUP(MaBCChi,Manguon,1,0)),"",VLOOKUP(MaBCChi,Manguon,2,0)))&amp;IF(MaBCChi="","   Năm ……………",IF(ISNA(VLOOKUP(MaBCChi,Manguon,1,0)),"   Năm ……………"," năm "&amp;YEAR(MAX(D8:D60))))</f>
        <v>Nguồn: Khuyến công, nông thôn mới năm 1900</v>
      </c>
      <c r="F3" s="1011"/>
      <c r="G3" s="1011"/>
      <c r="H3" s="574"/>
      <c r="I3" s="573"/>
    </row>
    <row r="4" spans="1:9" ht="15.75">
      <c r="A4" s="576"/>
      <c r="B4" s="1012"/>
      <c r="C4" s="1012"/>
      <c r="D4" s="1012"/>
      <c r="E4" s="1012"/>
      <c r="F4" s="1012"/>
      <c r="G4" s="1012"/>
      <c r="H4" s="1004" t="s">
        <v>542</v>
      </c>
      <c r="I4" s="1004"/>
    </row>
    <row r="5" spans="1:9" ht="15.75">
      <c r="A5" s="1006" t="s">
        <v>0</v>
      </c>
      <c r="B5" s="1006" t="s">
        <v>1</v>
      </c>
      <c r="C5" s="1006"/>
      <c r="D5" s="1006"/>
      <c r="E5" s="1006" t="s">
        <v>2</v>
      </c>
      <c r="F5" s="1007" t="s">
        <v>549</v>
      </c>
      <c r="G5" s="1007"/>
      <c r="H5" s="1007" t="s">
        <v>550</v>
      </c>
      <c r="I5" s="1005" t="s">
        <v>450</v>
      </c>
    </row>
    <row r="6" spans="1:9" ht="15.75">
      <c r="A6" s="1006"/>
      <c r="B6" s="577" t="s">
        <v>551</v>
      </c>
      <c r="C6" s="577" t="s">
        <v>552</v>
      </c>
      <c r="D6" s="578" t="s">
        <v>553</v>
      </c>
      <c r="E6" s="1006"/>
      <c r="F6" s="579" t="s">
        <v>554</v>
      </c>
      <c r="G6" s="579" t="s">
        <v>555</v>
      </c>
      <c r="H6" s="1007"/>
      <c r="I6" s="1005"/>
    </row>
    <row r="7" spans="1:9" ht="18.75">
      <c r="A7" s="580"/>
      <c r="B7" s="580"/>
      <c r="C7" s="580"/>
      <c r="D7" s="581"/>
      <c r="E7" s="582" t="s">
        <v>556</v>
      </c>
      <c r="F7" s="583">
        <f>SUM(F8:F60)</f>
        <v>0</v>
      </c>
      <c r="G7" s="583">
        <f>SUM(G8:G60)</f>
        <v>0</v>
      </c>
      <c r="H7" s="583">
        <f>F7-G7</f>
        <v>0</v>
      </c>
      <c r="I7" s="584"/>
    </row>
    <row r="8" spans="1:9" ht="15.75">
      <c r="A8" s="24" t="str">
        <f>IF(A7&lt;MAX(XL!$B$5:$B$156),A7+1,"")</f>
        <v/>
      </c>
      <c r="B8" s="585" t="str">
        <f>IF($A8&lt;&gt;"",VLOOKUP(A8,ThuChi,2,0),"")</f>
        <v/>
      </c>
      <c r="C8" s="585" t="str">
        <f>IF($A8&lt;&gt;"",VLOOKUP(A8,ThuChi,3,0),"")</f>
        <v/>
      </c>
      <c r="D8" s="586" t="str">
        <f>IF($A8&lt;&gt;"",VLOOKUP(A8,ThuChi,4,0),"")</f>
        <v/>
      </c>
      <c r="E8" s="587" t="str">
        <f>IF($A8&lt;&gt;"",VLOOKUP(A8,ThuChi,5,0),"")</f>
        <v/>
      </c>
      <c r="F8" s="588" t="str">
        <f>IF($A8&lt;&gt;"",VLOOKUP(A8,ThuChi,7,0),"")</f>
        <v/>
      </c>
      <c r="G8" s="588" t="str">
        <f>IF($A8&lt;&gt;"",VLOOKUP(A8,ThuChi,8,0),"")</f>
        <v/>
      </c>
      <c r="H8" s="588" t="str">
        <f>IF($A8&lt;&gt;"",VLOOKUP(A8,ThuChi,9,0),"")</f>
        <v/>
      </c>
      <c r="I8" s="589" t="str">
        <f t="shared" ref="I8:I39" si="0">IF($A8&lt;&gt;"",VLOOKUP(A8,ThuChi,10,0),"")</f>
        <v/>
      </c>
    </row>
    <row r="9" spans="1:9" ht="15.75">
      <c r="A9" s="24" t="str">
        <f>IF(A8&lt;MAX(XL!$B$5:$B$156),A8+1,"")</f>
        <v/>
      </c>
      <c r="B9" s="585" t="str">
        <f>IF($A9&lt;&gt;"",VLOOKUP(A9,ThuChi,2,0),"")</f>
        <v/>
      </c>
      <c r="C9" s="585" t="str">
        <f>IF($A9&lt;&gt;"",VLOOKUP(A9,ThuChi,3,0),"")</f>
        <v/>
      </c>
      <c r="D9" s="586" t="str">
        <f>IF($A9&lt;&gt;"",VLOOKUP(A9,ThuChi,4,0),"")</f>
        <v/>
      </c>
      <c r="E9" s="587" t="str">
        <f>IF($A9&lt;&gt;"",VLOOKUP(A9,ThuChi,5,0),"")</f>
        <v/>
      </c>
      <c r="F9" s="588" t="str">
        <f>IF($A9&lt;&gt;"",VLOOKUP(A9,ThuChi,7,0),"")</f>
        <v/>
      </c>
      <c r="G9" s="588" t="str">
        <f>IF($A9&lt;&gt;"",VLOOKUP(A9,ThuChi,8,0),"")</f>
        <v/>
      </c>
      <c r="H9" s="588" t="str">
        <f>IF($A9&lt;&gt;"",VLOOKUP(A9,ThuChi,9,0),"")</f>
        <v/>
      </c>
      <c r="I9" s="589" t="str">
        <f t="shared" si="0"/>
        <v/>
      </c>
    </row>
    <row r="10" spans="1:9" ht="15.75" hidden="1">
      <c r="A10" s="24" t="str">
        <f>IF(A9&lt;MAX(XL!$B$5:$B$156),A9+1,"")</f>
        <v/>
      </c>
      <c r="B10" s="585" t="str">
        <f t="shared" ref="B10:B60" si="1">IF($A10&lt;&gt;"",VLOOKUP(A10,ThuChi,2,0),"")</f>
        <v/>
      </c>
      <c r="C10" s="585" t="str">
        <f t="shared" ref="C10:C60" si="2">IF($A10&lt;&gt;"",VLOOKUP(A10,ThuChi,3,0),"")</f>
        <v/>
      </c>
      <c r="D10" s="586" t="str">
        <f t="shared" ref="D10:D60" si="3">IF($A10&lt;&gt;"",VLOOKUP(A10,ThuChi,4,0),"")</f>
        <v/>
      </c>
      <c r="E10" s="587" t="str">
        <f t="shared" ref="E10:E60" si="4">IF($A10&lt;&gt;"",VLOOKUP(A10,ThuChi,5,0),"")</f>
        <v/>
      </c>
      <c r="F10" s="588" t="str">
        <f t="shared" ref="F10:F60" si="5">IF($A10&lt;&gt;"",VLOOKUP(A10,ThuChi,7,0),"")</f>
        <v/>
      </c>
      <c r="G10" s="588" t="str">
        <f t="shared" ref="G10:G60" si="6">IF($A10&lt;&gt;"",VLOOKUP(A10,ThuChi,8,0),"")</f>
        <v/>
      </c>
      <c r="H10" s="588" t="str">
        <f t="shared" ref="H10:H60" si="7">IF($A10&lt;&gt;"",VLOOKUP(A10,ThuChi,9,0),"")</f>
        <v/>
      </c>
      <c r="I10" s="589" t="str">
        <f t="shared" si="0"/>
        <v/>
      </c>
    </row>
    <row r="11" spans="1:9" ht="15.75" hidden="1">
      <c r="A11" s="24" t="str">
        <f>IF(A10&lt;MAX(XL!$B$5:$B$156),A10+1,"")</f>
        <v/>
      </c>
      <c r="B11" s="585" t="str">
        <f t="shared" si="1"/>
        <v/>
      </c>
      <c r="C11" s="585" t="str">
        <f t="shared" si="2"/>
        <v/>
      </c>
      <c r="D11" s="586" t="str">
        <f t="shared" si="3"/>
        <v/>
      </c>
      <c r="E11" s="587" t="str">
        <f t="shared" si="4"/>
        <v/>
      </c>
      <c r="F11" s="588" t="str">
        <f t="shared" si="5"/>
        <v/>
      </c>
      <c r="G11" s="588" t="str">
        <f t="shared" si="6"/>
        <v/>
      </c>
      <c r="H11" s="588" t="str">
        <f t="shared" si="7"/>
        <v/>
      </c>
      <c r="I11" s="589" t="str">
        <f t="shared" si="0"/>
        <v/>
      </c>
    </row>
    <row r="12" spans="1:9" ht="15.75" hidden="1">
      <c r="A12" s="24" t="str">
        <f>IF(A11&lt;MAX(XL!$B$5:$B$156),A11+1,"")</f>
        <v/>
      </c>
      <c r="B12" s="585" t="str">
        <f t="shared" si="1"/>
        <v/>
      </c>
      <c r="C12" s="585" t="str">
        <f t="shared" si="2"/>
        <v/>
      </c>
      <c r="D12" s="586" t="str">
        <f t="shared" si="3"/>
        <v/>
      </c>
      <c r="E12" s="587" t="str">
        <f t="shared" si="4"/>
        <v/>
      </c>
      <c r="F12" s="588" t="str">
        <f t="shared" si="5"/>
        <v/>
      </c>
      <c r="G12" s="588" t="str">
        <f t="shared" si="6"/>
        <v/>
      </c>
      <c r="H12" s="588" t="str">
        <f t="shared" si="7"/>
        <v/>
      </c>
      <c r="I12" s="589" t="str">
        <f t="shared" si="0"/>
        <v/>
      </c>
    </row>
    <row r="13" spans="1:9" ht="15.75" hidden="1">
      <c r="A13" s="24" t="str">
        <f>IF(A12&lt;MAX(XL!$B$5:$B$156),A12+1,"")</f>
        <v/>
      </c>
      <c r="B13" s="585" t="str">
        <f t="shared" si="1"/>
        <v/>
      </c>
      <c r="C13" s="585" t="str">
        <f t="shared" si="2"/>
        <v/>
      </c>
      <c r="D13" s="586" t="str">
        <f t="shared" si="3"/>
        <v/>
      </c>
      <c r="E13" s="587" t="str">
        <f t="shared" si="4"/>
        <v/>
      </c>
      <c r="F13" s="588" t="str">
        <f t="shared" si="5"/>
        <v/>
      </c>
      <c r="G13" s="588" t="str">
        <f t="shared" si="6"/>
        <v/>
      </c>
      <c r="H13" s="588" t="str">
        <f t="shared" si="7"/>
        <v/>
      </c>
      <c r="I13" s="589" t="str">
        <f t="shared" si="0"/>
        <v/>
      </c>
    </row>
    <row r="14" spans="1:9" ht="15.75" hidden="1">
      <c r="A14" s="24" t="str">
        <f>IF(A13&lt;MAX(XL!$B$5:$B$156),A13+1,"")</f>
        <v/>
      </c>
      <c r="B14" s="585" t="str">
        <f t="shared" si="1"/>
        <v/>
      </c>
      <c r="C14" s="585" t="str">
        <f t="shared" si="2"/>
        <v/>
      </c>
      <c r="D14" s="586" t="str">
        <f t="shared" si="3"/>
        <v/>
      </c>
      <c r="E14" s="587" t="str">
        <f t="shared" si="4"/>
        <v/>
      </c>
      <c r="F14" s="588" t="str">
        <f t="shared" si="5"/>
        <v/>
      </c>
      <c r="G14" s="588" t="str">
        <f t="shared" si="6"/>
        <v/>
      </c>
      <c r="H14" s="588" t="str">
        <f t="shared" si="7"/>
        <v/>
      </c>
      <c r="I14" s="589" t="str">
        <f t="shared" si="0"/>
        <v/>
      </c>
    </row>
    <row r="15" spans="1:9" ht="15.75" hidden="1">
      <c r="A15" s="24" t="str">
        <f>IF(A14&lt;MAX(XL!$B$5:$B$156),A14+1,"")</f>
        <v/>
      </c>
      <c r="B15" s="585" t="str">
        <f t="shared" si="1"/>
        <v/>
      </c>
      <c r="C15" s="585" t="str">
        <f t="shared" si="2"/>
        <v/>
      </c>
      <c r="D15" s="586" t="str">
        <f t="shared" si="3"/>
        <v/>
      </c>
      <c r="E15" s="587" t="str">
        <f t="shared" si="4"/>
        <v/>
      </c>
      <c r="F15" s="588" t="str">
        <f t="shared" si="5"/>
        <v/>
      </c>
      <c r="G15" s="588" t="str">
        <f t="shared" si="6"/>
        <v/>
      </c>
      <c r="H15" s="588" t="str">
        <f t="shared" si="7"/>
        <v/>
      </c>
      <c r="I15" s="589" t="str">
        <f t="shared" si="0"/>
        <v/>
      </c>
    </row>
    <row r="16" spans="1:9" ht="15.75" hidden="1">
      <c r="A16" s="24" t="str">
        <f>IF(A15&lt;MAX(XL!$B$5:$B$156),A15+1,"")</f>
        <v/>
      </c>
      <c r="B16" s="585" t="str">
        <f t="shared" si="1"/>
        <v/>
      </c>
      <c r="C16" s="585" t="str">
        <f t="shared" si="2"/>
        <v/>
      </c>
      <c r="D16" s="586" t="str">
        <f t="shared" si="3"/>
        <v/>
      </c>
      <c r="E16" s="587" t="str">
        <f t="shared" si="4"/>
        <v/>
      </c>
      <c r="F16" s="588" t="str">
        <f t="shared" si="5"/>
        <v/>
      </c>
      <c r="G16" s="588" t="str">
        <f t="shared" si="6"/>
        <v/>
      </c>
      <c r="H16" s="588" t="str">
        <f t="shared" si="7"/>
        <v/>
      </c>
      <c r="I16" s="589" t="str">
        <f t="shared" si="0"/>
        <v/>
      </c>
    </row>
    <row r="17" spans="1:9" ht="15.75" hidden="1">
      <c r="A17" s="24" t="str">
        <f>IF(A16&lt;MAX(XL!$B$5:$B$156),A16+1,"")</f>
        <v/>
      </c>
      <c r="B17" s="585" t="str">
        <f t="shared" si="1"/>
        <v/>
      </c>
      <c r="C17" s="585" t="str">
        <f t="shared" si="2"/>
        <v/>
      </c>
      <c r="D17" s="586" t="str">
        <f t="shared" si="3"/>
        <v/>
      </c>
      <c r="E17" s="587" t="str">
        <f t="shared" si="4"/>
        <v/>
      </c>
      <c r="F17" s="588" t="str">
        <f t="shared" si="5"/>
        <v/>
      </c>
      <c r="G17" s="588" t="str">
        <f t="shared" si="6"/>
        <v/>
      </c>
      <c r="H17" s="588" t="str">
        <f t="shared" si="7"/>
        <v/>
      </c>
      <c r="I17" s="589" t="str">
        <f t="shared" si="0"/>
        <v/>
      </c>
    </row>
    <row r="18" spans="1:9" ht="15.75" hidden="1">
      <c r="A18" s="24" t="str">
        <f>IF(A17&lt;MAX(XL!$B$5:$B$156),A17+1,"")</f>
        <v/>
      </c>
      <c r="B18" s="585" t="str">
        <f t="shared" si="1"/>
        <v/>
      </c>
      <c r="C18" s="585" t="str">
        <f t="shared" si="2"/>
        <v/>
      </c>
      <c r="D18" s="586" t="str">
        <f t="shared" si="3"/>
        <v/>
      </c>
      <c r="E18" s="587" t="str">
        <f t="shared" si="4"/>
        <v/>
      </c>
      <c r="F18" s="588" t="str">
        <f t="shared" si="5"/>
        <v/>
      </c>
      <c r="G18" s="588" t="str">
        <f t="shared" si="6"/>
        <v/>
      </c>
      <c r="H18" s="588" t="str">
        <f t="shared" si="7"/>
        <v/>
      </c>
      <c r="I18" s="589" t="str">
        <f t="shared" si="0"/>
        <v/>
      </c>
    </row>
    <row r="19" spans="1:9" ht="15.75" hidden="1">
      <c r="A19" s="24" t="str">
        <f>IF(A18&lt;MAX(XL!$B$5:$B$156),A18+1,"")</f>
        <v/>
      </c>
      <c r="B19" s="585" t="str">
        <f t="shared" si="1"/>
        <v/>
      </c>
      <c r="C19" s="585" t="str">
        <f t="shared" si="2"/>
        <v/>
      </c>
      <c r="D19" s="586" t="str">
        <f t="shared" si="3"/>
        <v/>
      </c>
      <c r="E19" s="587" t="str">
        <f t="shared" si="4"/>
        <v/>
      </c>
      <c r="F19" s="588" t="str">
        <f t="shared" si="5"/>
        <v/>
      </c>
      <c r="G19" s="588" t="str">
        <f t="shared" si="6"/>
        <v/>
      </c>
      <c r="H19" s="588" t="str">
        <f t="shared" si="7"/>
        <v/>
      </c>
      <c r="I19" s="589" t="str">
        <f t="shared" si="0"/>
        <v/>
      </c>
    </row>
    <row r="20" spans="1:9" ht="15.75" hidden="1">
      <c r="A20" s="24" t="str">
        <f>IF(A19&lt;MAX(XL!$B$5:$B$156),A19+1,"")</f>
        <v/>
      </c>
      <c r="B20" s="585" t="str">
        <f t="shared" si="1"/>
        <v/>
      </c>
      <c r="C20" s="585" t="str">
        <f t="shared" si="2"/>
        <v/>
      </c>
      <c r="D20" s="586" t="str">
        <f t="shared" si="3"/>
        <v/>
      </c>
      <c r="E20" s="587" t="str">
        <f t="shared" si="4"/>
        <v/>
      </c>
      <c r="F20" s="588" t="str">
        <f t="shared" si="5"/>
        <v/>
      </c>
      <c r="G20" s="588" t="str">
        <f t="shared" si="6"/>
        <v/>
      </c>
      <c r="H20" s="588" t="str">
        <f t="shared" si="7"/>
        <v/>
      </c>
      <c r="I20" s="589" t="str">
        <f t="shared" si="0"/>
        <v/>
      </c>
    </row>
    <row r="21" spans="1:9" ht="15.75" hidden="1">
      <c r="A21" s="24" t="str">
        <f>IF(A20&lt;MAX(XL!$B$5:$B$156),A20+1,"")</f>
        <v/>
      </c>
      <c r="B21" s="585" t="str">
        <f t="shared" si="1"/>
        <v/>
      </c>
      <c r="C21" s="585" t="str">
        <f t="shared" si="2"/>
        <v/>
      </c>
      <c r="D21" s="586" t="str">
        <f t="shared" si="3"/>
        <v/>
      </c>
      <c r="E21" s="587" t="str">
        <f t="shared" si="4"/>
        <v/>
      </c>
      <c r="F21" s="588" t="str">
        <f t="shared" si="5"/>
        <v/>
      </c>
      <c r="G21" s="588" t="str">
        <f t="shared" si="6"/>
        <v/>
      </c>
      <c r="H21" s="588" t="str">
        <f t="shared" si="7"/>
        <v/>
      </c>
      <c r="I21" s="589" t="str">
        <f t="shared" si="0"/>
        <v/>
      </c>
    </row>
    <row r="22" spans="1:9" ht="15.75" hidden="1">
      <c r="A22" s="24" t="str">
        <f>IF(A21&lt;MAX(XL!$B$5:$B$156),A21+1,"")</f>
        <v/>
      </c>
      <c r="B22" s="585" t="str">
        <f t="shared" si="1"/>
        <v/>
      </c>
      <c r="C22" s="585" t="str">
        <f t="shared" si="2"/>
        <v/>
      </c>
      <c r="D22" s="586" t="str">
        <f t="shared" si="3"/>
        <v/>
      </c>
      <c r="E22" s="587" t="str">
        <f t="shared" si="4"/>
        <v/>
      </c>
      <c r="F22" s="588" t="str">
        <f t="shared" si="5"/>
        <v/>
      </c>
      <c r="G22" s="588" t="str">
        <f t="shared" si="6"/>
        <v/>
      </c>
      <c r="H22" s="588" t="str">
        <f t="shared" si="7"/>
        <v/>
      </c>
      <c r="I22" s="589" t="str">
        <f t="shared" si="0"/>
        <v/>
      </c>
    </row>
    <row r="23" spans="1:9" ht="15.75" hidden="1">
      <c r="A23" s="24" t="str">
        <f>IF(A22&lt;MAX(XL!$B$5:$B$156),A22+1,"")</f>
        <v/>
      </c>
      <c r="B23" s="585" t="str">
        <f t="shared" si="1"/>
        <v/>
      </c>
      <c r="C23" s="585" t="str">
        <f t="shared" si="2"/>
        <v/>
      </c>
      <c r="D23" s="586" t="str">
        <f t="shared" si="3"/>
        <v/>
      </c>
      <c r="E23" s="587" t="str">
        <f t="shared" si="4"/>
        <v/>
      </c>
      <c r="F23" s="588" t="str">
        <f t="shared" si="5"/>
        <v/>
      </c>
      <c r="G23" s="588" t="str">
        <f t="shared" si="6"/>
        <v/>
      </c>
      <c r="H23" s="588" t="str">
        <f t="shared" si="7"/>
        <v/>
      </c>
      <c r="I23" s="589" t="str">
        <f t="shared" si="0"/>
        <v/>
      </c>
    </row>
    <row r="24" spans="1:9" ht="15.75" hidden="1">
      <c r="A24" s="24" t="str">
        <f>IF(A23&lt;MAX(XL!$B$5:$B$156),A23+1,"")</f>
        <v/>
      </c>
      <c r="B24" s="585" t="str">
        <f t="shared" si="1"/>
        <v/>
      </c>
      <c r="C24" s="585" t="str">
        <f t="shared" si="2"/>
        <v/>
      </c>
      <c r="D24" s="586" t="str">
        <f t="shared" si="3"/>
        <v/>
      </c>
      <c r="E24" s="587" t="str">
        <f t="shared" si="4"/>
        <v/>
      </c>
      <c r="F24" s="588" t="str">
        <f t="shared" si="5"/>
        <v/>
      </c>
      <c r="G24" s="588" t="str">
        <f t="shared" si="6"/>
        <v/>
      </c>
      <c r="H24" s="588" t="str">
        <f t="shared" si="7"/>
        <v/>
      </c>
      <c r="I24" s="589" t="str">
        <f t="shared" si="0"/>
        <v/>
      </c>
    </row>
    <row r="25" spans="1:9" ht="15.75" hidden="1">
      <c r="A25" s="24" t="str">
        <f>IF(A24&lt;MAX(XL!$B$5:$B$156),A24+1,"")</f>
        <v/>
      </c>
      <c r="B25" s="585" t="str">
        <f t="shared" si="1"/>
        <v/>
      </c>
      <c r="C25" s="585" t="str">
        <f t="shared" si="2"/>
        <v/>
      </c>
      <c r="D25" s="586" t="str">
        <f t="shared" si="3"/>
        <v/>
      </c>
      <c r="E25" s="587" t="str">
        <f t="shared" si="4"/>
        <v/>
      </c>
      <c r="F25" s="588" t="str">
        <f t="shared" si="5"/>
        <v/>
      </c>
      <c r="G25" s="588" t="str">
        <f t="shared" si="6"/>
        <v/>
      </c>
      <c r="H25" s="588" t="str">
        <f t="shared" si="7"/>
        <v/>
      </c>
      <c r="I25" s="589" t="str">
        <f t="shared" si="0"/>
        <v/>
      </c>
    </row>
    <row r="26" spans="1:9" ht="15.75" hidden="1">
      <c r="A26" s="24" t="str">
        <f>IF(A25&lt;MAX(XL!$B$5:$B$156),A25+1,"")</f>
        <v/>
      </c>
      <c r="B26" s="585" t="str">
        <f t="shared" si="1"/>
        <v/>
      </c>
      <c r="C26" s="585" t="str">
        <f t="shared" si="2"/>
        <v/>
      </c>
      <c r="D26" s="586" t="str">
        <f t="shared" si="3"/>
        <v/>
      </c>
      <c r="E26" s="587" t="str">
        <f t="shared" si="4"/>
        <v/>
      </c>
      <c r="F26" s="588" t="str">
        <f t="shared" si="5"/>
        <v/>
      </c>
      <c r="G26" s="588" t="str">
        <f t="shared" si="6"/>
        <v/>
      </c>
      <c r="H26" s="588" t="str">
        <f t="shared" si="7"/>
        <v/>
      </c>
      <c r="I26" s="589" t="str">
        <f t="shared" si="0"/>
        <v/>
      </c>
    </row>
    <row r="27" spans="1:9" ht="15.75" hidden="1">
      <c r="A27" s="24" t="str">
        <f>IF(A26&lt;MAX(XL!$B$5:$B$156),A26+1,"")</f>
        <v/>
      </c>
      <c r="B27" s="585" t="str">
        <f t="shared" si="1"/>
        <v/>
      </c>
      <c r="C27" s="585" t="str">
        <f t="shared" si="2"/>
        <v/>
      </c>
      <c r="D27" s="586" t="str">
        <f t="shared" si="3"/>
        <v/>
      </c>
      <c r="E27" s="587" t="str">
        <f t="shared" si="4"/>
        <v/>
      </c>
      <c r="F27" s="588" t="str">
        <f t="shared" si="5"/>
        <v/>
      </c>
      <c r="G27" s="588" t="str">
        <f t="shared" si="6"/>
        <v/>
      </c>
      <c r="H27" s="588" t="str">
        <f t="shared" si="7"/>
        <v/>
      </c>
      <c r="I27" s="589" t="str">
        <f t="shared" si="0"/>
        <v/>
      </c>
    </row>
    <row r="28" spans="1:9" ht="15.75" hidden="1">
      <c r="A28" s="24" t="str">
        <f>IF(A27&lt;MAX(XL!$B$5:$B$156),A27+1,"")</f>
        <v/>
      </c>
      <c r="B28" s="585" t="str">
        <f t="shared" si="1"/>
        <v/>
      </c>
      <c r="C28" s="585" t="str">
        <f t="shared" si="2"/>
        <v/>
      </c>
      <c r="D28" s="586" t="str">
        <f t="shared" si="3"/>
        <v/>
      </c>
      <c r="E28" s="587" t="str">
        <f t="shared" si="4"/>
        <v/>
      </c>
      <c r="F28" s="588" t="str">
        <f t="shared" si="5"/>
        <v/>
      </c>
      <c r="G28" s="588" t="str">
        <f t="shared" si="6"/>
        <v/>
      </c>
      <c r="H28" s="588" t="str">
        <f t="shared" si="7"/>
        <v/>
      </c>
      <c r="I28" s="589" t="str">
        <f t="shared" si="0"/>
        <v/>
      </c>
    </row>
    <row r="29" spans="1:9" ht="15.75" hidden="1">
      <c r="A29" s="24" t="str">
        <f>IF(A28&lt;MAX(XL!$B$5:$B$156),A28+1,"")</f>
        <v/>
      </c>
      <c r="B29" s="585" t="str">
        <f t="shared" si="1"/>
        <v/>
      </c>
      <c r="C29" s="585" t="str">
        <f t="shared" si="2"/>
        <v/>
      </c>
      <c r="D29" s="586" t="str">
        <f t="shared" si="3"/>
        <v/>
      </c>
      <c r="E29" s="587" t="str">
        <f t="shared" si="4"/>
        <v/>
      </c>
      <c r="F29" s="588" t="str">
        <f t="shared" si="5"/>
        <v/>
      </c>
      <c r="G29" s="588" t="str">
        <f t="shared" si="6"/>
        <v/>
      </c>
      <c r="H29" s="588" t="str">
        <f t="shared" si="7"/>
        <v/>
      </c>
      <c r="I29" s="589" t="str">
        <f t="shared" si="0"/>
        <v/>
      </c>
    </row>
    <row r="30" spans="1:9" ht="15.75" hidden="1">
      <c r="A30" s="24" t="str">
        <f>IF(A29&lt;MAX(XL!$B$5:$B$156),A29+1,"")</f>
        <v/>
      </c>
      <c r="B30" s="585" t="str">
        <f t="shared" si="1"/>
        <v/>
      </c>
      <c r="C30" s="585" t="str">
        <f t="shared" si="2"/>
        <v/>
      </c>
      <c r="D30" s="586" t="str">
        <f t="shared" si="3"/>
        <v/>
      </c>
      <c r="E30" s="587" t="str">
        <f t="shared" si="4"/>
        <v/>
      </c>
      <c r="F30" s="588" t="str">
        <f t="shared" si="5"/>
        <v/>
      </c>
      <c r="G30" s="588" t="str">
        <f t="shared" si="6"/>
        <v/>
      </c>
      <c r="H30" s="588" t="str">
        <f t="shared" si="7"/>
        <v/>
      </c>
      <c r="I30" s="589" t="str">
        <f t="shared" si="0"/>
        <v/>
      </c>
    </row>
    <row r="31" spans="1:9" ht="15.75" hidden="1">
      <c r="A31" s="24" t="str">
        <f>IF(A30&lt;MAX(XL!$B$5:$B$156),A30+1,"")</f>
        <v/>
      </c>
      <c r="B31" s="585" t="str">
        <f t="shared" si="1"/>
        <v/>
      </c>
      <c r="C31" s="585" t="str">
        <f t="shared" si="2"/>
        <v/>
      </c>
      <c r="D31" s="586" t="str">
        <f t="shared" si="3"/>
        <v/>
      </c>
      <c r="E31" s="587" t="str">
        <f t="shared" si="4"/>
        <v/>
      </c>
      <c r="F31" s="588" t="str">
        <f t="shared" si="5"/>
        <v/>
      </c>
      <c r="G31" s="588" t="str">
        <f t="shared" si="6"/>
        <v/>
      </c>
      <c r="H31" s="588" t="str">
        <f t="shared" si="7"/>
        <v/>
      </c>
      <c r="I31" s="589" t="str">
        <f t="shared" si="0"/>
        <v/>
      </c>
    </row>
    <row r="32" spans="1:9" ht="15.75" hidden="1">
      <c r="A32" s="24" t="str">
        <f>IF(A31&lt;MAX(XL!$B$5:$B$156),A31+1,"")</f>
        <v/>
      </c>
      <c r="B32" s="585" t="str">
        <f t="shared" si="1"/>
        <v/>
      </c>
      <c r="C32" s="585" t="str">
        <f t="shared" si="2"/>
        <v/>
      </c>
      <c r="D32" s="586" t="str">
        <f t="shared" si="3"/>
        <v/>
      </c>
      <c r="E32" s="587" t="str">
        <f t="shared" si="4"/>
        <v/>
      </c>
      <c r="F32" s="588" t="str">
        <f t="shared" si="5"/>
        <v/>
      </c>
      <c r="G32" s="588" t="str">
        <f t="shared" si="6"/>
        <v/>
      </c>
      <c r="H32" s="588" t="str">
        <f t="shared" si="7"/>
        <v/>
      </c>
      <c r="I32" s="589" t="str">
        <f t="shared" si="0"/>
        <v/>
      </c>
    </row>
    <row r="33" spans="1:9" ht="15.75" hidden="1">
      <c r="A33" s="24" t="str">
        <f>IF(A32&lt;MAX(XL!$B$5:$B$156),A32+1,"")</f>
        <v/>
      </c>
      <c r="B33" s="585" t="str">
        <f t="shared" si="1"/>
        <v/>
      </c>
      <c r="C33" s="585" t="str">
        <f t="shared" si="2"/>
        <v/>
      </c>
      <c r="D33" s="586" t="str">
        <f t="shared" si="3"/>
        <v/>
      </c>
      <c r="E33" s="587" t="str">
        <f t="shared" si="4"/>
        <v/>
      </c>
      <c r="F33" s="588" t="str">
        <f t="shared" si="5"/>
        <v/>
      </c>
      <c r="G33" s="588" t="str">
        <f t="shared" si="6"/>
        <v/>
      </c>
      <c r="H33" s="588" t="str">
        <f t="shared" si="7"/>
        <v/>
      </c>
      <c r="I33" s="589" t="str">
        <f t="shared" si="0"/>
        <v/>
      </c>
    </row>
    <row r="34" spans="1:9" ht="15.75" hidden="1">
      <c r="A34" s="24" t="str">
        <f>IF(A33&lt;MAX(XL!$B$5:$B$156),A33+1,"")</f>
        <v/>
      </c>
      <c r="B34" s="585" t="str">
        <f t="shared" si="1"/>
        <v/>
      </c>
      <c r="C34" s="585" t="str">
        <f t="shared" si="2"/>
        <v/>
      </c>
      <c r="D34" s="586" t="str">
        <f t="shared" si="3"/>
        <v/>
      </c>
      <c r="E34" s="587" t="str">
        <f t="shared" si="4"/>
        <v/>
      </c>
      <c r="F34" s="588" t="str">
        <f t="shared" si="5"/>
        <v/>
      </c>
      <c r="G34" s="588" t="str">
        <f t="shared" si="6"/>
        <v/>
      </c>
      <c r="H34" s="588" t="str">
        <f t="shared" si="7"/>
        <v/>
      </c>
      <c r="I34" s="589" t="str">
        <f t="shared" si="0"/>
        <v/>
      </c>
    </row>
    <row r="35" spans="1:9" ht="15.75" hidden="1">
      <c r="A35" s="24" t="str">
        <f>IF(A34&lt;MAX(XL!$B$5:$B$156),A34+1,"")</f>
        <v/>
      </c>
      <c r="B35" s="585" t="str">
        <f t="shared" si="1"/>
        <v/>
      </c>
      <c r="C35" s="585" t="str">
        <f t="shared" si="2"/>
        <v/>
      </c>
      <c r="D35" s="586" t="str">
        <f t="shared" si="3"/>
        <v/>
      </c>
      <c r="E35" s="587" t="str">
        <f t="shared" si="4"/>
        <v/>
      </c>
      <c r="F35" s="588" t="str">
        <f t="shared" si="5"/>
        <v/>
      </c>
      <c r="G35" s="588" t="str">
        <f t="shared" si="6"/>
        <v/>
      </c>
      <c r="H35" s="588" t="str">
        <f t="shared" si="7"/>
        <v/>
      </c>
      <c r="I35" s="589" t="str">
        <f t="shared" si="0"/>
        <v/>
      </c>
    </row>
    <row r="36" spans="1:9" ht="15.75" hidden="1">
      <c r="A36" s="24" t="str">
        <f>IF(A35&lt;MAX(XL!$B$5:$B$156),A35+1,"")</f>
        <v/>
      </c>
      <c r="B36" s="585" t="str">
        <f t="shared" si="1"/>
        <v/>
      </c>
      <c r="C36" s="585" t="str">
        <f t="shared" si="2"/>
        <v/>
      </c>
      <c r="D36" s="586" t="str">
        <f t="shared" si="3"/>
        <v/>
      </c>
      <c r="E36" s="587" t="str">
        <f t="shared" si="4"/>
        <v/>
      </c>
      <c r="F36" s="588" t="str">
        <f t="shared" si="5"/>
        <v/>
      </c>
      <c r="G36" s="588" t="str">
        <f t="shared" si="6"/>
        <v/>
      </c>
      <c r="H36" s="588" t="str">
        <f t="shared" si="7"/>
        <v/>
      </c>
      <c r="I36" s="589" t="str">
        <f t="shared" si="0"/>
        <v/>
      </c>
    </row>
    <row r="37" spans="1:9" ht="15.75" hidden="1">
      <c r="A37" s="24" t="str">
        <f>IF(A36&lt;MAX(XL!$B$5:$B$156),A36+1,"")</f>
        <v/>
      </c>
      <c r="B37" s="585" t="str">
        <f t="shared" si="1"/>
        <v/>
      </c>
      <c r="C37" s="585" t="str">
        <f t="shared" si="2"/>
        <v/>
      </c>
      <c r="D37" s="586" t="str">
        <f t="shared" si="3"/>
        <v/>
      </c>
      <c r="E37" s="587" t="str">
        <f t="shared" si="4"/>
        <v/>
      </c>
      <c r="F37" s="588" t="str">
        <f t="shared" si="5"/>
        <v/>
      </c>
      <c r="G37" s="588" t="str">
        <f t="shared" si="6"/>
        <v/>
      </c>
      <c r="H37" s="588" t="str">
        <f t="shared" si="7"/>
        <v/>
      </c>
      <c r="I37" s="589" t="str">
        <f t="shared" si="0"/>
        <v/>
      </c>
    </row>
    <row r="38" spans="1:9" ht="15.75" hidden="1">
      <c r="A38" s="24" t="str">
        <f>IF(A37&lt;MAX(XL!$B$5:$B$156),A37+1,"")</f>
        <v/>
      </c>
      <c r="B38" s="585" t="str">
        <f t="shared" si="1"/>
        <v/>
      </c>
      <c r="C38" s="585" t="str">
        <f t="shared" si="2"/>
        <v/>
      </c>
      <c r="D38" s="586" t="str">
        <f t="shared" si="3"/>
        <v/>
      </c>
      <c r="E38" s="587" t="str">
        <f t="shared" si="4"/>
        <v/>
      </c>
      <c r="F38" s="588" t="str">
        <f t="shared" si="5"/>
        <v/>
      </c>
      <c r="G38" s="588" t="str">
        <f t="shared" si="6"/>
        <v/>
      </c>
      <c r="H38" s="588" t="str">
        <f t="shared" si="7"/>
        <v/>
      </c>
      <c r="I38" s="589" t="str">
        <f t="shared" si="0"/>
        <v/>
      </c>
    </row>
    <row r="39" spans="1:9" ht="15.75" hidden="1">
      <c r="A39" s="24" t="str">
        <f>IF(A38&lt;MAX(XL!$B$5:$B$156),A38+1,"")</f>
        <v/>
      </c>
      <c r="B39" s="585" t="str">
        <f t="shared" si="1"/>
        <v/>
      </c>
      <c r="C39" s="585" t="str">
        <f t="shared" si="2"/>
        <v/>
      </c>
      <c r="D39" s="586" t="str">
        <f t="shared" si="3"/>
        <v/>
      </c>
      <c r="E39" s="587" t="str">
        <f t="shared" si="4"/>
        <v/>
      </c>
      <c r="F39" s="588" t="str">
        <f t="shared" si="5"/>
        <v/>
      </c>
      <c r="G39" s="588" t="str">
        <f t="shared" si="6"/>
        <v/>
      </c>
      <c r="H39" s="588" t="str">
        <f t="shared" si="7"/>
        <v/>
      </c>
      <c r="I39" s="589" t="str">
        <f t="shared" si="0"/>
        <v/>
      </c>
    </row>
    <row r="40" spans="1:9" ht="15.75" hidden="1">
      <c r="A40" s="24" t="str">
        <f>IF(A39&lt;MAX(XL!$B$5:$B$156),A39+1,"")</f>
        <v/>
      </c>
      <c r="B40" s="585" t="str">
        <f t="shared" si="1"/>
        <v/>
      </c>
      <c r="C40" s="585" t="str">
        <f t="shared" si="2"/>
        <v/>
      </c>
      <c r="D40" s="586" t="str">
        <f t="shared" si="3"/>
        <v/>
      </c>
      <c r="E40" s="587" t="str">
        <f t="shared" si="4"/>
        <v/>
      </c>
      <c r="F40" s="588" t="str">
        <f t="shared" si="5"/>
        <v/>
      </c>
      <c r="G40" s="588" t="str">
        <f t="shared" si="6"/>
        <v/>
      </c>
      <c r="H40" s="588" t="str">
        <f t="shared" si="7"/>
        <v/>
      </c>
      <c r="I40" s="589" t="str">
        <f t="shared" ref="I40:I60" si="8">IF($A40&lt;&gt;"",VLOOKUP(A40,ThuChi,10,0),"")</f>
        <v/>
      </c>
    </row>
    <row r="41" spans="1:9" ht="15.75" hidden="1">
      <c r="A41" s="24" t="str">
        <f>IF(A40&lt;MAX(XL!$B$5:$B$156),A40+1,"")</f>
        <v/>
      </c>
      <c r="B41" s="585" t="str">
        <f t="shared" si="1"/>
        <v/>
      </c>
      <c r="C41" s="585" t="str">
        <f t="shared" si="2"/>
        <v/>
      </c>
      <c r="D41" s="586" t="str">
        <f t="shared" si="3"/>
        <v/>
      </c>
      <c r="E41" s="587" t="str">
        <f t="shared" si="4"/>
        <v/>
      </c>
      <c r="F41" s="588" t="str">
        <f t="shared" si="5"/>
        <v/>
      </c>
      <c r="G41" s="588" t="str">
        <f t="shared" si="6"/>
        <v/>
      </c>
      <c r="H41" s="588" t="str">
        <f t="shared" si="7"/>
        <v/>
      </c>
      <c r="I41" s="589" t="str">
        <f t="shared" si="8"/>
        <v/>
      </c>
    </row>
    <row r="42" spans="1:9" ht="15.75" hidden="1">
      <c r="A42" s="24" t="str">
        <f>IF(A41&lt;MAX(XL!$B$5:$B$156),A41+1,"")</f>
        <v/>
      </c>
      <c r="B42" s="585" t="str">
        <f t="shared" si="1"/>
        <v/>
      </c>
      <c r="C42" s="585" t="str">
        <f t="shared" si="2"/>
        <v/>
      </c>
      <c r="D42" s="586" t="str">
        <f t="shared" si="3"/>
        <v/>
      </c>
      <c r="E42" s="587" t="str">
        <f t="shared" si="4"/>
        <v/>
      </c>
      <c r="F42" s="588" t="str">
        <f t="shared" si="5"/>
        <v/>
      </c>
      <c r="G42" s="588" t="str">
        <f t="shared" si="6"/>
        <v/>
      </c>
      <c r="H42" s="588" t="str">
        <f t="shared" si="7"/>
        <v/>
      </c>
      <c r="I42" s="589" t="str">
        <f t="shared" si="8"/>
        <v/>
      </c>
    </row>
    <row r="43" spans="1:9" ht="15.75" hidden="1">
      <c r="A43" s="24" t="str">
        <f>IF(A42&lt;MAX(XL!$B$5:$B$156),A42+1,"")</f>
        <v/>
      </c>
      <c r="B43" s="585" t="str">
        <f t="shared" si="1"/>
        <v/>
      </c>
      <c r="C43" s="585" t="str">
        <f t="shared" si="2"/>
        <v/>
      </c>
      <c r="D43" s="586" t="str">
        <f t="shared" si="3"/>
        <v/>
      </c>
      <c r="E43" s="587" t="str">
        <f t="shared" si="4"/>
        <v/>
      </c>
      <c r="F43" s="588" t="str">
        <f t="shared" si="5"/>
        <v/>
      </c>
      <c r="G43" s="588" t="str">
        <f t="shared" si="6"/>
        <v/>
      </c>
      <c r="H43" s="588" t="str">
        <f t="shared" si="7"/>
        <v/>
      </c>
      <c r="I43" s="589" t="str">
        <f t="shared" si="8"/>
        <v/>
      </c>
    </row>
    <row r="44" spans="1:9" ht="15.75" hidden="1">
      <c r="A44" s="24" t="str">
        <f>IF(A43&lt;MAX(XL!$B$5:$B$156),A43+1,"")</f>
        <v/>
      </c>
      <c r="B44" s="585" t="str">
        <f t="shared" si="1"/>
        <v/>
      </c>
      <c r="C44" s="585" t="str">
        <f t="shared" si="2"/>
        <v/>
      </c>
      <c r="D44" s="586" t="str">
        <f t="shared" si="3"/>
        <v/>
      </c>
      <c r="E44" s="587" t="str">
        <f t="shared" si="4"/>
        <v/>
      </c>
      <c r="F44" s="588" t="str">
        <f t="shared" si="5"/>
        <v/>
      </c>
      <c r="G44" s="588" t="str">
        <f t="shared" si="6"/>
        <v/>
      </c>
      <c r="H44" s="588" t="str">
        <f t="shared" si="7"/>
        <v/>
      </c>
      <c r="I44" s="589" t="str">
        <f t="shared" si="8"/>
        <v/>
      </c>
    </row>
    <row r="45" spans="1:9" ht="15.75" hidden="1">
      <c r="A45" s="24" t="str">
        <f>IF(A44&lt;MAX(XL!$B$5:$B$156),A44+1,"")</f>
        <v/>
      </c>
      <c r="B45" s="585" t="str">
        <f t="shared" si="1"/>
        <v/>
      </c>
      <c r="C45" s="585" t="str">
        <f t="shared" si="2"/>
        <v/>
      </c>
      <c r="D45" s="586" t="str">
        <f t="shared" si="3"/>
        <v/>
      </c>
      <c r="E45" s="587" t="str">
        <f t="shared" si="4"/>
        <v/>
      </c>
      <c r="F45" s="588" t="str">
        <f t="shared" si="5"/>
        <v/>
      </c>
      <c r="G45" s="588" t="str">
        <f t="shared" si="6"/>
        <v/>
      </c>
      <c r="H45" s="588" t="str">
        <f t="shared" si="7"/>
        <v/>
      </c>
      <c r="I45" s="589" t="str">
        <f t="shared" si="8"/>
        <v/>
      </c>
    </row>
    <row r="46" spans="1:9" ht="15.75" hidden="1">
      <c r="A46" s="24" t="str">
        <f>IF(A45&lt;MAX(XL!$B$5:$B$156),A45+1,"")</f>
        <v/>
      </c>
      <c r="B46" s="585" t="str">
        <f t="shared" si="1"/>
        <v/>
      </c>
      <c r="C46" s="585" t="str">
        <f t="shared" si="2"/>
        <v/>
      </c>
      <c r="D46" s="586" t="str">
        <f t="shared" si="3"/>
        <v/>
      </c>
      <c r="E46" s="587" t="str">
        <f t="shared" si="4"/>
        <v/>
      </c>
      <c r="F46" s="588" t="str">
        <f t="shared" si="5"/>
        <v/>
      </c>
      <c r="G46" s="588" t="str">
        <f t="shared" si="6"/>
        <v/>
      </c>
      <c r="H46" s="588" t="str">
        <f t="shared" si="7"/>
        <v/>
      </c>
      <c r="I46" s="589" t="str">
        <f t="shared" si="8"/>
        <v/>
      </c>
    </row>
    <row r="47" spans="1:9" ht="15.75" hidden="1">
      <c r="A47" s="24" t="str">
        <f>IF(A46&lt;MAX(XL!$B$5:$B$156),A46+1,"")</f>
        <v/>
      </c>
      <c r="B47" s="585" t="str">
        <f t="shared" si="1"/>
        <v/>
      </c>
      <c r="C47" s="585" t="str">
        <f t="shared" si="2"/>
        <v/>
      </c>
      <c r="D47" s="586" t="str">
        <f t="shared" si="3"/>
        <v/>
      </c>
      <c r="E47" s="587" t="str">
        <f t="shared" si="4"/>
        <v/>
      </c>
      <c r="F47" s="588" t="str">
        <f t="shared" si="5"/>
        <v/>
      </c>
      <c r="G47" s="588" t="str">
        <f t="shared" si="6"/>
        <v/>
      </c>
      <c r="H47" s="588" t="str">
        <f t="shared" si="7"/>
        <v/>
      </c>
      <c r="I47" s="589" t="str">
        <f t="shared" si="8"/>
        <v/>
      </c>
    </row>
    <row r="48" spans="1:9" ht="15.75" hidden="1">
      <c r="A48" s="24" t="str">
        <f>IF(A47&lt;MAX(XL!$B$5:$B$156),A47+1,"")</f>
        <v/>
      </c>
      <c r="B48" s="585" t="str">
        <f t="shared" si="1"/>
        <v/>
      </c>
      <c r="C48" s="585" t="str">
        <f t="shared" si="2"/>
        <v/>
      </c>
      <c r="D48" s="586" t="str">
        <f t="shared" si="3"/>
        <v/>
      </c>
      <c r="E48" s="587" t="str">
        <f t="shared" si="4"/>
        <v/>
      </c>
      <c r="F48" s="588" t="str">
        <f t="shared" si="5"/>
        <v/>
      </c>
      <c r="G48" s="588" t="str">
        <f t="shared" si="6"/>
        <v/>
      </c>
      <c r="H48" s="588" t="str">
        <f t="shared" si="7"/>
        <v/>
      </c>
      <c r="I48" s="589" t="str">
        <f t="shared" si="8"/>
        <v/>
      </c>
    </row>
    <row r="49" spans="1:9" ht="15.75" hidden="1">
      <c r="A49" s="24" t="str">
        <f>IF(A48&lt;MAX(XL!$B$5:$B$156),A48+1,"")</f>
        <v/>
      </c>
      <c r="B49" s="585" t="str">
        <f t="shared" si="1"/>
        <v/>
      </c>
      <c r="C49" s="585" t="str">
        <f t="shared" si="2"/>
        <v/>
      </c>
      <c r="D49" s="586" t="str">
        <f t="shared" si="3"/>
        <v/>
      </c>
      <c r="E49" s="587" t="str">
        <f t="shared" si="4"/>
        <v/>
      </c>
      <c r="F49" s="588" t="str">
        <f t="shared" si="5"/>
        <v/>
      </c>
      <c r="G49" s="588" t="str">
        <f t="shared" si="6"/>
        <v/>
      </c>
      <c r="H49" s="588" t="str">
        <f t="shared" si="7"/>
        <v/>
      </c>
      <c r="I49" s="589" t="str">
        <f t="shared" si="8"/>
        <v/>
      </c>
    </row>
    <row r="50" spans="1:9" ht="15.75" hidden="1">
      <c r="A50" s="24" t="str">
        <f>IF(A49&lt;MAX(XL!$B$5:$B$156),A49+1,"")</f>
        <v/>
      </c>
      <c r="B50" s="585" t="str">
        <f t="shared" si="1"/>
        <v/>
      </c>
      <c r="C50" s="585" t="str">
        <f t="shared" si="2"/>
        <v/>
      </c>
      <c r="D50" s="586" t="str">
        <f t="shared" si="3"/>
        <v/>
      </c>
      <c r="E50" s="587" t="str">
        <f t="shared" si="4"/>
        <v/>
      </c>
      <c r="F50" s="588" t="str">
        <f t="shared" si="5"/>
        <v/>
      </c>
      <c r="G50" s="588" t="str">
        <f t="shared" si="6"/>
        <v/>
      </c>
      <c r="H50" s="588" t="str">
        <f t="shared" si="7"/>
        <v/>
      </c>
      <c r="I50" s="589" t="str">
        <f t="shared" si="8"/>
        <v/>
      </c>
    </row>
    <row r="51" spans="1:9" ht="15.75" hidden="1">
      <c r="A51" s="24" t="str">
        <f>IF(A50&lt;MAX(XL!$B$5:$B$156),A50+1,"")</f>
        <v/>
      </c>
      <c r="B51" s="585" t="str">
        <f t="shared" si="1"/>
        <v/>
      </c>
      <c r="C51" s="585" t="str">
        <f t="shared" si="2"/>
        <v/>
      </c>
      <c r="D51" s="586" t="str">
        <f t="shared" si="3"/>
        <v/>
      </c>
      <c r="E51" s="587" t="str">
        <f t="shared" si="4"/>
        <v/>
      </c>
      <c r="F51" s="588" t="str">
        <f t="shared" si="5"/>
        <v/>
      </c>
      <c r="G51" s="588" t="str">
        <f t="shared" si="6"/>
        <v/>
      </c>
      <c r="H51" s="588" t="str">
        <f t="shared" si="7"/>
        <v/>
      </c>
      <c r="I51" s="589" t="str">
        <f t="shared" si="8"/>
        <v/>
      </c>
    </row>
    <row r="52" spans="1:9" ht="15.75" hidden="1">
      <c r="A52" s="24" t="str">
        <f>IF(A51&lt;MAX(XL!$B$5:$B$156),A51+1,"")</f>
        <v/>
      </c>
      <c r="B52" s="585" t="str">
        <f t="shared" si="1"/>
        <v/>
      </c>
      <c r="C52" s="585" t="str">
        <f t="shared" si="2"/>
        <v/>
      </c>
      <c r="D52" s="586" t="str">
        <f t="shared" si="3"/>
        <v/>
      </c>
      <c r="E52" s="587" t="str">
        <f t="shared" si="4"/>
        <v/>
      </c>
      <c r="F52" s="588" t="str">
        <f t="shared" si="5"/>
        <v/>
      </c>
      <c r="G52" s="588" t="str">
        <f t="shared" si="6"/>
        <v/>
      </c>
      <c r="H52" s="588" t="str">
        <f t="shared" si="7"/>
        <v/>
      </c>
      <c r="I52" s="589" t="str">
        <f t="shared" si="8"/>
        <v/>
      </c>
    </row>
    <row r="53" spans="1:9" ht="15.75" hidden="1">
      <c r="A53" s="24" t="str">
        <f>IF(A52&lt;MAX(XL!$B$5:$B$156),A52+1,"")</f>
        <v/>
      </c>
      <c r="B53" s="585" t="str">
        <f t="shared" si="1"/>
        <v/>
      </c>
      <c r="C53" s="585" t="str">
        <f t="shared" si="2"/>
        <v/>
      </c>
      <c r="D53" s="586" t="str">
        <f t="shared" si="3"/>
        <v/>
      </c>
      <c r="E53" s="587" t="str">
        <f t="shared" si="4"/>
        <v/>
      </c>
      <c r="F53" s="588" t="str">
        <f t="shared" si="5"/>
        <v/>
      </c>
      <c r="G53" s="588" t="str">
        <f t="shared" si="6"/>
        <v/>
      </c>
      <c r="H53" s="588" t="str">
        <f t="shared" si="7"/>
        <v/>
      </c>
      <c r="I53" s="589" t="str">
        <f t="shared" si="8"/>
        <v/>
      </c>
    </row>
    <row r="54" spans="1:9" ht="15.75" hidden="1">
      <c r="A54" s="24" t="str">
        <f>IF(A53&lt;MAX(XL!$B$5:$B$156),A53+1,"")</f>
        <v/>
      </c>
      <c r="B54" s="585" t="str">
        <f t="shared" si="1"/>
        <v/>
      </c>
      <c r="C54" s="585" t="str">
        <f t="shared" si="2"/>
        <v/>
      </c>
      <c r="D54" s="586" t="str">
        <f t="shared" si="3"/>
        <v/>
      </c>
      <c r="E54" s="587" t="str">
        <f t="shared" si="4"/>
        <v/>
      </c>
      <c r="F54" s="588" t="str">
        <f t="shared" si="5"/>
        <v/>
      </c>
      <c r="G54" s="588" t="str">
        <f t="shared" si="6"/>
        <v/>
      </c>
      <c r="H54" s="588" t="str">
        <f t="shared" si="7"/>
        <v/>
      </c>
      <c r="I54" s="589" t="str">
        <f t="shared" si="8"/>
        <v/>
      </c>
    </row>
    <row r="55" spans="1:9" ht="15.75" hidden="1">
      <c r="A55" s="24" t="str">
        <f>IF(A54&lt;MAX(XL!$B$5:$B$156),A54+1,"")</f>
        <v/>
      </c>
      <c r="B55" s="585" t="str">
        <f t="shared" si="1"/>
        <v/>
      </c>
      <c r="C55" s="585" t="str">
        <f t="shared" si="2"/>
        <v/>
      </c>
      <c r="D55" s="586" t="str">
        <f t="shared" si="3"/>
        <v/>
      </c>
      <c r="E55" s="587" t="str">
        <f t="shared" si="4"/>
        <v/>
      </c>
      <c r="F55" s="588" t="str">
        <f t="shared" si="5"/>
        <v/>
      </c>
      <c r="G55" s="588" t="str">
        <f t="shared" si="6"/>
        <v/>
      </c>
      <c r="H55" s="588" t="str">
        <f t="shared" si="7"/>
        <v/>
      </c>
      <c r="I55" s="589" t="str">
        <f t="shared" si="8"/>
        <v/>
      </c>
    </row>
    <row r="56" spans="1:9" ht="15.75" hidden="1">
      <c r="A56" s="24" t="str">
        <f>IF(A55&lt;MAX(XL!$B$5:$B$156),A55+1,"")</f>
        <v/>
      </c>
      <c r="B56" s="585" t="str">
        <f t="shared" si="1"/>
        <v/>
      </c>
      <c r="C56" s="585" t="str">
        <f t="shared" si="2"/>
        <v/>
      </c>
      <c r="D56" s="586" t="str">
        <f t="shared" si="3"/>
        <v/>
      </c>
      <c r="E56" s="587" t="str">
        <f t="shared" si="4"/>
        <v/>
      </c>
      <c r="F56" s="588" t="str">
        <f t="shared" si="5"/>
        <v/>
      </c>
      <c r="G56" s="588" t="str">
        <f t="shared" si="6"/>
        <v/>
      </c>
      <c r="H56" s="588" t="str">
        <f t="shared" si="7"/>
        <v/>
      </c>
      <c r="I56" s="589" t="str">
        <f t="shared" si="8"/>
        <v/>
      </c>
    </row>
    <row r="57" spans="1:9" ht="15.75" hidden="1">
      <c r="A57" s="24" t="str">
        <f>IF(A56&lt;MAX(XL!$B$5:$B$156),A56+1,"")</f>
        <v/>
      </c>
      <c r="B57" s="585" t="str">
        <f t="shared" si="1"/>
        <v/>
      </c>
      <c r="C57" s="585" t="str">
        <f t="shared" si="2"/>
        <v/>
      </c>
      <c r="D57" s="586" t="str">
        <f t="shared" si="3"/>
        <v/>
      </c>
      <c r="E57" s="587" t="str">
        <f t="shared" si="4"/>
        <v/>
      </c>
      <c r="F57" s="588" t="str">
        <f t="shared" si="5"/>
        <v/>
      </c>
      <c r="G57" s="588" t="str">
        <f t="shared" si="6"/>
        <v/>
      </c>
      <c r="H57" s="588" t="str">
        <f t="shared" si="7"/>
        <v/>
      </c>
      <c r="I57" s="589" t="str">
        <f t="shared" si="8"/>
        <v/>
      </c>
    </row>
    <row r="58" spans="1:9" ht="15.75" hidden="1">
      <c r="A58" s="24" t="str">
        <f>IF(A57&lt;MAX(XL!$B$5:$B$156),A57+1,"")</f>
        <v/>
      </c>
      <c r="B58" s="585" t="str">
        <f t="shared" si="1"/>
        <v/>
      </c>
      <c r="C58" s="585" t="str">
        <f t="shared" si="2"/>
        <v/>
      </c>
      <c r="D58" s="586" t="str">
        <f t="shared" si="3"/>
        <v/>
      </c>
      <c r="E58" s="587" t="str">
        <f t="shared" si="4"/>
        <v/>
      </c>
      <c r="F58" s="588" t="str">
        <f t="shared" si="5"/>
        <v/>
      </c>
      <c r="G58" s="588" t="str">
        <f t="shared" si="6"/>
        <v/>
      </c>
      <c r="H58" s="588" t="str">
        <f t="shared" si="7"/>
        <v/>
      </c>
      <c r="I58" s="589" t="str">
        <f t="shared" si="8"/>
        <v/>
      </c>
    </row>
    <row r="59" spans="1:9" ht="15.75" hidden="1">
      <c r="A59" s="24" t="str">
        <f>IF(A58&lt;MAX(XL!$B$5:$B$156),A58+1,"")</f>
        <v/>
      </c>
      <c r="B59" s="585" t="str">
        <f t="shared" si="1"/>
        <v/>
      </c>
      <c r="C59" s="585" t="str">
        <f t="shared" si="2"/>
        <v/>
      </c>
      <c r="D59" s="586" t="str">
        <f t="shared" si="3"/>
        <v/>
      </c>
      <c r="E59" s="587" t="str">
        <f t="shared" si="4"/>
        <v/>
      </c>
      <c r="F59" s="588" t="str">
        <f t="shared" si="5"/>
        <v/>
      </c>
      <c r="G59" s="588" t="str">
        <f t="shared" si="6"/>
        <v/>
      </c>
      <c r="H59" s="588" t="str">
        <f t="shared" si="7"/>
        <v/>
      </c>
      <c r="I59" s="589" t="str">
        <f t="shared" si="8"/>
        <v/>
      </c>
    </row>
    <row r="60" spans="1:9" ht="15.75" hidden="1">
      <c r="A60" s="24" t="str">
        <f>IF(A59&lt;MAX(XL!$B$5:$B$156),A59+1,"")</f>
        <v/>
      </c>
      <c r="B60" s="585" t="str">
        <f t="shared" si="1"/>
        <v/>
      </c>
      <c r="C60" s="585" t="str">
        <f t="shared" si="2"/>
        <v/>
      </c>
      <c r="D60" s="586" t="str">
        <f t="shared" si="3"/>
        <v/>
      </c>
      <c r="E60" s="587" t="str">
        <f t="shared" si="4"/>
        <v/>
      </c>
      <c r="F60" s="588" t="str">
        <f t="shared" si="5"/>
        <v/>
      </c>
      <c r="G60" s="588" t="str">
        <f t="shared" si="6"/>
        <v/>
      </c>
      <c r="H60" s="588" t="str">
        <f t="shared" si="7"/>
        <v/>
      </c>
      <c r="I60" s="589" t="str">
        <f t="shared" si="8"/>
        <v/>
      </c>
    </row>
    <row r="61" spans="1:9">
      <c r="A61" s="641"/>
      <c r="B61" s="641"/>
      <c r="C61" s="641"/>
      <c r="D61" s="641"/>
      <c r="E61" s="641"/>
      <c r="F61" s="641"/>
      <c r="G61" s="641"/>
      <c r="H61" s="641"/>
      <c r="I61" s="641"/>
    </row>
    <row r="62" spans="1:9" s="43" customFormat="1" ht="21.75" customHeight="1">
      <c r="A62" s="981" t="s">
        <v>582</v>
      </c>
      <c r="B62" s="981"/>
      <c r="C62" s="981"/>
      <c r="D62" s="981"/>
      <c r="E62" s="703" t="s">
        <v>79</v>
      </c>
      <c r="F62" s="981" t="s">
        <v>80</v>
      </c>
      <c r="G62" s="981"/>
      <c r="H62" s="981"/>
      <c r="I62" s="981"/>
    </row>
    <row r="63" spans="1:9" s="40" customFormat="1" ht="18.75"/>
    <row r="64" spans="1:9" s="40" customFormat="1" ht="18.75"/>
    <row r="65" spans="1:9" s="40" customFormat="1" ht="18.75"/>
    <row r="66" spans="1:9" s="43" customFormat="1" ht="21.75" customHeight="1">
      <c r="A66" s="981"/>
      <c r="B66" s="981"/>
      <c r="C66" s="981"/>
      <c r="D66" s="981"/>
      <c r="E66" s="703"/>
      <c r="F66" s="981"/>
      <c r="G66" s="981"/>
      <c r="H66" s="981"/>
      <c r="I66" s="981"/>
    </row>
  </sheetData>
  <sheetProtection formatCells="0" formatColumns="0" formatRows="0"/>
  <mergeCells count="16">
    <mergeCell ref="E1:G2"/>
    <mergeCell ref="B2:D2"/>
    <mergeCell ref="B3:D3"/>
    <mergeCell ref="E3:G3"/>
    <mergeCell ref="B4:G4"/>
    <mergeCell ref="H4:I4"/>
    <mergeCell ref="A62:D62"/>
    <mergeCell ref="A66:D66"/>
    <mergeCell ref="F62:I62"/>
    <mergeCell ref="F66:I66"/>
    <mergeCell ref="I5:I6"/>
    <mergeCell ref="A5:A6"/>
    <mergeCell ref="B5:D5"/>
    <mergeCell ref="E5:E6"/>
    <mergeCell ref="F5:G5"/>
    <mergeCell ref="H5:H6"/>
  </mergeCells>
  <pageMargins left="0.34" right="0.24" top="0.55000000000000004" bottom="0.44" header="0.3" footer="0.2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50177" r:id="rId4" name="HopChon1">
          <controlPr defaultSize="0" print="0" autoLine="0" autoPict="0" linkedCell="A2" listFillRange="DSNV" r:id="rId5">
            <anchor moveWithCells="1">
              <from>
                <xdr:col>0</xdr:col>
                <xdr:colOff>19050</xdr:colOff>
                <xdr:row>1</xdr:row>
                <xdr:rowOff>9525</xdr:rowOff>
              </from>
              <to>
                <xdr:col>4</xdr:col>
                <xdr:colOff>704850</xdr:colOff>
                <xdr:row>2</xdr:row>
                <xdr:rowOff>57150</xdr:rowOff>
              </to>
            </anchor>
          </controlPr>
        </control>
      </mc:Choice>
      <mc:Fallback>
        <control shapeId="50177" r:id="rId4" name="HopCh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ng_tính5">
    <tabColor rgb="FFFF0000"/>
  </sheetPr>
  <dimension ref="A1:K74"/>
  <sheetViews>
    <sheetView workbookViewId="0">
      <pane ySplit="4" topLeftCell="A11" activePane="bottomLeft" state="frozen"/>
      <selection pane="bottomLeft" activeCell="F17" sqref="F17"/>
    </sheetView>
  </sheetViews>
  <sheetFormatPr defaultRowHeight="12.75"/>
  <cols>
    <col min="1" max="2" width="9.140625" style="219"/>
    <col min="3" max="3" width="10.28515625" style="219" customWidth="1"/>
    <col min="4" max="4" width="9.140625" style="219"/>
    <col min="5" max="5" width="13.7109375" style="219" customWidth="1"/>
    <col min="6" max="6" width="43.85546875" style="219" customWidth="1"/>
    <col min="7" max="7" width="9.140625" style="219"/>
    <col min="8" max="11" width="19.5703125" style="219" customWidth="1"/>
    <col min="12" max="16384" width="9.140625" style="219"/>
  </cols>
  <sheetData>
    <row r="1" spans="1:11" ht="25.5">
      <c r="A1" s="1014">
        <v>5</v>
      </c>
      <c r="B1" s="1014"/>
      <c r="C1" s="1014"/>
      <c r="D1" s="570"/>
      <c r="E1" s="590"/>
      <c r="F1" s="1008" t="s">
        <v>557</v>
      </c>
      <c r="G1" s="1008"/>
      <c r="H1" s="1008"/>
      <c r="I1" s="1008"/>
      <c r="J1" s="591"/>
      <c r="K1" s="592"/>
    </row>
    <row r="2" spans="1:11" ht="15.75">
      <c r="A2" s="1015" t="s">
        <v>528</v>
      </c>
      <c r="B2" s="1015"/>
      <c r="C2" s="1015"/>
      <c r="D2" s="1015"/>
      <c r="E2" s="1015"/>
      <c r="F2" s="1008"/>
      <c r="G2" s="1008"/>
      <c r="H2" s="1008"/>
      <c r="I2" s="1008"/>
      <c r="J2" s="593"/>
      <c r="K2" s="592"/>
    </row>
    <row r="3" spans="1:11" ht="15.75">
      <c r="A3" s="1006" t="s">
        <v>0</v>
      </c>
      <c r="B3" s="577"/>
      <c r="C3" s="1006" t="s">
        <v>1</v>
      </c>
      <c r="D3" s="1006"/>
      <c r="E3" s="1006"/>
      <c r="F3" s="1006" t="s">
        <v>2</v>
      </c>
      <c r="G3" s="1006" t="s">
        <v>545</v>
      </c>
      <c r="H3" s="1013" t="s">
        <v>549</v>
      </c>
      <c r="I3" s="1013"/>
      <c r="J3" s="1013" t="s">
        <v>550</v>
      </c>
      <c r="K3" s="1006" t="s">
        <v>450</v>
      </c>
    </row>
    <row r="4" spans="1:11" ht="15.75">
      <c r="A4" s="1006"/>
      <c r="B4" s="577"/>
      <c r="C4" s="577" t="s">
        <v>551</v>
      </c>
      <c r="D4" s="577" t="s">
        <v>552</v>
      </c>
      <c r="E4" s="594" t="s">
        <v>553</v>
      </c>
      <c r="F4" s="1006"/>
      <c r="G4" s="1006"/>
      <c r="H4" s="595" t="s">
        <v>554</v>
      </c>
      <c r="I4" s="595" t="s">
        <v>555</v>
      </c>
      <c r="J4" s="1013"/>
      <c r="K4" s="1006"/>
    </row>
    <row r="5" spans="1:11" ht="15.75">
      <c r="A5" s="596">
        <v>1</v>
      </c>
      <c r="B5" s="596" t="str">
        <f>IF(E5="","",COUNTIF($E$5:$E$74,"&lt;="&amp;E5)-COUNTIF($E$4:E4,E5))</f>
        <v/>
      </c>
      <c r="C5" s="597" t="str">
        <f>IF(ISERROR(VLOOKUP(A5,DSThu,10,0)),"",VLOOKUP(A5,DSThu,10,0))</f>
        <v/>
      </c>
      <c r="D5" s="597"/>
      <c r="E5" s="598" t="str">
        <f t="shared" ref="E5:E39" si="0">IF(ISERROR(VLOOKUP(A5,DSThu,11,0)),"",VLOOKUP(A5,DSThu,11,0))</f>
        <v/>
      </c>
      <c r="F5" s="599" t="str">
        <f t="shared" ref="F5:F39" si="1">IF(ISERROR(VLOOKUP(A5,DSThu,14,0)),"",VLOOKUP(A5,DSThu,14,0))</f>
        <v/>
      </c>
      <c r="G5" s="600" t="str">
        <f t="shared" ref="G5:G39" si="2">IF(ISERROR(VLOOKUP(A5,DSThu,9,0)),"",VLOOKUP(A5,DSThu,9,0))</f>
        <v/>
      </c>
      <c r="H5" s="601" t="str">
        <f t="shared" ref="H5:H39" si="3">IF(ISERROR(VLOOKUP(A5,DSThu,36,0)),"",VLOOKUP(A5,DSThu,36,0))</f>
        <v/>
      </c>
      <c r="I5" s="601"/>
      <c r="J5" s="602"/>
      <c r="K5" s="603"/>
    </row>
    <row r="6" spans="1:11" ht="15.75">
      <c r="A6" s="596">
        <v>2</v>
      </c>
      <c r="B6" s="596" t="str">
        <f>IF(E6="","",COUNTIF($E$5:$E$74,"&lt;="&amp;E6)-COUNTIF($E$4:E5,E6))</f>
        <v/>
      </c>
      <c r="C6" s="597" t="str">
        <f t="shared" ref="C6:C39" si="4">IF(ISERROR(VLOOKUP(A6,DSThu,10,0)),"",VLOOKUP(A6,DSThu,10,0))</f>
        <v/>
      </c>
      <c r="D6" s="597"/>
      <c r="E6" s="598" t="str">
        <f t="shared" si="0"/>
        <v/>
      </c>
      <c r="F6" s="599" t="str">
        <f t="shared" si="1"/>
        <v/>
      </c>
      <c r="G6" s="600" t="str">
        <f t="shared" si="2"/>
        <v/>
      </c>
      <c r="H6" s="601" t="str">
        <f t="shared" si="3"/>
        <v/>
      </c>
      <c r="I6" s="601"/>
      <c r="J6" s="602"/>
      <c r="K6" s="603"/>
    </row>
    <row r="7" spans="1:11" ht="15.75">
      <c r="A7" s="596">
        <v>3</v>
      </c>
      <c r="B7" s="596" t="str">
        <f>IF(E7="","",COUNTIF($E$5:$E$74,"&lt;="&amp;E7)-COUNTIF($E$4:E6,E7))</f>
        <v/>
      </c>
      <c r="C7" s="597" t="str">
        <f t="shared" si="4"/>
        <v/>
      </c>
      <c r="D7" s="597"/>
      <c r="E7" s="598" t="str">
        <f t="shared" si="0"/>
        <v/>
      </c>
      <c r="F7" s="599" t="str">
        <f t="shared" si="1"/>
        <v/>
      </c>
      <c r="G7" s="600" t="str">
        <f t="shared" si="2"/>
        <v/>
      </c>
      <c r="H7" s="601" t="str">
        <f t="shared" si="3"/>
        <v/>
      </c>
      <c r="I7" s="601"/>
      <c r="J7" s="602"/>
      <c r="K7" s="603"/>
    </row>
    <row r="8" spans="1:11" ht="15.75">
      <c r="A8" s="596">
        <v>4</v>
      </c>
      <c r="B8" s="596" t="str">
        <f>IF(E8="","",COUNTIF($E$5:$E$74,"&lt;="&amp;E8)-COUNTIF($E$4:E7,E8))</f>
        <v/>
      </c>
      <c r="C8" s="597" t="str">
        <f t="shared" si="4"/>
        <v/>
      </c>
      <c r="D8" s="597"/>
      <c r="E8" s="598" t="str">
        <f t="shared" si="0"/>
        <v/>
      </c>
      <c r="F8" s="599" t="str">
        <f t="shared" si="1"/>
        <v/>
      </c>
      <c r="G8" s="600" t="str">
        <f t="shared" si="2"/>
        <v/>
      </c>
      <c r="H8" s="601" t="str">
        <f t="shared" si="3"/>
        <v/>
      </c>
      <c r="I8" s="601"/>
      <c r="J8" s="602"/>
      <c r="K8" s="603"/>
    </row>
    <row r="9" spans="1:11" ht="15.75">
      <c r="A9" s="596">
        <v>5</v>
      </c>
      <c r="B9" s="596" t="str">
        <f>IF(E9="","",COUNTIF($E$5:$E$74,"&lt;="&amp;E9)-COUNTIF($E$4:E8,E9))</f>
        <v/>
      </c>
      <c r="C9" s="597" t="str">
        <f t="shared" si="4"/>
        <v/>
      </c>
      <c r="D9" s="597"/>
      <c r="E9" s="598" t="str">
        <f t="shared" si="0"/>
        <v/>
      </c>
      <c r="F9" s="599" t="str">
        <f t="shared" si="1"/>
        <v/>
      </c>
      <c r="G9" s="600" t="str">
        <f t="shared" si="2"/>
        <v/>
      </c>
      <c r="H9" s="601" t="str">
        <f t="shared" si="3"/>
        <v/>
      </c>
      <c r="I9" s="601"/>
      <c r="J9" s="602"/>
      <c r="K9" s="603"/>
    </row>
    <row r="10" spans="1:11" ht="15.75">
      <c r="A10" s="596">
        <v>6</v>
      </c>
      <c r="B10" s="596" t="str">
        <f>IF(E10="","",COUNTIF($E$5:$E$74,"&lt;="&amp;E10)-COUNTIF($E$4:E9,E10))</f>
        <v/>
      </c>
      <c r="C10" s="597" t="str">
        <f t="shared" si="4"/>
        <v/>
      </c>
      <c r="D10" s="597"/>
      <c r="E10" s="598" t="str">
        <f t="shared" si="0"/>
        <v/>
      </c>
      <c r="F10" s="599" t="str">
        <f t="shared" si="1"/>
        <v/>
      </c>
      <c r="G10" s="600" t="str">
        <f t="shared" si="2"/>
        <v/>
      </c>
      <c r="H10" s="601" t="str">
        <f t="shared" si="3"/>
        <v/>
      </c>
      <c r="I10" s="601"/>
      <c r="J10" s="602"/>
      <c r="K10" s="603"/>
    </row>
    <row r="11" spans="1:11" ht="15.75">
      <c r="A11" s="596">
        <v>7</v>
      </c>
      <c r="B11" s="596" t="str">
        <f>IF(E11="","",COUNTIF($E$5:$E$74,"&lt;="&amp;E11)-COUNTIF($E$4:E10,E11))</f>
        <v/>
      </c>
      <c r="C11" s="597" t="str">
        <f t="shared" si="4"/>
        <v/>
      </c>
      <c r="D11" s="597"/>
      <c r="E11" s="598" t="str">
        <f t="shared" si="0"/>
        <v/>
      </c>
      <c r="F11" s="599" t="str">
        <f t="shared" si="1"/>
        <v/>
      </c>
      <c r="G11" s="600" t="str">
        <f t="shared" si="2"/>
        <v/>
      </c>
      <c r="H11" s="601" t="str">
        <f t="shared" si="3"/>
        <v/>
      </c>
      <c r="I11" s="601"/>
      <c r="J11" s="602"/>
      <c r="K11" s="603"/>
    </row>
    <row r="12" spans="1:11" ht="15.75">
      <c r="A12" s="596">
        <v>8</v>
      </c>
      <c r="B12" s="596" t="str">
        <f>IF(E12="","",COUNTIF($E$5:$E$74,"&lt;="&amp;E12)-COUNTIF($E$4:E11,E12))</f>
        <v/>
      </c>
      <c r="C12" s="597" t="str">
        <f t="shared" si="4"/>
        <v/>
      </c>
      <c r="D12" s="597"/>
      <c r="E12" s="598" t="str">
        <f t="shared" si="0"/>
        <v/>
      </c>
      <c r="F12" s="599" t="str">
        <f t="shared" si="1"/>
        <v/>
      </c>
      <c r="G12" s="600" t="str">
        <f t="shared" si="2"/>
        <v/>
      </c>
      <c r="H12" s="601" t="str">
        <f t="shared" si="3"/>
        <v/>
      </c>
      <c r="I12" s="601"/>
      <c r="J12" s="602"/>
      <c r="K12" s="603"/>
    </row>
    <row r="13" spans="1:11" ht="15.75">
      <c r="A13" s="596">
        <v>9</v>
      </c>
      <c r="B13" s="596" t="str">
        <f>IF(E13="","",COUNTIF($E$5:$E$74,"&lt;="&amp;E13)-COUNTIF($E$4:E12,E13))</f>
        <v/>
      </c>
      <c r="C13" s="597" t="str">
        <f t="shared" si="4"/>
        <v/>
      </c>
      <c r="D13" s="597"/>
      <c r="E13" s="598" t="str">
        <f t="shared" si="0"/>
        <v/>
      </c>
      <c r="F13" s="599" t="str">
        <f t="shared" si="1"/>
        <v/>
      </c>
      <c r="G13" s="600" t="str">
        <f t="shared" si="2"/>
        <v/>
      </c>
      <c r="H13" s="601" t="str">
        <f t="shared" si="3"/>
        <v/>
      </c>
      <c r="I13" s="601"/>
      <c r="J13" s="602"/>
      <c r="K13" s="603"/>
    </row>
    <row r="14" spans="1:11" ht="15.75">
      <c r="A14" s="596">
        <v>10</v>
      </c>
      <c r="B14" s="596" t="str">
        <f>IF(E14="","",COUNTIF($E$5:$E$74,"&lt;="&amp;E14)-COUNTIF($E$4:E13,E14))</f>
        <v/>
      </c>
      <c r="C14" s="597" t="str">
        <f t="shared" si="4"/>
        <v/>
      </c>
      <c r="D14" s="597"/>
      <c r="E14" s="598" t="str">
        <f t="shared" si="0"/>
        <v/>
      </c>
      <c r="F14" s="599" t="str">
        <f t="shared" si="1"/>
        <v/>
      </c>
      <c r="G14" s="600" t="str">
        <f t="shared" si="2"/>
        <v/>
      </c>
      <c r="H14" s="601" t="str">
        <f t="shared" si="3"/>
        <v/>
      </c>
      <c r="I14" s="601"/>
      <c r="J14" s="602"/>
      <c r="K14" s="603"/>
    </row>
    <row r="15" spans="1:11" ht="15.75">
      <c r="A15" s="596">
        <v>11</v>
      </c>
      <c r="B15" s="596" t="str">
        <f>IF(E15="","",COUNTIF($E$5:$E$74,"&lt;="&amp;E15)-COUNTIF($E$4:E14,E15))</f>
        <v/>
      </c>
      <c r="C15" s="597" t="str">
        <f t="shared" si="4"/>
        <v/>
      </c>
      <c r="D15" s="597"/>
      <c r="E15" s="598" t="str">
        <f t="shared" si="0"/>
        <v/>
      </c>
      <c r="F15" s="599" t="str">
        <f t="shared" si="1"/>
        <v/>
      </c>
      <c r="G15" s="600" t="str">
        <f t="shared" si="2"/>
        <v/>
      </c>
      <c r="H15" s="601" t="str">
        <f t="shared" si="3"/>
        <v/>
      </c>
      <c r="I15" s="601"/>
      <c r="J15" s="602"/>
      <c r="K15" s="603"/>
    </row>
    <row r="16" spans="1:11" ht="15.75">
      <c r="A16" s="596">
        <v>12</v>
      </c>
      <c r="B16" s="596" t="str">
        <f>IF(E16="","",COUNTIF($E$5:$E$74,"&lt;="&amp;E16)-COUNTIF($E$4:E15,E16))</f>
        <v/>
      </c>
      <c r="C16" s="597" t="str">
        <f t="shared" si="4"/>
        <v/>
      </c>
      <c r="D16" s="597"/>
      <c r="E16" s="598" t="str">
        <f t="shared" si="0"/>
        <v/>
      </c>
      <c r="F16" s="599" t="str">
        <f t="shared" si="1"/>
        <v/>
      </c>
      <c r="G16" s="600" t="str">
        <f t="shared" si="2"/>
        <v/>
      </c>
      <c r="H16" s="601" t="str">
        <f t="shared" si="3"/>
        <v/>
      </c>
      <c r="I16" s="601"/>
      <c r="J16" s="602"/>
      <c r="K16" s="603"/>
    </row>
    <row r="17" spans="1:11" ht="15.75">
      <c r="A17" s="596">
        <v>13</v>
      </c>
      <c r="B17" s="596" t="str">
        <f>IF(E17="","",COUNTIF($E$5:$E$74,"&lt;="&amp;E17)-COUNTIF($E$4:E16,E17))</f>
        <v/>
      </c>
      <c r="C17" s="597" t="str">
        <f t="shared" si="4"/>
        <v/>
      </c>
      <c r="D17" s="597"/>
      <c r="E17" s="598" t="str">
        <f t="shared" si="0"/>
        <v/>
      </c>
      <c r="F17" s="599" t="str">
        <f t="shared" si="1"/>
        <v/>
      </c>
      <c r="G17" s="600" t="str">
        <f t="shared" si="2"/>
        <v/>
      </c>
      <c r="H17" s="601" t="str">
        <f t="shared" si="3"/>
        <v/>
      </c>
      <c r="I17" s="601"/>
      <c r="J17" s="602"/>
      <c r="K17" s="603"/>
    </row>
    <row r="18" spans="1:11" ht="15.75">
      <c r="A18" s="596">
        <v>14</v>
      </c>
      <c r="B18" s="596" t="str">
        <f>IF(E18="","",COUNTIF($E$5:$E$74,"&lt;="&amp;E18)-COUNTIF($E$4:E17,E18))</f>
        <v/>
      </c>
      <c r="C18" s="597" t="str">
        <f t="shared" si="4"/>
        <v/>
      </c>
      <c r="D18" s="597"/>
      <c r="E18" s="598" t="str">
        <f t="shared" si="0"/>
        <v/>
      </c>
      <c r="F18" s="599" t="str">
        <f t="shared" si="1"/>
        <v/>
      </c>
      <c r="G18" s="600" t="str">
        <f t="shared" si="2"/>
        <v/>
      </c>
      <c r="H18" s="601" t="str">
        <f t="shared" si="3"/>
        <v/>
      </c>
      <c r="I18" s="601"/>
      <c r="J18" s="602"/>
      <c r="K18" s="603"/>
    </row>
    <row r="19" spans="1:11" ht="15.75">
      <c r="A19" s="596">
        <v>15</v>
      </c>
      <c r="B19" s="596" t="str">
        <f>IF(E19="","",COUNTIF($E$5:$E$74,"&lt;="&amp;E19)-COUNTIF($E$4:E18,E19))</f>
        <v/>
      </c>
      <c r="C19" s="597" t="str">
        <f t="shared" si="4"/>
        <v/>
      </c>
      <c r="D19" s="597"/>
      <c r="E19" s="598" t="str">
        <f t="shared" si="0"/>
        <v/>
      </c>
      <c r="F19" s="599" t="str">
        <f t="shared" si="1"/>
        <v/>
      </c>
      <c r="G19" s="600" t="str">
        <f t="shared" si="2"/>
        <v/>
      </c>
      <c r="H19" s="601" t="str">
        <f t="shared" si="3"/>
        <v/>
      </c>
      <c r="I19" s="601"/>
      <c r="J19" s="602"/>
      <c r="K19" s="603"/>
    </row>
    <row r="20" spans="1:11" ht="15.75">
      <c r="A20" s="596">
        <v>16</v>
      </c>
      <c r="B20" s="596" t="str">
        <f>IF(E20="","",COUNTIF($E$5:$E$74,"&lt;="&amp;E20)-COUNTIF($E$4:E19,E20))</f>
        <v/>
      </c>
      <c r="C20" s="597" t="str">
        <f t="shared" si="4"/>
        <v/>
      </c>
      <c r="D20" s="597"/>
      <c r="E20" s="598" t="str">
        <f t="shared" si="0"/>
        <v/>
      </c>
      <c r="F20" s="599" t="str">
        <f t="shared" si="1"/>
        <v/>
      </c>
      <c r="G20" s="600" t="str">
        <f t="shared" si="2"/>
        <v/>
      </c>
      <c r="H20" s="601" t="str">
        <f t="shared" si="3"/>
        <v/>
      </c>
      <c r="I20" s="601"/>
      <c r="J20" s="602"/>
      <c r="K20" s="603"/>
    </row>
    <row r="21" spans="1:11" ht="15.75">
      <c r="A21" s="596">
        <v>17</v>
      </c>
      <c r="B21" s="596" t="str">
        <f>IF(E21="","",COUNTIF($E$5:$E$74,"&lt;="&amp;E21)-COUNTIF($E$4:E20,E21))</f>
        <v/>
      </c>
      <c r="C21" s="597" t="str">
        <f t="shared" si="4"/>
        <v/>
      </c>
      <c r="D21" s="597"/>
      <c r="E21" s="598" t="str">
        <f t="shared" si="0"/>
        <v/>
      </c>
      <c r="F21" s="599" t="str">
        <f t="shared" si="1"/>
        <v/>
      </c>
      <c r="G21" s="600" t="str">
        <f t="shared" si="2"/>
        <v/>
      </c>
      <c r="H21" s="601" t="str">
        <f t="shared" si="3"/>
        <v/>
      </c>
      <c r="I21" s="601"/>
      <c r="J21" s="602"/>
      <c r="K21" s="603"/>
    </row>
    <row r="22" spans="1:11" ht="15.75">
      <c r="A22" s="596">
        <v>18</v>
      </c>
      <c r="B22" s="596" t="str">
        <f>IF(E22="","",COUNTIF($E$5:$E$74,"&lt;="&amp;E22)-COUNTIF($E$4:E21,E22))</f>
        <v/>
      </c>
      <c r="C22" s="597" t="str">
        <f t="shared" si="4"/>
        <v/>
      </c>
      <c r="D22" s="597"/>
      <c r="E22" s="598" t="str">
        <f t="shared" si="0"/>
        <v/>
      </c>
      <c r="F22" s="599" t="str">
        <f t="shared" si="1"/>
        <v/>
      </c>
      <c r="G22" s="600" t="str">
        <f t="shared" si="2"/>
        <v/>
      </c>
      <c r="H22" s="601" t="str">
        <f t="shared" si="3"/>
        <v/>
      </c>
      <c r="I22" s="601"/>
      <c r="J22" s="602"/>
      <c r="K22" s="603"/>
    </row>
    <row r="23" spans="1:11" ht="15.75">
      <c r="A23" s="596">
        <v>19</v>
      </c>
      <c r="B23" s="596" t="str">
        <f>IF(E23="","",COUNTIF($E$5:$E$74,"&lt;="&amp;E23)-COUNTIF($E$4:E22,E23))</f>
        <v/>
      </c>
      <c r="C23" s="597" t="str">
        <f t="shared" si="4"/>
        <v/>
      </c>
      <c r="D23" s="597"/>
      <c r="E23" s="598" t="str">
        <f t="shared" si="0"/>
        <v/>
      </c>
      <c r="F23" s="599" t="str">
        <f t="shared" si="1"/>
        <v/>
      </c>
      <c r="G23" s="600" t="str">
        <f t="shared" si="2"/>
        <v/>
      </c>
      <c r="H23" s="601" t="str">
        <f t="shared" si="3"/>
        <v/>
      </c>
      <c r="I23" s="601"/>
      <c r="J23" s="602"/>
      <c r="K23" s="603"/>
    </row>
    <row r="24" spans="1:11" ht="15.75">
      <c r="A24" s="596">
        <v>20</v>
      </c>
      <c r="B24" s="596" t="str">
        <f>IF(E24="","",COUNTIF($E$5:$E$74,"&lt;="&amp;E24)-COUNTIF($E$4:E23,E24))</f>
        <v/>
      </c>
      <c r="C24" s="597" t="str">
        <f t="shared" si="4"/>
        <v/>
      </c>
      <c r="D24" s="597"/>
      <c r="E24" s="598" t="str">
        <f t="shared" si="0"/>
        <v/>
      </c>
      <c r="F24" s="599" t="str">
        <f t="shared" si="1"/>
        <v/>
      </c>
      <c r="G24" s="600" t="str">
        <f t="shared" si="2"/>
        <v/>
      </c>
      <c r="H24" s="601" t="str">
        <f t="shared" si="3"/>
        <v/>
      </c>
      <c r="I24" s="601"/>
      <c r="J24" s="602"/>
      <c r="K24" s="603"/>
    </row>
    <row r="25" spans="1:11" ht="15.75">
      <c r="A25" s="596">
        <v>21</v>
      </c>
      <c r="B25" s="596" t="str">
        <f>IF(E25="","",COUNTIF($E$5:$E$74,"&lt;="&amp;E25)-COUNTIF($E$4:E24,E25))</f>
        <v/>
      </c>
      <c r="C25" s="597" t="str">
        <f t="shared" si="4"/>
        <v/>
      </c>
      <c r="D25" s="597"/>
      <c r="E25" s="598" t="str">
        <f t="shared" si="0"/>
        <v/>
      </c>
      <c r="F25" s="599" t="str">
        <f t="shared" si="1"/>
        <v/>
      </c>
      <c r="G25" s="600" t="str">
        <f t="shared" si="2"/>
        <v/>
      </c>
      <c r="H25" s="601" t="str">
        <f t="shared" si="3"/>
        <v/>
      </c>
      <c r="I25" s="601"/>
      <c r="J25" s="602"/>
      <c r="K25" s="603"/>
    </row>
    <row r="26" spans="1:11" ht="15.75">
      <c r="A26" s="596">
        <v>22</v>
      </c>
      <c r="B26" s="596" t="str">
        <f>IF(E26="","",COUNTIF($E$5:$E$74,"&lt;="&amp;E26)-COUNTIF($E$4:E25,E26))</f>
        <v/>
      </c>
      <c r="C26" s="597" t="str">
        <f t="shared" si="4"/>
        <v/>
      </c>
      <c r="D26" s="597"/>
      <c r="E26" s="598" t="str">
        <f t="shared" si="0"/>
        <v/>
      </c>
      <c r="F26" s="599" t="str">
        <f t="shared" si="1"/>
        <v/>
      </c>
      <c r="G26" s="600" t="str">
        <f t="shared" si="2"/>
        <v/>
      </c>
      <c r="H26" s="601" t="str">
        <f t="shared" si="3"/>
        <v/>
      </c>
      <c r="I26" s="601"/>
      <c r="J26" s="602"/>
      <c r="K26" s="603"/>
    </row>
    <row r="27" spans="1:11" ht="15.75">
      <c r="A27" s="596">
        <v>23</v>
      </c>
      <c r="B27" s="596" t="str">
        <f>IF(E27="","",COUNTIF($E$5:$E$74,"&lt;="&amp;E27)-COUNTIF($E$4:E26,E27))</f>
        <v/>
      </c>
      <c r="C27" s="597" t="str">
        <f t="shared" si="4"/>
        <v/>
      </c>
      <c r="D27" s="597"/>
      <c r="E27" s="598" t="str">
        <f t="shared" si="0"/>
        <v/>
      </c>
      <c r="F27" s="599" t="str">
        <f t="shared" si="1"/>
        <v/>
      </c>
      <c r="G27" s="600" t="str">
        <f t="shared" si="2"/>
        <v/>
      </c>
      <c r="H27" s="601" t="str">
        <f t="shared" si="3"/>
        <v/>
      </c>
      <c r="I27" s="601"/>
      <c r="J27" s="602"/>
      <c r="K27" s="603"/>
    </row>
    <row r="28" spans="1:11" ht="15.75">
      <c r="A28" s="596">
        <v>24</v>
      </c>
      <c r="B28" s="596" t="str">
        <f>IF(E28="","",COUNTIF($E$5:$E$74,"&lt;="&amp;E28)-COUNTIF($E$4:E27,E28))</f>
        <v/>
      </c>
      <c r="C28" s="597" t="str">
        <f t="shared" si="4"/>
        <v/>
      </c>
      <c r="D28" s="597"/>
      <c r="E28" s="598" t="str">
        <f t="shared" si="0"/>
        <v/>
      </c>
      <c r="F28" s="599" t="str">
        <f t="shared" si="1"/>
        <v/>
      </c>
      <c r="G28" s="600" t="str">
        <f t="shared" si="2"/>
        <v/>
      </c>
      <c r="H28" s="601" t="str">
        <f t="shared" si="3"/>
        <v/>
      </c>
      <c r="I28" s="601"/>
      <c r="J28" s="602"/>
      <c r="K28" s="603"/>
    </row>
    <row r="29" spans="1:11" ht="15.75">
      <c r="A29" s="596">
        <v>25</v>
      </c>
      <c r="B29" s="596" t="str">
        <f>IF(E29="","",COUNTIF($E$5:$E$74,"&lt;="&amp;E29)-COUNTIF($E$4:E28,E29))</f>
        <v/>
      </c>
      <c r="C29" s="597" t="str">
        <f t="shared" si="4"/>
        <v/>
      </c>
      <c r="D29" s="597"/>
      <c r="E29" s="598" t="str">
        <f t="shared" si="0"/>
        <v/>
      </c>
      <c r="F29" s="599" t="str">
        <f t="shared" si="1"/>
        <v/>
      </c>
      <c r="G29" s="600" t="str">
        <f t="shared" si="2"/>
        <v/>
      </c>
      <c r="H29" s="601" t="str">
        <f t="shared" si="3"/>
        <v/>
      </c>
      <c r="I29" s="601"/>
      <c r="J29" s="602"/>
      <c r="K29" s="603"/>
    </row>
    <row r="30" spans="1:11" ht="15.75">
      <c r="A30" s="596">
        <v>26</v>
      </c>
      <c r="B30" s="596" t="str">
        <f>IF(E30="","",COUNTIF($E$5:$E$74,"&lt;="&amp;E30)-COUNTIF($E$4:E29,E30))</f>
        <v/>
      </c>
      <c r="C30" s="597" t="str">
        <f t="shared" si="4"/>
        <v/>
      </c>
      <c r="D30" s="597"/>
      <c r="E30" s="598" t="str">
        <f t="shared" si="0"/>
        <v/>
      </c>
      <c r="F30" s="599" t="str">
        <f t="shared" si="1"/>
        <v/>
      </c>
      <c r="G30" s="600" t="str">
        <f t="shared" si="2"/>
        <v/>
      </c>
      <c r="H30" s="601" t="str">
        <f t="shared" si="3"/>
        <v/>
      </c>
      <c r="I30" s="601"/>
      <c r="J30" s="602"/>
      <c r="K30" s="603"/>
    </row>
    <row r="31" spans="1:11" ht="15.75">
      <c r="A31" s="596">
        <v>27</v>
      </c>
      <c r="B31" s="596" t="str">
        <f>IF(E31="","",COUNTIF($E$5:$E$74,"&lt;="&amp;E31)-COUNTIF($E$4:E30,E31))</f>
        <v/>
      </c>
      <c r="C31" s="597" t="str">
        <f t="shared" si="4"/>
        <v/>
      </c>
      <c r="D31" s="597"/>
      <c r="E31" s="598" t="str">
        <f t="shared" si="0"/>
        <v/>
      </c>
      <c r="F31" s="599" t="str">
        <f t="shared" si="1"/>
        <v/>
      </c>
      <c r="G31" s="600" t="str">
        <f t="shared" si="2"/>
        <v/>
      </c>
      <c r="H31" s="601" t="str">
        <f t="shared" si="3"/>
        <v/>
      </c>
      <c r="I31" s="601"/>
      <c r="J31" s="602"/>
      <c r="K31" s="603"/>
    </row>
    <row r="32" spans="1:11" ht="15.75">
      <c r="A32" s="596">
        <v>28</v>
      </c>
      <c r="B32" s="596" t="str">
        <f>IF(E32="","",COUNTIF($E$5:$E$74,"&lt;="&amp;E32)-COUNTIF($E$4:E31,E32))</f>
        <v/>
      </c>
      <c r="C32" s="597" t="str">
        <f t="shared" si="4"/>
        <v/>
      </c>
      <c r="D32" s="597"/>
      <c r="E32" s="598" t="str">
        <f t="shared" si="0"/>
        <v/>
      </c>
      <c r="F32" s="599" t="str">
        <f t="shared" si="1"/>
        <v/>
      </c>
      <c r="G32" s="600" t="str">
        <f t="shared" si="2"/>
        <v/>
      </c>
      <c r="H32" s="601" t="str">
        <f t="shared" si="3"/>
        <v/>
      </c>
      <c r="I32" s="601"/>
      <c r="J32" s="602"/>
      <c r="K32" s="603"/>
    </row>
    <row r="33" spans="1:11" ht="15.75">
      <c r="A33" s="596">
        <v>29</v>
      </c>
      <c r="B33" s="596" t="str">
        <f>IF(E33="","",COUNTIF($E$5:$E$74,"&lt;="&amp;E33)-COUNTIF($E$4:E32,E33))</f>
        <v/>
      </c>
      <c r="C33" s="597" t="str">
        <f t="shared" si="4"/>
        <v/>
      </c>
      <c r="D33" s="597"/>
      <c r="E33" s="598" t="str">
        <f t="shared" si="0"/>
        <v/>
      </c>
      <c r="F33" s="599" t="str">
        <f t="shared" si="1"/>
        <v/>
      </c>
      <c r="G33" s="600" t="str">
        <f t="shared" si="2"/>
        <v/>
      </c>
      <c r="H33" s="601" t="str">
        <f t="shared" si="3"/>
        <v/>
      </c>
      <c r="I33" s="601"/>
      <c r="J33" s="602"/>
      <c r="K33" s="603"/>
    </row>
    <row r="34" spans="1:11" ht="15.75">
      <c r="A34" s="596">
        <v>30</v>
      </c>
      <c r="B34" s="596" t="str">
        <f>IF(E34="","",COUNTIF($E$5:$E$74,"&lt;="&amp;E34)-COUNTIF($E$4:E33,E34))</f>
        <v/>
      </c>
      <c r="C34" s="597" t="str">
        <f t="shared" si="4"/>
        <v/>
      </c>
      <c r="D34" s="597"/>
      <c r="E34" s="598" t="str">
        <f t="shared" si="0"/>
        <v/>
      </c>
      <c r="F34" s="599" t="str">
        <f t="shared" si="1"/>
        <v/>
      </c>
      <c r="G34" s="600" t="str">
        <f t="shared" si="2"/>
        <v/>
      </c>
      <c r="H34" s="601" t="str">
        <f t="shared" si="3"/>
        <v/>
      </c>
      <c r="I34" s="601"/>
      <c r="J34" s="602"/>
      <c r="K34" s="603"/>
    </row>
    <row r="35" spans="1:11" ht="15.75">
      <c r="A35" s="596">
        <v>31</v>
      </c>
      <c r="B35" s="596" t="str">
        <f>IF(E35="","",COUNTIF($E$5:$E$74,"&lt;="&amp;E35)-COUNTIF($E$4:E34,E35))</f>
        <v/>
      </c>
      <c r="C35" s="597" t="str">
        <f t="shared" si="4"/>
        <v/>
      </c>
      <c r="D35" s="597"/>
      <c r="E35" s="598" t="str">
        <f t="shared" si="0"/>
        <v/>
      </c>
      <c r="F35" s="599" t="str">
        <f t="shared" si="1"/>
        <v/>
      </c>
      <c r="G35" s="600" t="str">
        <f t="shared" si="2"/>
        <v/>
      </c>
      <c r="H35" s="601" t="str">
        <f t="shared" si="3"/>
        <v/>
      </c>
      <c r="I35" s="601"/>
      <c r="J35" s="602"/>
      <c r="K35" s="603"/>
    </row>
    <row r="36" spans="1:11" ht="15.75">
      <c r="A36" s="596">
        <v>32</v>
      </c>
      <c r="B36" s="596" t="str">
        <f>IF(E36="","",COUNTIF($E$5:$E$74,"&lt;="&amp;E36)-COUNTIF($E$4:E35,E36))</f>
        <v/>
      </c>
      <c r="C36" s="597" t="str">
        <f t="shared" si="4"/>
        <v/>
      </c>
      <c r="D36" s="597"/>
      <c r="E36" s="598" t="str">
        <f t="shared" si="0"/>
        <v/>
      </c>
      <c r="F36" s="599" t="str">
        <f t="shared" si="1"/>
        <v/>
      </c>
      <c r="G36" s="600" t="str">
        <f t="shared" si="2"/>
        <v/>
      </c>
      <c r="H36" s="601" t="str">
        <f t="shared" si="3"/>
        <v/>
      </c>
      <c r="I36" s="601"/>
      <c r="J36" s="602"/>
      <c r="K36" s="603"/>
    </row>
    <row r="37" spans="1:11" ht="15.75">
      <c r="A37" s="596">
        <v>33</v>
      </c>
      <c r="B37" s="596" t="str">
        <f>IF(E37="","",COUNTIF($E$5:$E$74,"&lt;="&amp;E37)-COUNTIF($E$4:E36,E37))</f>
        <v/>
      </c>
      <c r="C37" s="597" t="str">
        <f t="shared" si="4"/>
        <v/>
      </c>
      <c r="D37" s="597"/>
      <c r="E37" s="598" t="str">
        <f t="shared" si="0"/>
        <v/>
      </c>
      <c r="F37" s="599" t="str">
        <f t="shared" si="1"/>
        <v/>
      </c>
      <c r="G37" s="600" t="str">
        <f t="shared" si="2"/>
        <v/>
      </c>
      <c r="H37" s="601" t="str">
        <f t="shared" si="3"/>
        <v/>
      </c>
      <c r="I37" s="601"/>
      <c r="J37" s="602"/>
      <c r="K37" s="603"/>
    </row>
    <row r="38" spans="1:11" ht="15.75">
      <c r="A38" s="596">
        <v>34</v>
      </c>
      <c r="B38" s="596" t="str">
        <f>IF(E38="","",COUNTIF($E$5:$E$74,"&lt;="&amp;E38)-COUNTIF($E$4:E37,E38))</f>
        <v/>
      </c>
      <c r="C38" s="597" t="str">
        <f t="shared" si="4"/>
        <v/>
      </c>
      <c r="D38" s="597"/>
      <c r="E38" s="598" t="str">
        <f t="shared" si="0"/>
        <v/>
      </c>
      <c r="F38" s="599" t="str">
        <f t="shared" si="1"/>
        <v/>
      </c>
      <c r="G38" s="600" t="str">
        <f t="shared" si="2"/>
        <v/>
      </c>
      <c r="H38" s="601" t="str">
        <f t="shared" si="3"/>
        <v/>
      </c>
      <c r="I38" s="601"/>
      <c r="J38" s="602"/>
      <c r="K38" s="603"/>
    </row>
    <row r="39" spans="1:11" ht="15.75">
      <c r="A39" s="596">
        <v>35</v>
      </c>
      <c r="B39" s="596" t="str">
        <f>IF(E39="","",COUNTIF($E$5:$E$74,"&lt;="&amp;E39)-COUNTIF($E$4:E38,E39))</f>
        <v/>
      </c>
      <c r="C39" s="597" t="str">
        <f t="shared" si="4"/>
        <v/>
      </c>
      <c r="D39" s="597"/>
      <c r="E39" s="598" t="str">
        <f t="shared" si="0"/>
        <v/>
      </c>
      <c r="F39" s="599" t="str">
        <f t="shared" si="1"/>
        <v/>
      </c>
      <c r="G39" s="600" t="str">
        <f t="shared" si="2"/>
        <v/>
      </c>
      <c r="H39" s="601" t="str">
        <f t="shared" si="3"/>
        <v/>
      </c>
      <c r="I39" s="601"/>
      <c r="J39" s="602"/>
      <c r="K39" s="603"/>
    </row>
    <row r="40" spans="1:11" ht="15.75">
      <c r="A40" s="24">
        <v>1</v>
      </c>
      <c r="B40" s="596" t="str">
        <f>IF(E40="","",COUNTIF($E$5:$E$74,"&lt;="&amp;E40)-COUNTIF($E$4:E39,E40))</f>
        <v/>
      </c>
      <c r="C40" s="585" t="s">
        <v>558</v>
      </c>
      <c r="D40" s="604" t="str">
        <f t="shared" ref="D40:D74" si="5">IF(ISERROR(VLOOKUP(A40,BCChi,3,0)),"",VLOOKUP(A40,BCChi,3,0))</f>
        <v/>
      </c>
      <c r="E40" s="605" t="str">
        <f t="shared" ref="E40" si="6">IF(ISERROR(VLOOKUP(A40,BCChi,4,0)),"",VLOOKUP(A40,BCChi,4,0))</f>
        <v/>
      </c>
      <c r="F40" s="587" t="str">
        <f t="shared" ref="F40" si="7">IF(ISERROR(VLOOKUP(A40,BCChi,7,0)),"",VLOOKUP(A40,BCChi,7,0))</f>
        <v/>
      </c>
      <c r="G40" s="585" t="str">
        <f t="shared" ref="G40:G74" si="8">IF(ISERROR(VLOOKUP(A40,BCChi,8,0)),"",VLOOKUP(A40,BCChi,8,0))</f>
        <v/>
      </c>
      <c r="H40" s="606" t="s">
        <v>558</v>
      </c>
      <c r="I40" s="607" t="str">
        <f t="shared" ref="I40:I74" si="9">IF(ISERROR(VLOOKUP(A40,BCChi,9,0)),"",VLOOKUP(A40,BCChi,9,0))</f>
        <v/>
      </c>
      <c r="J40" s="606" t="s">
        <v>558</v>
      </c>
      <c r="K40" s="608" t="str">
        <f t="shared" ref="K40:K74" si="10">IF(ISERROR(VLOOKUP(A40,BCChi,11,0)),"",VLOOKUP(A40,BCChi,11,0))</f>
        <v/>
      </c>
    </row>
    <row r="41" spans="1:11" ht="15.75">
      <c r="A41" s="24">
        <v>2</v>
      </c>
      <c r="B41" s="596" t="str">
        <f>IF(E41="","",COUNTIF($E$5:$E$74,"&lt;="&amp;E41)-COUNTIF($E$4:E40,E41))</f>
        <v/>
      </c>
      <c r="C41" s="585" t="s">
        <v>558</v>
      </c>
      <c r="D41" s="604" t="str">
        <f t="shared" si="5"/>
        <v/>
      </c>
      <c r="E41" s="605" t="str">
        <f t="shared" ref="E41:E74" si="11">IF(ISERROR(VLOOKUP(A41,BCChi,4,0)),"",VLOOKUP(A41,BCChi,4,0))</f>
        <v/>
      </c>
      <c r="F41" s="587" t="str">
        <f t="shared" ref="F41:F74" si="12">IF(ISERROR(VLOOKUP(A41,BCChi,7,0)),"",VLOOKUP(A41,BCChi,7,0))</f>
        <v/>
      </c>
      <c r="G41" s="585" t="str">
        <f t="shared" si="8"/>
        <v/>
      </c>
      <c r="H41" s="606" t="s">
        <v>558</v>
      </c>
      <c r="I41" s="607" t="str">
        <f t="shared" si="9"/>
        <v/>
      </c>
      <c r="J41" s="606" t="s">
        <v>558</v>
      </c>
      <c r="K41" s="608" t="str">
        <f t="shared" si="10"/>
        <v/>
      </c>
    </row>
    <row r="42" spans="1:11" ht="15.75">
      <c r="A42" s="24">
        <v>3</v>
      </c>
      <c r="B42" s="596" t="str">
        <f>IF(E42="","",COUNTIF($E$5:$E$74,"&lt;="&amp;E42)-COUNTIF($E$4:E41,E42))</f>
        <v/>
      </c>
      <c r="C42" s="585" t="s">
        <v>558</v>
      </c>
      <c r="D42" s="604" t="str">
        <f t="shared" si="5"/>
        <v/>
      </c>
      <c r="E42" s="605" t="str">
        <f t="shared" si="11"/>
        <v/>
      </c>
      <c r="F42" s="587" t="str">
        <f t="shared" si="12"/>
        <v/>
      </c>
      <c r="G42" s="585" t="str">
        <f t="shared" si="8"/>
        <v/>
      </c>
      <c r="H42" s="606" t="s">
        <v>558</v>
      </c>
      <c r="I42" s="607" t="str">
        <f t="shared" si="9"/>
        <v/>
      </c>
      <c r="J42" s="606" t="s">
        <v>558</v>
      </c>
      <c r="K42" s="608" t="str">
        <f t="shared" si="10"/>
        <v/>
      </c>
    </row>
    <row r="43" spans="1:11" ht="15.75">
      <c r="A43" s="24">
        <v>4</v>
      </c>
      <c r="B43" s="596" t="str">
        <f>IF(E43="","",COUNTIF($E$5:$E$74,"&lt;="&amp;E43)-COUNTIF($E$4:E42,E43))</f>
        <v/>
      </c>
      <c r="C43" s="585" t="s">
        <v>558</v>
      </c>
      <c r="D43" s="604" t="str">
        <f t="shared" si="5"/>
        <v/>
      </c>
      <c r="E43" s="605" t="str">
        <f t="shared" si="11"/>
        <v/>
      </c>
      <c r="F43" s="587" t="str">
        <f t="shared" si="12"/>
        <v/>
      </c>
      <c r="G43" s="585" t="str">
        <f t="shared" si="8"/>
        <v/>
      </c>
      <c r="H43" s="606" t="s">
        <v>558</v>
      </c>
      <c r="I43" s="607" t="str">
        <f t="shared" si="9"/>
        <v/>
      </c>
      <c r="J43" s="606" t="s">
        <v>558</v>
      </c>
      <c r="K43" s="608" t="str">
        <f t="shared" si="10"/>
        <v/>
      </c>
    </row>
    <row r="44" spans="1:11" ht="15.75">
      <c r="A44" s="24">
        <v>5</v>
      </c>
      <c r="B44" s="596" t="str">
        <f>IF(E44="","",COUNTIF($E$5:$E$74,"&lt;="&amp;E44)-COUNTIF($E$4:E43,E44))</f>
        <v/>
      </c>
      <c r="C44" s="585" t="s">
        <v>558</v>
      </c>
      <c r="D44" s="604" t="str">
        <f t="shared" si="5"/>
        <v/>
      </c>
      <c r="E44" s="605" t="str">
        <f t="shared" si="11"/>
        <v/>
      </c>
      <c r="F44" s="587" t="str">
        <f t="shared" si="12"/>
        <v/>
      </c>
      <c r="G44" s="585" t="str">
        <f t="shared" si="8"/>
        <v/>
      </c>
      <c r="H44" s="606" t="s">
        <v>558</v>
      </c>
      <c r="I44" s="607" t="str">
        <f t="shared" si="9"/>
        <v/>
      </c>
      <c r="J44" s="606" t="s">
        <v>558</v>
      </c>
      <c r="K44" s="608" t="str">
        <f t="shared" si="10"/>
        <v/>
      </c>
    </row>
    <row r="45" spans="1:11" ht="15.75">
      <c r="A45" s="24">
        <v>6</v>
      </c>
      <c r="B45" s="596" t="str">
        <f>IF(E45="","",COUNTIF($E$5:$E$74,"&lt;="&amp;E45)-COUNTIF($E$4:E44,E45))</f>
        <v/>
      </c>
      <c r="C45" s="585" t="s">
        <v>558</v>
      </c>
      <c r="D45" s="604" t="str">
        <f t="shared" si="5"/>
        <v/>
      </c>
      <c r="E45" s="605" t="str">
        <f t="shared" si="11"/>
        <v/>
      </c>
      <c r="F45" s="587" t="str">
        <f t="shared" si="12"/>
        <v/>
      </c>
      <c r="G45" s="585" t="str">
        <f t="shared" si="8"/>
        <v/>
      </c>
      <c r="H45" s="606" t="s">
        <v>558</v>
      </c>
      <c r="I45" s="607" t="str">
        <f t="shared" si="9"/>
        <v/>
      </c>
      <c r="J45" s="606" t="s">
        <v>558</v>
      </c>
      <c r="K45" s="608" t="str">
        <f t="shared" si="10"/>
        <v/>
      </c>
    </row>
    <row r="46" spans="1:11" ht="15.75">
      <c r="A46" s="24">
        <v>7</v>
      </c>
      <c r="B46" s="596" t="str">
        <f>IF(E46="","",COUNTIF($E$5:$E$74,"&lt;="&amp;E46)-COUNTIF($E$4:E45,E46))</f>
        <v/>
      </c>
      <c r="C46" s="585" t="s">
        <v>558</v>
      </c>
      <c r="D46" s="604" t="str">
        <f t="shared" si="5"/>
        <v/>
      </c>
      <c r="E46" s="605" t="str">
        <f t="shared" si="11"/>
        <v/>
      </c>
      <c r="F46" s="587" t="str">
        <f t="shared" si="12"/>
        <v/>
      </c>
      <c r="G46" s="585" t="str">
        <f t="shared" si="8"/>
        <v/>
      </c>
      <c r="H46" s="606" t="s">
        <v>558</v>
      </c>
      <c r="I46" s="607" t="str">
        <f t="shared" si="9"/>
        <v/>
      </c>
      <c r="J46" s="606" t="s">
        <v>558</v>
      </c>
      <c r="K46" s="608" t="str">
        <f t="shared" si="10"/>
        <v/>
      </c>
    </row>
    <row r="47" spans="1:11" ht="15.75">
      <c r="A47" s="24">
        <v>8</v>
      </c>
      <c r="B47" s="596" t="str">
        <f>IF(E47="","",COUNTIF($E$5:$E$74,"&lt;="&amp;E47)-COUNTIF($E$4:E46,E47))</f>
        <v/>
      </c>
      <c r="C47" s="585" t="s">
        <v>558</v>
      </c>
      <c r="D47" s="604" t="str">
        <f t="shared" si="5"/>
        <v/>
      </c>
      <c r="E47" s="605" t="str">
        <f t="shared" si="11"/>
        <v/>
      </c>
      <c r="F47" s="587" t="str">
        <f t="shared" si="12"/>
        <v/>
      </c>
      <c r="G47" s="585" t="str">
        <f t="shared" si="8"/>
        <v/>
      </c>
      <c r="H47" s="606" t="s">
        <v>558</v>
      </c>
      <c r="I47" s="607" t="str">
        <f t="shared" si="9"/>
        <v/>
      </c>
      <c r="J47" s="606" t="s">
        <v>558</v>
      </c>
      <c r="K47" s="608" t="str">
        <f t="shared" si="10"/>
        <v/>
      </c>
    </row>
    <row r="48" spans="1:11" ht="15.75">
      <c r="A48" s="24">
        <v>9</v>
      </c>
      <c r="B48" s="596" t="str">
        <f>IF(E48="","",COUNTIF($E$5:$E$74,"&lt;="&amp;E48)-COUNTIF($E$4:E47,E48))</f>
        <v/>
      </c>
      <c r="C48" s="585" t="s">
        <v>558</v>
      </c>
      <c r="D48" s="604" t="str">
        <f t="shared" si="5"/>
        <v/>
      </c>
      <c r="E48" s="605" t="str">
        <f t="shared" si="11"/>
        <v/>
      </c>
      <c r="F48" s="587" t="str">
        <f t="shared" si="12"/>
        <v/>
      </c>
      <c r="G48" s="585" t="str">
        <f t="shared" si="8"/>
        <v/>
      </c>
      <c r="H48" s="606" t="s">
        <v>558</v>
      </c>
      <c r="I48" s="607" t="str">
        <f t="shared" si="9"/>
        <v/>
      </c>
      <c r="J48" s="606" t="s">
        <v>558</v>
      </c>
      <c r="K48" s="608" t="str">
        <f t="shared" si="10"/>
        <v/>
      </c>
    </row>
    <row r="49" spans="1:11" ht="15.75">
      <c r="A49" s="24">
        <v>10</v>
      </c>
      <c r="B49" s="596" t="str">
        <f>IF(E49="","",COUNTIF($E$5:$E$74,"&lt;="&amp;E49)-COUNTIF($E$4:E48,E49))</f>
        <v/>
      </c>
      <c r="C49" s="585" t="s">
        <v>558</v>
      </c>
      <c r="D49" s="604" t="str">
        <f t="shared" si="5"/>
        <v/>
      </c>
      <c r="E49" s="605" t="str">
        <f t="shared" si="11"/>
        <v/>
      </c>
      <c r="F49" s="587" t="str">
        <f t="shared" si="12"/>
        <v/>
      </c>
      <c r="G49" s="585" t="str">
        <f t="shared" si="8"/>
        <v/>
      </c>
      <c r="H49" s="606" t="s">
        <v>558</v>
      </c>
      <c r="I49" s="607" t="str">
        <f t="shared" si="9"/>
        <v/>
      </c>
      <c r="J49" s="606" t="s">
        <v>558</v>
      </c>
      <c r="K49" s="608" t="str">
        <f t="shared" si="10"/>
        <v/>
      </c>
    </row>
    <row r="50" spans="1:11" ht="15.75">
      <c r="A50" s="24">
        <v>11</v>
      </c>
      <c r="B50" s="596" t="str">
        <f>IF(E50="","",COUNTIF($E$5:$E$74,"&lt;="&amp;E50)-COUNTIF($E$4:E49,E50))</f>
        <v/>
      </c>
      <c r="C50" s="585" t="s">
        <v>558</v>
      </c>
      <c r="D50" s="604" t="str">
        <f t="shared" si="5"/>
        <v/>
      </c>
      <c r="E50" s="605" t="str">
        <f t="shared" si="11"/>
        <v/>
      </c>
      <c r="F50" s="587" t="str">
        <f t="shared" si="12"/>
        <v/>
      </c>
      <c r="G50" s="585" t="str">
        <f t="shared" si="8"/>
        <v/>
      </c>
      <c r="H50" s="606" t="s">
        <v>558</v>
      </c>
      <c r="I50" s="607" t="str">
        <f t="shared" si="9"/>
        <v/>
      </c>
      <c r="J50" s="606" t="s">
        <v>558</v>
      </c>
      <c r="K50" s="608" t="str">
        <f t="shared" si="10"/>
        <v/>
      </c>
    </row>
    <row r="51" spans="1:11" ht="15.75">
      <c r="A51" s="24">
        <v>12</v>
      </c>
      <c r="B51" s="596" t="str">
        <f>IF(E51="","",COUNTIF($E$5:$E$74,"&lt;="&amp;E51)-COUNTIF($E$4:E50,E51))</f>
        <v/>
      </c>
      <c r="C51" s="585" t="s">
        <v>558</v>
      </c>
      <c r="D51" s="604" t="str">
        <f t="shared" si="5"/>
        <v/>
      </c>
      <c r="E51" s="605" t="str">
        <f t="shared" si="11"/>
        <v/>
      </c>
      <c r="F51" s="587" t="str">
        <f t="shared" si="12"/>
        <v/>
      </c>
      <c r="G51" s="585" t="str">
        <f t="shared" si="8"/>
        <v/>
      </c>
      <c r="H51" s="606" t="s">
        <v>558</v>
      </c>
      <c r="I51" s="607" t="str">
        <f t="shared" si="9"/>
        <v/>
      </c>
      <c r="J51" s="606" t="s">
        <v>558</v>
      </c>
      <c r="K51" s="608" t="str">
        <f t="shared" si="10"/>
        <v/>
      </c>
    </row>
    <row r="52" spans="1:11" ht="15.75">
      <c r="A52" s="24">
        <v>13</v>
      </c>
      <c r="B52" s="596" t="str">
        <f>IF(E52="","",COUNTIF($E$5:$E$74,"&lt;="&amp;E52)-COUNTIF($E$4:E51,E52))</f>
        <v/>
      </c>
      <c r="C52" s="585" t="s">
        <v>558</v>
      </c>
      <c r="D52" s="604" t="str">
        <f t="shared" si="5"/>
        <v/>
      </c>
      <c r="E52" s="605" t="str">
        <f t="shared" si="11"/>
        <v/>
      </c>
      <c r="F52" s="587" t="str">
        <f t="shared" si="12"/>
        <v/>
      </c>
      <c r="G52" s="585" t="str">
        <f t="shared" si="8"/>
        <v/>
      </c>
      <c r="H52" s="606" t="s">
        <v>558</v>
      </c>
      <c r="I52" s="607" t="str">
        <f t="shared" si="9"/>
        <v/>
      </c>
      <c r="J52" s="606" t="s">
        <v>558</v>
      </c>
      <c r="K52" s="608" t="str">
        <f t="shared" si="10"/>
        <v/>
      </c>
    </row>
    <row r="53" spans="1:11" ht="15.75">
      <c r="A53" s="24">
        <v>14</v>
      </c>
      <c r="B53" s="596" t="str">
        <f>IF(E53="","",COUNTIF($E$5:$E$74,"&lt;="&amp;E53)-COUNTIF($E$4:E52,E53))</f>
        <v/>
      </c>
      <c r="C53" s="585" t="s">
        <v>558</v>
      </c>
      <c r="D53" s="604" t="str">
        <f t="shared" si="5"/>
        <v/>
      </c>
      <c r="E53" s="605" t="str">
        <f t="shared" si="11"/>
        <v/>
      </c>
      <c r="F53" s="587" t="str">
        <f t="shared" si="12"/>
        <v/>
      </c>
      <c r="G53" s="585" t="str">
        <f t="shared" si="8"/>
        <v/>
      </c>
      <c r="H53" s="606" t="s">
        <v>558</v>
      </c>
      <c r="I53" s="607" t="str">
        <f t="shared" si="9"/>
        <v/>
      </c>
      <c r="J53" s="606" t="s">
        <v>558</v>
      </c>
      <c r="K53" s="608" t="str">
        <f t="shared" si="10"/>
        <v/>
      </c>
    </row>
    <row r="54" spans="1:11" ht="15.75">
      <c r="A54" s="24">
        <v>15</v>
      </c>
      <c r="B54" s="596" t="str">
        <f>IF(E54="","",COUNTIF($E$5:$E$74,"&lt;="&amp;E54)-COUNTIF($E$4:E53,E54))</f>
        <v/>
      </c>
      <c r="C54" s="585" t="s">
        <v>558</v>
      </c>
      <c r="D54" s="604" t="str">
        <f t="shared" si="5"/>
        <v/>
      </c>
      <c r="E54" s="605" t="str">
        <f t="shared" si="11"/>
        <v/>
      </c>
      <c r="F54" s="587" t="str">
        <f t="shared" si="12"/>
        <v/>
      </c>
      <c r="G54" s="585" t="str">
        <f t="shared" si="8"/>
        <v/>
      </c>
      <c r="H54" s="606" t="s">
        <v>558</v>
      </c>
      <c r="I54" s="607" t="str">
        <f t="shared" si="9"/>
        <v/>
      </c>
      <c r="J54" s="606" t="s">
        <v>558</v>
      </c>
      <c r="K54" s="608" t="str">
        <f t="shared" si="10"/>
        <v/>
      </c>
    </row>
    <row r="55" spans="1:11" ht="15.75">
      <c r="A55" s="24">
        <v>16</v>
      </c>
      <c r="B55" s="596" t="str">
        <f>IF(E55="","",COUNTIF($E$5:$E$74,"&lt;="&amp;E55)-COUNTIF($E$4:E54,E55))</f>
        <v/>
      </c>
      <c r="C55" s="585" t="s">
        <v>558</v>
      </c>
      <c r="D55" s="604" t="str">
        <f t="shared" si="5"/>
        <v/>
      </c>
      <c r="E55" s="605" t="str">
        <f t="shared" si="11"/>
        <v/>
      </c>
      <c r="F55" s="587" t="str">
        <f t="shared" si="12"/>
        <v/>
      </c>
      <c r="G55" s="585" t="str">
        <f t="shared" si="8"/>
        <v/>
      </c>
      <c r="H55" s="606" t="s">
        <v>558</v>
      </c>
      <c r="I55" s="607" t="str">
        <f t="shared" si="9"/>
        <v/>
      </c>
      <c r="J55" s="606" t="s">
        <v>558</v>
      </c>
      <c r="K55" s="608" t="str">
        <f t="shared" si="10"/>
        <v/>
      </c>
    </row>
    <row r="56" spans="1:11" ht="15.75">
      <c r="A56" s="24">
        <v>17</v>
      </c>
      <c r="B56" s="596" t="str">
        <f>IF(E56="","",COUNTIF($E$5:$E$74,"&lt;="&amp;E56)-COUNTIF($E$4:E55,E56))</f>
        <v/>
      </c>
      <c r="C56" s="585" t="s">
        <v>558</v>
      </c>
      <c r="D56" s="604" t="str">
        <f t="shared" si="5"/>
        <v/>
      </c>
      <c r="E56" s="605" t="str">
        <f t="shared" si="11"/>
        <v/>
      </c>
      <c r="F56" s="587" t="str">
        <f t="shared" si="12"/>
        <v/>
      </c>
      <c r="G56" s="585" t="str">
        <f t="shared" si="8"/>
        <v/>
      </c>
      <c r="H56" s="606" t="s">
        <v>558</v>
      </c>
      <c r="I56" s="607" t="str">
        <f t="shared" si="9"/>
        <v/>
      </c>
      <c r="J56" s="606" t="s">
        <v>558</v>
      </c>
      <c r="K56" s="608" t="str">
        <f t="shared" si="10"/>
        <v/>
      </c>
    </row>
    <row r="57" spans="1:11" ht="15.75">
      <c r="A57" s="24">
        <v>18</v>
      </c>
      <c r="B57" s="596" t="str">
        <f>IF(E57="","",COUNTIF($E$5:$E$74,"&lt;="&amp;E57)-COUNTIF($E$4:E56,E57))</f>
        <v/>
      </c>
      <c r="C57" s="585" t="s">
        <v>558</v>
      </c>
      <c r="D57" s="604" t="str">
        <f t="shared" si="5"/>
        <v/>
      </c>
      <c r="E57" s="605" t="str">
        <f t="shared" si="11"/>
        <v/>
      </c>
      <c r="F57" s="587" t="str">
        <f t="shared" si="12"/>
        <v/>
      </c>
      <c r="G57" s="585" t="str">
        <f t="shared" si="8"/>
        <v/>
      </c>
      <c r="H57" s="606" t="s">
        <v>558</v>
      </c>
      <c r="I57" s="607" t="str">
        <f t="shared" si="9"/>
        <v/>
      </c>
      <c r="J57" s="606" t="s">
        <v>558</v>
      </c>
      <c r="K57" s="608" t="str">
        <f t="shared" si="10"/>
        <v/>
      </c>
    </row>
    <row r="58" spans="1:11" ht="15.75">
      <c r="A58" s="24">
        <v>19</v>
      </c>
      <c r="B58" s="596" t="str">
        <f>IF(E58="","",COUNTIF($E$5:$E$74,"&lt;="&amp;E58)-COUNTIF($E$4:E57,E58))</f>
        <v/>
      </c>
      <c r="C58" s="585" t="s">
        <v>558</v>
      </c>
      <c r="D58" s="604" t="str">
        <f t="shared" si="5"/>
        <v/>
      </c>
      <c r="E58" s="605" t="str">
        <f t="shared" si="11"/>
        <v/>
      </c>
      <c r="F58" s="587" t="str">
        <f t="shared" si="12"/>
        <v/>
      </c>
      <c r="G58" s="585" t="str">
        <f t="shared" si="8"/>
        <v/>
      </c>
      <c r="H58" s="606" t="s">
        <v>558</v>
      </c>
      <c r="I58" s="607" t="str">
        <f t="shared" si="9"/>
        <v/>
      </c>
      <c r="J58" s="606" t="s">
        <v>558</v>
      </c>
      <c r="K58" s="608" t="str">
        <f t="shared" si="10"/>
        <v/>
      </c>
    </row>
    <row r="59" spans="1:11" ht="15.75">
      <c r="A59" s="24">
        <v>20</v>
      </c>
      <c r="B59" s="596" t="str">
        <f>IF(E59="","",COUNTIF($E$5:$E$74,"&lt;="&amp;E59)-COUNTIF($E$4:E58,E59))</f>
        <v/>
      </c>
      <c r="C59" s="585" t="s">
        <v>558</v>
      </c>
      <c r="D59" s="604" t="str">
        <f t="shared" si="5"/>
        <v/>
      </c>
      <c r="E59" s="605" t="str">
        <f t="shared" si="11"/>
        <v/>
      </c>
      <c r="F59" s="587" t="str">
        <f t="shared" si="12"/>
        <v/>
      </c>
      <c r="G59" s="585" t="str">
        <f t="shared" si="8"/>
        <v/>
      </c>
      <c r="H59" s="606" t="s">
        <v>558</v>
      </c>
      <c r="I59" s="607" t="str">
        <f t="shared" si="9"/>
        <v/>
      </c>
      <c r="J59" s="606" t="s">
        <v>558</v>
      </c>
      <c r="K59" s="608" t="str">
        <f t="shared" si="10"/>
        <v/>
      </c>
    </row>
    <row r="60" spans="1:11" ht="15.75">
      <c r="A60" s="24">
        <v>21</v>
      </c>
      <c r="B60" s="596" t="str">
        <f>IF(E60="","",COUNTIF($E$5:$E$74,"&lt;="&amp;E60)-COUNTIF($E$4:E59,E60))</f>
        <v/>
      </c>
      <c r="C60" s="585" t="s">
        <v>558</v>
      </c>
      <c r="D60" s="604" t="str">
        <f t="shared" si="5"/>
        <v/>
      </c>
      <c r="E60" s="605" t="str">
        <f t="shared" si="11"/>
        <v/>
      </c>
      <c r="F60" s="587" t="str">
        <f t="shared" si="12"/>
        <v/>
      </c>
      <c r="G60" s="585" t="str">
        <f t="shared" si="8"/>
        <v/>
      </c>
      <c r="H60" s="606" t="s">
        <v>558</v>
      </c>
      <c r="I60" s="607" t="str">
        <f t="shared" si="9"/>
        <v/>
      </c>
      <c r="J60" s="606" t="s">
        <v>558</v>
      </c>
      <c r="K60" s="608" t="str">
        <f t="shared" si="10"/>
        <v/>
      </c>
    </row>
    <row r="61" spans="1:11" ht="15.75">
      <c r="A61" s="24">
        <v>22</v>
      </c>
      <c r="B61" s="596" t="str">
        <f>IF(E61="","",COUNTIF($E$5:$E$74,"&lt;="&amp;E61)-COUNTIF($E$4:E60,E61))</f>
        <v/>
      </c>
      <c r="C61" s="585" t="s">
        <v>558</v>
      </c>
      <c r="D61" s="604" t="str">
        <f t="shared" si="5"/>
        <v/>
      </c>
      <c r="E61" s="605" t="str">
        <f t="shared" si="11"/>
        <v/>
      </c>
      <c r="F61" s="587" t="str">
        <f t="shared" si="12"/>
        <v/>
      </c>
      <c r="G61" s="585" t="str">
        <f t="shared" si="8"/>
        <v/>
      </c>
      <c r="H61" s="606" t="s">
        <v>558</v>
      </c>
      <c r="I61" s="607" t="str">
        <f t="shared" si="9"/>
        <v/>
      </c>
      <c r="J61" s="606" t="s">
        <v>558</v>
      </c>
      <c r="K61" s="608" t="str">
        <f t="shared" si="10"/>
        <v/>
      </c>
    </row>
    <row r="62" spans="1:11" ht="15.75">
      <c r="A62" s="24">
        <v>23</v>
      </c>
      <c r="B62" s="596" t="str">
        <f>IF(E62="","",COUNTIF($E$5:$E$74,"&lt;="&amp;E62)-COUNTIF($E$4:E61,E62))</f>
        <v/>
      </c>
      <c r="C62" s="585" t="s">
        <v>558</v>
      </c>
      <c r="D62" s="604" t="str">
        <f t="shared" si="5"/>
        <v/>
      </c>
      <c r="E62" s="605" t="str">
        <f t="shared" si="11"/>
        <v/>
      </c>
      <c r="F62" s="587" t="str">
        <f t="shared" si="12"/>
        <v/>
      </c>
      <c r="G62" s="585" t="str">
        <f t="shared" si="8"/>
        <v/>
      </c>
      <c r="H62" s="606" t="s">
        <v>558</v>
      </c>
      <c r="I62" s="607" t="str">
        <f t="shared" si="9"/>
        <v/>
      </c>
      <c r="J62" s="606" t="s">
        <v>558</v>
      </c>
      <c r="K62" s="608" t="str">
        <f t="shared" si="10"/>
        <v/>
      </c>
    </row>
    <row r="63" spans="1:11" ht="15.75">
      <c r="A63" s="24">
        <v>24</v>
      </c>
      <c r="B63" s="596" t="str">
        <f>IF(E63="","",COUNTIF($E$5:$E$74,"&lt;="&amp;E63)-COUNTIF($E$4:E62,E63))</f>
        <v/>
      </c>
      <c r="C63" s="585" t="s">
        <v>558</v>
      </c>
      <c r="D63" s="604" t="str">
        <f t="shared" si="5"/>
        <v/>
      </c>
      <c r="E63" s="605" t="str">
        <f t="shared" si="11"/>
        <v/>
      </c>
      <c r="F63" s="587" t="str">
        <f t="shared" si="12"/>
        <v/>
      </c>
      <c r="G63" s="585" t="str">
        <f t="shared" si="8"/>
        <v/>
      </c>
      <c r="H63" s="606" t="s">
        <v>558</v>
      </c>
      <c r="I63" s="607" t="str">
        <f t="shared" si="9"/>
        <v/>
      </c>
      <c r="J63" s="606" t="s">
        <v>558</v>
      </c>
      <c r="K63" s="608" t="str">
        <f t="shared" si="10"/>
        <v/>
      </c>
    </row>
    <row r="64" spans="1:11" ht="15.75">
      <c r="A64" s="24">
        <v>25</v>
      </c>
      <c r="B64" s="596" t="str">
        <f>IF(E64="","",COUNTIF($E$5:$E$74,"&lt;="&amp;E64)-COUNTIF($E$4:E63,E64))</f>
        <v/>
      </c>
      <c r="C64" s="585" t="s">
        <v>558</v>
      </c>
      <c r="D64" s="604" t="str">
        <f t="shared" si="5"/>
        <v/>
      </c>
      <c r="E64" s="605" t="str">
        <f t="shared" si="11"/>
        <v/>
      </c>
      <c r="F64" s="587" t="str">
        <f t="shared" si="12"/>
        <v/>
      </c>
      <c r="G64" s="585" t="str">
        <f t="shared" si="8"/>
        <v/>
      </c>
      <c r="H64" s="606" t="s">
        <v>558</v>
      </c>
      <c r="I64" s="607" t="str">
        <f t="shared" si="9"/>
        <v/>
      </c>
      <c r="J64" s="606" t="s">
        <v>558</v>
      </c>
      <c r="K64" s="608" t="str">
        <f t="shared" si="10"/>
        <v/>
      </c>
    </row>
    <row r="65" spans="1:11" ht="15.75">
      <c r="A65" s="24">
        <v>26</v>
      </c>
      <c r="B65" s="596" t="str">
        <f>IF(E65="","",COUNTIF($E$5:$E$74,"&lt;="&amp;E65)-COUNTIF($E$4:E64,E65))</f>
        <v/>
      </c>
      <c r="C65" s="585" t="s">
        <v>558</v>
      </c>
      <c r="D65" s="604" t="str">
        <f t="shared" si="5"/>
        <v/>
      </c>
      <c r="E65" s="605" t="str">
        <f t="shared" si="11"/>
        <v/>
      </c>
      <c r="F65" s="587" t="str">
        <f t="shared" si="12"/>
        <v/>
      </c>
      <c r="G65" s="585" t="str">
        <f t="shared" si="8"/>
        <v/>
      </c>
      <c r="H65" s="606" t="s">
        <v>558</v>
      </c>
      <c r="I65" s="607" t="str">
        <f t="shared" si="9"/>
        <v/>
      </c>
      <c r="J65" s="606" t="s">
        <v>558</v>
      </c>
      <c r="K65" s="608" t="str">
        <f t="shared" si="10"/>
        <v/>
      </c>
    </row>
    <row r="66" spans="1:11" ht="15.75">
      <c r="A66" s="24">
        <v>27</v>
      </c>
      <c r="B66" s="596" t="str">
        <f>IF(E66="","",COUNTIF($E$5:$E$74,"&lt;="&amp;E66)-COUNTIF($E$4:E65,E66))</f>
        <v/>
      </c>
      <c r="C66" s="585" t="s">
        <v>558</v>
      </c>
      <c r="D66" s="604" t="str">
        <f t="shared" si="5"/>
        <v/>
      </c>
      <c r="E66" s="605" t="str">
        <f t="shared" si="11"/>
        <v/>
      </c>
      <c r="F66" s="587" t="str">
        <f t="shared" si="12"/>
        <v/>
      </c>
      <c r="G66" s="585" t="str">
        <f t="shared" si="8"/>
        <v/>
      </c>
      <c r="H66" s="606" t="s">
        <v>558</v>
      </c>
      <c r="I66" s="607" t="str">
        <f t="shared" si="9"/>
        <v/>
      </c>
      <c r="J66" s="606" t="s">
        <v>558</v>
      </c>
      <c r="K66" s="608" t="str">
        <f t="shared" si="10"/>
        <v/>
      </c>
    </row>
    <row r="67" spans="1:11" ht="15.75">
      <c r="A67" s="24">
        <v>28</v>
      </c>
      <c r="B67" s="596" t="str">
        <f>IF(E67="","",COUNTIF($E$5:$E$74,"&lt;="&amp;E67)-COUNTIF($E$4:E66,E67))</f>
        <v/>
      </c>
      <c r="C67" s="585" t="s">
        <v>558</v>
      </c>
      <c r="D67" s="604" t="str">
        <f t="shared" si="5"/>
        <v/>
      </c>
      <c r="E67" s="605" t="str">
        <f t="shared" si="11"/>
        <v/>
      </c>
      <c r="F67" s="587" t="str">
        <f t="shared" si="12"/>
        <v/>
      </c>
      <c r="G67" s="585" t="str">
        <f t="shared" si="8"/>
        <v/>
      </c>
      <c r="H67" s="606" t="s">
        <v>558</v>
      </c>
      <c r="I67" s="607" t="str">
        <f t="shared" si="9"/>
        <v/>
      </c>
      <c r="J67" s="606" t="s">
        <v>558</v>
      </c>
      <c r="K67" s="608" t="str">
        <f t="shared" si="10"/>
        <v/>
      </c>
    </row>
    <row r="68" spans="1:11" ht="15.75">
      <c r="A68" s="24">
        <v>29</v>
      </c>
      <c r="B68" s="596" t="str">
        <f>IF(E68="","",COUNTIF($E$5:$E$74,"&lt;="&amp;E68)-COUNTIF($E$4:E67,E68))</f>
        <v/>
      </c>
      <c r="C68" s="585" t="s">
        <v>558</v>
      </c>
      <c r="D68" s="604" t="str">
        <f t="shared" si="5"/>
        <v/>
      </c>
      <c r="E68" s="605" t="str">
        <f t="shared" si="11"/>
        <v/>
      </c>
      <c r="F68" s="587" t="str">
        <f t="shared" si="12"/>
        <v/>
      </c>
      <c r="G68" s="585" t="str">
        <f t="shared" si="8"/>
        <v/>
      </c>
      <c r="H68" s="606" t="s">
        <v>558</v>
      </c>
      <c r="I68" s="607" t="str">
        <f t="shared" si="9"/>
        <v/>
      </c>
      <c r="J68" s="606" t="s">
        <v>558</v>
      </c>
      <c r="K68" s="608" t="str">
        <f t="shared" si="10"/>
        <v/>
      </c>
    </row>
    <row r="69" spans="1:11" ht="15.75">
      <c r="A69" s="24">
        <v>30</v>
      </c>
      <c r="B69" s="596" t="str">
        <f>IF(E69="","",COUNTIF($E$5:$E$74,"&lt;="&amp;E69)-COUNTIF($E$4:E68,E69))</f>
        <v/>
      </c>
      <c r="C69" s="585" t="s">
        <v>558</v>
      </c>
      <c r="D69" s="604" t="str">
        <f t="shared" si="5"/>
        <v/>
      </c>
      <c r="E69" s="605" t="str">
        <f t="shared" si="11"/>
        <v/>
      </c>
      <c r="F69" s="587" t="str">
        <f t="shared" si="12"/>
        <v/>
      </c>
      <c r="G69" s="585" t="str">
        <f t="shared" si="8"/>
        <v/>
      </c>
      <c r="H69" s="606" t="s">
        <v>558</v>
      </c>
      <c r="I69" s="607" t="str">
        <f t="shared" si="9"/>
        <v/>
      </c>
      <c r="J69" s="606" t="s">
        <v>558</v>
      </c>
      <c r="K69" s="608" t="str">
        <f t="shared" si="10"/>
        <v/>
      </c>
    </row>
    <row r="70" spans="1:11" ht="15.75">
      <c r="A70" s="24">
        <v>31</v>
      </c>
      <c r="B70" s="596" t="str">
        <f>IF(E70="","",COUNTIF($E$5:$E$74,"&lt;="&amp;E70)-COUNTIF($E$4:E69,E70))</f>
        <v/>
      </c>
      <c r="C70" s="585" t="s">
        <v>558</v>
      </c>
      <c r="D70" s="604" t="str">
        <f t="shared" si="5"/>
        <v/>
      </c>
      <c r="E70" s="605" t="str">
        <f t="shared" si="11"/>
        <v/>
      </c>
      <c r="F70" s="587" t="str">
        <f t="shared" si="12"/>
        <v/>
      </c>
      <c r="G70" s="585" t="str">
        <f t="shared" si="8"/>
        <v/>
      </c>
      <c r="H70" s="606" t="s">
        <v>558</v>
      </c>
      <c r="I70" s="607" t="str">
        <f t="shared" si="9"/>
        <v/>
      </c>
      <c r="J70" s="606" t="s">
        <v>558</v>
      </c>
      <c r="K70" s="608" t="str">
        <f t="shared" si="10"/>
        <v/>
      </c>
    </row>
    <row r="71" spans="1:11" ht="15.75">
      <c r="A71" s="24">
        <v>32</v>
      </c>
      <c r="B71" s="596" t="str">
        <f>IF(E71="","",COUNTIF($E$5:$E$74,"&lt;="&amp;E71)-COUNTIF($E$4:E70,E71))</f>
        <v/>
      </c>
      <c r="C71" s="585" t="s">
        <v>558</v>
      </c>
      <c r="D71" s="604" t="str">
        <f t="shared" si="5"/>
        <v/>
      </c>
      <c r="E71" s="605" t="str">
        <f t="shared" si="11"/>
        <v/>
      </c>
      <c r="F71" s="587" t="str">
        <f t="shared" si="12"/>
        <v/>
      </c>
      <c r="G71" s="585" t="str">
        <f t="shared" si="8"/>
        <v/>
      </c>
      <c r="H71" s="606" t="s">
        <v>558</v>
      </c>
      <c r="I71" s="607" t="str">
        <f t="shared" si="9"/>
        <v/>
      </c>
      <c r="J71" s="606" t="s">
        <v>558</v>
      </c>
      <c r="K71" s="608" t="str">
        <f t="shared" si="10"/>
        <v/>
      </c>
    </row>
    <row r="72" spans="1:11" ht="15.75">
      <c r="A72" s="24">
        <v>33</v>
      </c>
      <c r="B72" s="596" t="str">
        <f>IF(E72="","",COUNTIF($E$5:$E$74,"&lt;="&amp;E72)-COUNTIF($E$4:E71,E72))</f>
        <v/>
      </c>
      <c r="C72" s="585" t="s">
        <v>558</v>
      </c>
      <c r="D72" s="604" t="str">
        <f t="shared" si="5"/>
        <v/>
      </c>
      <c r="E72" s="605" t="str">
        <f t="shared" si="11"/>
        <v/>
      </c>
      <c r="F72" s="587" t="str">
        <f t="shared" si="12"/>
        <v/>
      </c>
      <c r="G72" s="585" t="str">
        <f t="shared" si="8"/>
        <v/>
      </c>
      <c r="H72" s="606" t="s">
        <v>558</v>
      </c>
      <c r="I72" s="607" t="str">
        <f t="shared" si="9"/>
        <v/>
      </c>
      <c r="J72" s="606" t="s">
        <v>558</v>
      </c>
      <c r="K72" s="608" t="str">
        <f t="shared" si="10"/>
        <v/>
      </c>
    </row>
    <row r="73" spans="1:11" ht="15.75">
      <c r="A73" s="24">
        <v>34</v>
      </c>
      <c r="B73" s="596" t="str">
        <f>IF(E73="","",COUNTIF($E$5:$E$74,"&lt;="&amp;E73)-COUNTIF($E$4:E72,E73))</f>
        <v/>
      </c>
      <c r="C73" s="585" t="s">
        <v>558</v>
      </c>
      <c r="D73" s="604" t="str">
        <f t="shared" si="5"/>
        <v/>
      </c>
      <c r="E73" s="605" t="str">
        <f t="shared" si="11"/>
        <v/>
      </c>
      <c r="F73" s="587" t="str">
        <f t="shared" si="12"/>
        <v/>
      </c>
      <c r="G73" s="585" t="str">
        <f t="shared" si="8"/>
        <v/>
      </c>
      <c r="H73" s="606" t="s">
        <v>558</v>
      </c>
      <c r="I73" s="607" t="str">
        <f t="shared" si="9"/>
        <v/>
      </c>
      <c r="J73" s="606" t="s">
        <v>558</v>
      </c>
      <c r="K73" s="608" t="str">
        <f t="shared" si="10"/>
        <v/>
      </c>
    </row>
    <row r="74" spans="1:11" ht="15.75">
      <c r="A74" s="24">
        <v>35</v>
      </c>
      <c r="B74" s="596" t="str">
        <f>IF(E74="","",COUNTIF($E$5:$E$74,"&lt;="&amp;E74)-COUNTIF($E$4:E73,E74))</f>
        <v/>
      </c>
      <c r="C74" s="585" t="s">
        <v>558</v>
      </c>
      <c r="D74" s="604" t="str">
        <f t="shared" si="5"/>
        <v/>
      </c>
      <c r="E74" s="605" t="str">
        <f t="shared" si="11"/>
        <v/>
      </c>
      <c r="F74" s="587" t="str">
        <f t="shared" si="12"/>
        <v/>
      </c>
      <c r="G74" s="585" t="str">
        <f t="shared" si="8"/>
        <v/>
      </c>
      <c r="H74" s="606" t="s">
        <v>558</v>
      </c>
      <c r="I74" s="607" t="str">
        <f t="shared" si="9"/>
        <v/>
      </c>
      <c r="J74" s="606" t="s">
        <v>558</v>
      </c>
      <c r="K74" s="608" t="str">
        <f t="shared" si="10"/>
        <v/>
      </c>
    </row>
  </sheetData>
  <mergeCells count="10">
    <mergeCell ref="J3:J4"/>
    <mergeCell ref="K3:K4"/>
    <mergeCell ref="A1:C1"/>
    <mergeCell ref="F1:I2"/>
    <mergeCell ref="A2:E2"/>
    <mergeCell ref="A3:A4"/>
    <mergeCell ref="C3:E3"/>
    <mergeCell ref="F3:F4"/>
    <mergeCell ref="G3:G4"/>
    <mergeCell ref="H3:I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ng_tính7">
    <tabColor rgb="FFFF0000"/>
  </sheetPr>
  <dimension ref="A1:G20"/>
  <sheetViews>
    <sheetView topLeftCell="A10" workbookViewId="0">
      <selection activeCell="A20" sqref="A20:XFD20"/>
    </sheetView>
  </sheetViews>
  <sheetFormatPr defaultRowHeight="12.75"/>
  <cols>
    <col min="1" max="1" width="6.85546875" customWidth="1"/>
    <col min="2" max="2" width="15" customWidth="1"/>
    <col min="3" max="3" width="46.5703125" customWidth="1"/>
    <col min="4" max="4" width="16" customWidth="1"/>
    <col min="5" max="5" width="19.140625" customWidth="1"/>
    <col min="6" max="6" width="19.85546875" customWidth="1"/>
    <col min="7" max="7" width="20.140625" customWidth="1"/>
  </cols>
  <sheetData>
    <row r="1" spans="1:7" ht="22.5">
      <c r="A1" s="1018" t="s">
        <v>583</v>
      </c>
      <c r="B1" s="1018"/>
      <c r="C1" s="1018"/>
      <c r="D1" s="1018"/>
      <c r="E1" s="1018"/>
      <c r="F1" s="1018"/>
      <c r="G1" s="1018"/>
    </row>
    <row r="2" spans="1:7" ht="7.5" customHeight="1">
      <c r="A2" s="643"/>
      <c r="B2" s="643"/>
      <c r="C2" s="643"/>
      <c r="D2" s="643"/>
      <c r="E2" s="643"/>
      <c r="F2" s="643"/>
      <c r="G2" s="643"/>
    </row>
    <row r="3" spans="1:7" ht="23.25" thickBot="1">
      <c r="A3" s="644"/>
      <c r="B3" s="644"/>
      <c r="C3" s="644"/>
      <c r="D3" s="644"/>
      <c r="E3" s="644"/>
      <c r="F3" s="1019" t="s">
        <v>542</v>
      </c>
      <c r="G3" s="1019"/>
    </row>
    <row r="4" spans="1:7" ht="15.75">
      <c r="A4" s="1020" t="s">
        <v>0</v>
      </c>
      <c r="B4" s="1022" t="s">
        <v>584</v>
      </c>
      <c r="C4" s="1022" t="s">
        <v>585</v>
      </c>
      <c r="D4" s="1024">
        <f ca="1">TODAY()</f>
        <v>43174</v>
      </c>
      <c r="E4" s="1024"/>
      <c r="F4" s="1024"/>
      <c r="G4" s="1025"/>
    </row>
    <row r="5" spans="1:7" ht="20.25" customHeight="1">
      <c r="A5" s="1021"/>
      <c r="B5" s="1023"/>
      <c r="C5" s="1023"/>
      <c r="D5" s="642" t="s">
        <v>586</v>
      </c>
      <c r="E5" s="642" t="s">
        <v>554</v>
      </c>
      <c r="F5" s="642" t="s">
        <v>555</v>
      </c>
      <c r="G5" s="651" t="s">
        <v>550</v>
      </c>
    </row>
    <row r="6" spans="1:7" s="257" customFormat="1" ht="23.25" customHeight="1">
      <c r="A6" s="652">
        <v>1</v>
      </c>
      <c r="B6" s="648">
        <f>VLOOKUP(A6,'Giao  du toan'!$A$5:$H$39,2,0)</f>
        <v>102</v>
      </c>
      <c r="C6" s="645" t="str">
        <f t="shared" ref="C6:C12" si="0">IF(B6="","",IF(ISNA(VLOOKUP(B6,Manguon,1,0)),"",VLOOKUP(B6,Manguon,2,0)))</f>
        <v>Khuyến công, nông thôn mới</v>
      </c>
      <c r="D6" s="655"/>
      <c r="E6" s="647" t="str">
        <f>IF(SUMIFS('Nhap lieu'!$AK$9:$AK$200,MUCP,B6,'Nhap lieu'!$AN$9:$AN$200,"Tiền mặt")=0,"",SUMIFS('Nhap lieu'!$AK$9:$AK$200,MUCP,B6,'Nhap lieu'!$AN$9:$AN$200,"Tiền mặt"))</f>
        <v/>
      </c>
      <c r="F6" s="647" t="str">
        <f>IF(SUMIF('DS Chi'!$H$7:$H$105,B6,'DS Chi'!$I$7:$I$105)=0,"",SUMIF('DS Chi'!$H$7:$H$105,B6,'DS Chi'!$I$7:$I$105))</f>
        <v/>
      </c>
      <c r="G6" s="656" t="str">
        <f t="shared" ref="G6:G10" si="1">IF(SUM(D6:E6)-SUM(F6)=0,"",SUM(D6:E6)-SUM(F6))</f>
        <v/>
      </c>
    </row>
    <row r="7" spans="1:7" s="257" customFormat="1" ht="23.25" customHeight="1">
      <c r="A7" s="653">
        <v>2</v>
      </c>
      <c r="B7" s="649">
        <f>VLOOKUP(A7,'Giao  du toan'!$A$5:$H$39,2,0)</f>
        <v>194</v>
      </c>
      <c r="C7" s="646" t="str">
        <f t="shared" si="0"/>
        <v>Khuyến thương</v>
      </c>
      <c r="D7" s="647"/>
      <c r="E7" s="647" t="str">
        <f>IF(SUMIFS('Nhap lieu'!$AK$9:$AK$200,MUCP,B7,'Nhap lieu'!$AN$9:$AN$200,"Tiền mặt")=0,"",SUMIFS('Nhap lieu'!$AK$9:$AK$200,MUCP,B7,'Nhap lieu'!$AN$9:$AN$200,"Tiền mặt"))</f>
        <v/>
      </c>
      <c r="F7" s="647" t="str">
        <f>IF(SUMIF('DS Chi'!$H$7:$H$105,B7,'DS Chi'!$I$7:$I$105)=0,"",SUMIF('DS Chi'!$H$7:$H$105,B7,'DS Chi'!$I$7:$I$105))</f>
        <v/>
      </c>
      <c r="G7" s="657" t="str">
        <f t="shared" si="1"/>
        <v/>
      </c>
    </row>
    <row r="8" spans="1:7" s="257" customFormat="1" ht="23.25" customHeight="1">
      <c r="A8" s="653">
        <v>3</v>
      </c>
      <c r="B8" s="649">
        <f>VLOOKUP(A8,'Giao  du toan'!$A$5:$H$39,2,0)</f>
        <v>223</v>
      </c>
      <c r="C8" s="646" t="str">
        <f t="shared" si="0"/>
        <v>Sự nghiệp giao thông</v>
      </c>
      <c r="D8" s="647"/>
      <c r="E8" s="647" t="str">
        <f>IF(SUMIFS('Nhap lieu'!$AK$9:$AK$200,MUCP,B8,'Nhap lieu'!$AN$9:$AN$200,"Tiền mặt")=0,"",SUMIFS('Nhap lieu'!$AK$9:$AK$200,MUCP,B8,'Nhap lieu'!$AN$9:$AN$200,"Tiền mặt"))</f>
        <v/>
      </c>
      <c r="F8" s="647" t="str">
        <f>IF(SUMIF('DS Chi'!$H$7:$H$105,B8,'DS Chi'!$I$7:$I$105)=0,"",SUMIF('DS Chi'!$H$7:$H$105,B8,'DS Chi'!$I$7:$I$105))</f>
        <v/>
      </c>
      <c r="G8" s="657" t="str">
        <f t="shared" si="1"/>
        <v/>
      </c>
    </row>
    <row r="9" spans="1:7" s="257" customFormat="1" ht="23.25" customHeight="1">
      <c r="A9" s="653">
        <v>4</v>
      </c>
      <c r="B9" s="649" t="str">
        <f>VLOOKUP(A9,'Giao  du toan'!$A$5:$H$39,2,0)</f>
        <v>223'</v>
      </c>
      <c r="C9" s="646" t="str">
        <f t="shared" si="0"/>
        <v>Kinh phí ATGT</v>
      </c>
      <c r="D9" s="647"/>
      <c r="E9" s="647" t="str">
        <f>IF(SUMIFS('Nhap lieu'!$AK$9:$AK$200,MUCP,B9,'Nhap lieu'!$AN$9:$AN$200,"Tiền mặt")=0,"",SUMIFS('Nhap lieu'!$AK$9:$AK$200,MUCP,B9,'Nhap lieu'!$AN$9:$AN$200,"Tiền mặt"))</f>
        <v/>
      </c>
      <c r="F9" s="647" t="str">
        <f>IF(SUMIF('DS Chi'!$H$7:$H$105,B9,'DS Chi'!$I$7:$I$105)=0,"",SUMIF('DS Chi'!$H$7:$H$105,B9,'DS Chi'!$I$7:$I$105))</f>
        <v/>
      </c>
      <c r="G9" s="657" t="str">
        <f t="shared" si="1"/>
        <v/>
      </c>
    </row>
    <row r="10" spans="1:7" s="257" customFormat="1" ht="23.25" customHeight="1">
      <c r="A10" s="653">
        <v>5</v>
      </c>
      <c r="B10" s="649">
        <f>VLOOKUP(A10,'Giao  du toan'!$A$5:$H$39,2,0)</f>
        <v>373</v>
      </c>
      <c r="C10" s="646" t="str">
        <f t="shared" si="0"/>
        <v>Sự nghiệp Khoa học công nghệ</v>
      </c>
      <c r="D10" s="647"/>
      <c r="E10" s="647" t="str">
        <f>IF(SUMIFS('Nhap lieu'!$AK$9:$AK$200,MUCP,B10,'Nhap lieu'!$AN$9:$AN$200,"Tiền mặt")=0,"",SUMIFS('Nhap lieu'!$AK$9:$AK$200,MUCP,B10,'Nhap lieu'!$AN$9:$AN$200,"Tiền mặt"))</f>
        <v/>
      </c>
      <c r="F10" s="647" t="str">
        <f>IF(SUMIF('DS Chi'!$H$7:$H$105,B10,'DS Chi'!$I$7:$I$105)=0,"",SUMIF('DS Chi'!$H$7:$H$105,B10,'DS Chi'!$I$7:$I$105))</f>
        <v/>
      </c>
      <c r="G10" s="657" t="str">
        <f t="shared" si="1"/>
        <v/>
      </c>
    </row>
    <row r="11" spans="1:7" s="257" customFormat="1" ht="23.25" customHeight="1">
      <c r="A11" s="653">
        <v>6</v>
      </c>
      <c r="B11" s="649" t="str">
        <f>VLOOKUP(A11,'Giao  du toan'!$A$5:$H$39,2,0)</f>
        <v>373'</v>
      </c>
      <c r="C11" s="646" t="str">
        <f t="shared" si="0"/>
        <v>Sự nghiệp Khoa học công nghệ (NS tỉnh)</v>
      </c>
      <c r="D11" s="647"/>
      <c r="E11" s="647" t="str">
        <f>IF(SUMIFS('Nhap lieu'!$AK$9:$AK$200,MUCP,B11,'Nhap lieu'!$AN$9:$AN$200,"Tiền mặt")=0,"",SUMIFS('Nhap lieu'!$AK$9:$AK$200,MUCP,B11,'Nhap lieu'!$AN$9:$AN$200,"Tiền mặt"))</f>
        <v/>
      </c>
      <c r="F11" s="647" t="str">
        <f>IF(SUMIF('DS Chi'!$H$7:$H$105,B11,'DS Chi'!$I$7:$I$105)=0,"",SUMIF('DS Chi'!$H$7:$H$105,B11,'DS Chi'!$I$7:$I$105))</f>
        <v/>
      </c>
      <c r="G11" s="657" t="str">
        <f t="shared" ref="G11:G12" si="2">IF(SUM(D11:E11)-SUM(F11)=0,"",SUM(D11:E11)-SUM(F11))</f>
        <v/>
      </c>
    </row>
    <row r="12" spans="1:7" s="257" customFormat="1" ht="23.25" customHeight="1">
      <c r="A12" s="654">
        <v>7</v>
      </c>
      <c r="B12" s="650">
        <f>VLOOKUP(A12,'Giao  du toan'!$A$5:$H$39,2,0)</f>
        <v>432</v>
      </c>
      <c r="C12" s="646" t="str">
        <f t="shared" si="0"/>
        <v>Vốn quy hoạch</v>
      </c>
      <c r="D12" s="658"/>
      <c r="E12" s="647" t="str">
        <f>IF(SUMIFS('Nhap lieu'!$AK$9:$AK$200,MUCP,B12,'Nhap lieu'!$AN$9:$AN$200,"Tiền mặt")=0,"",SUMIFS('Nhap lieu'!$AK$9:$AK$200,MUCP,B12,'Nhap lieu'!$AN$9:$AN$200,"Tiền mặt"))</f>
        <v/>
      </c>
      <c r="F12" s="647" t="str">
        <f>IF(SUMIF('DS Chi'!$H$7:$H$105,B12,'DS Chi'!$I$7:$I$105)=0,"",SUMIF('DS Chi'!$H$7:$H$105,B12,'DS Chi'!$I$7:$I$105))</f>
        <v/>
      </c>
      <c r="G12" s="659" t="str">
        <f t="shared" si="2"/>
        <v/>
      </c>
    </row>
    <row r="13" spans="1:7" s="271" customFormat="1" ht="23.25" customHeight="1" thickBot="1">
      <c r="A13" s="1016" t="s">
        <v>118</v>
      </c>
      <c r="B13" s="1017"/>
      <c r="C13" s="1017"/>
      <c r="D13" s="660">
        <f>SUM(D6:D12)</f>
        <v>0</v>
      </c>
      <c r="E13" s="660">
        <f>SUM(E6:E12)</f>
        <v>0</v>
      </c>
      <c r="F13" s="660">
        <f>SUM(F6:F12)</f>
        <v>0</v>
      </c>
      <c r="G13" s="661">
        <f>SUM(G6:G12)</f>
        <v>0</v>
      </c>
    </row>
    <row r="14" spans="1:7">
      <c r="A14" s="348"/>
      <c r="B14" s="348"/>
      <c r="C14" s="348"/>
      <c r="D14" s="348"/>
      <c r="E14" s="348"/>
      <c r="F14" s="348"/>
      <c r="G14" s="348"/>
    </row>
    <row r="15" spans="1:7">
      <c r="A15" s="348"/>
      <c r="B15" s="348"/>
      <c r="C15" s="348"/>
      <c r="D15" s="348"/>
      <c r="E15" s="348"/>
      <c r="F15" s="348"/>
      <c r="G15" s="348"/>
    </row>
    <row r="16" spans="1:7" s="43" customFormat="1" ht="21.75" customHeight="1">
      <c r="A16" s="981" t="s">
        <v>582</v>
      </c>
      <c r="B16" s="981"/>
      <c r="C16" s="981" t="s">
        <v>79</v>
      </c>
      <c r="D16" s="981"/>
      <c r="E16" s="981" t="s">
        <v>80</v>
      </c>
      <c r="F16" s="981"/>
      <c r="G16" s="981"/>
    </row>
    <row r="17" spans="1:7" s="40" customFormat="1" ht="18.75"/>
    <row r="18" spans="1:7" s="40" customFormat="1" ht="18.75"/>
    <row r="19" spans="1:7" s="40" customFormat="1" ht="18.75"/>
    <row r="20" spans="1:7" s="43" customFormat="1" ht="21.75" customHeight="1">
      <c r="A20" s="981"/>
      <c r="B20" s="981"/>
      <c r="C20" s="981"/>
      <c r="D20" s="981"/>
      <c r="E20" s="981"/>
      <c r="F20" s="981"/>
      <c r="G20" s="981"/>
    </row>
  </sheetData>
  <sheetProtection formatCells="0" formatColumns="0" formatRows="0"/>
  <mergeCells count="13">
    <mergeCell ref="A20:B20"/>
    <mergeCell ref="C20:D20"/>
    <mergeCell ref="E20:G20"/>
    <mergeCell ref="A16:B16"/>
    <mergeCell ref="C16:D16"/>
    <mergeCell ref="E16:G16"/>
    <mergeCell ref="A13:C13"/>
    <mergeCell ref="A1:G1"/>
    <mergeCell ref="F3:G3"/>
    <mergeCell ref="A4:A5"/>
    <mergeCell ref="B4:B5"/>
    <mergeCell ref="C4:C5"/>
    <mergeCell ref="D4:G4"/>
  </mergeCells>
  <pageMargins left="0.34" right="0.26" top="0.75" bottom="0.75" header="0.3" footer="0.3"/>
  <pageSetup paperSize="9" orientation="landscape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rang_tính1">
    <pageSetUpPr fitToPage="1"/>
  </sheetPr>
  <dimension ref="A1:R33"/>
  <sheetViews>
    <sheetView topLeftCell="A19" workbookViewId="0">
      <selection activeCell="A31" sqref="A31:XFD35"/>
    </sheetView>
  </sheetViews>
  <sheetFormatPr defaultRowHeight="18.75"/>
  <cols>
    <col min="1" max="1" width="6.85546875" style="350" customWidth="1"/>
    <col min="2" max="2" width="8.5703125" style="350" customWidth="1"/>
    <col min="3" max="3" width="8.42578125" style="350" customWidth="1"/>
    <col min="4" max="4" width="12.5703125" style="350" customWidth="1"/>
    <col min="5" max="5" width="12.85546875" style="350" customWidth="1"/>
    <col min="6" max="6" width="13.7109375" style="350" customWidth="1"/>
    <col min="7" max="7" width="13" style="350" customWidth="1"/>
    <col min="8" max="8" width="13.140625" style="350" customWidth="1"/>
    <col min="9" max="9" width="12.85546875" style="350" customWidth="1"/>
    <col min="10" max="10" width="13" style="350" customWidth="1"/>
    <col min="11" max="11" width="9.140625" style="350"/>
    <col min="12" max="12" width="10" style="350" customWidth="1"/>
    <col min="13" max="13" width="8.140625" style="350" customWidth="1"/>
    <col min="14" max="14" width="12.5703125" style="350" customWidth="1"/>
    <col min="15" max="15" width="8.5703125" style="350" customWidth="1"/>
    <col min="16" max="16" width="15.140625" style="350" customWidth="1"/>
    <col min="17" max="17" width="12.28515625" style="350" bestFit="1" customWidth="1"/>
    <col min="18" max="16384" width="9.140625" style="350"/>
  </cols>
  <sheetData>
    <row r="1" spans="1:18" ht="14.25" customHeight="1">
      <c r="A1" s="415" t="s">
        <v>460</v>
      </c>
      <c r="B1" s="362"/>
      <c r="C1" s="362"/>
      <c r="D1" s="416"/>
      <c r="E1" s="416"/>
      <c r="F1" s="417"/>
      <c r="G1" s="349">
        <f>VLOOKUP(G6,Quynam,2,0)</f>
        <v>42736</v>
      </c>
      <c r="H1" s="349">
        <f>VLOOKUP(G6,Quynam,3,0)</f>
        <v>43100</v>
      </c>
      <c r="I1" s="1026" t="s">
        <v>461</v>
      </c>
      <c r="J1" s="1026"/>
      <c r="K1" s="1026"/>
      <c r="L1" s="1026"/>
      <c r="M1" s="1026"/>
      <c r="N1" s="1026"/>
      <c r="O1" s="418"/>
    </row>
    <row r="2" spans="1:18" ht="14.25" customHeight="1">
      <c r="A2" s="415" t="s">
        <v>615</v>
      </c>
      <c r="B2" s="362"/>
      <c r="C2" s="362"/>
      <c r="D2" s="416"/>
      <c r="E2" s="416"/>
      <c r="F2" s="416"/>
      <c r="G2" s="362"/>
      <c r="H2" s="362"/>
      <c r="I2" s="1027" t="s">
        <v>620</v>
      </c>
      <c r="J2" s="1027"/>
      <c r="K2" s="1027"/>
      <c r="L2" s="1027"/>
      <c r="M2" s="1027"/>
      <c r="N2" s="1027"/>
      <c r="O2" s="419"/>
    </row>
    <row r="3" spans="1:18" ht="14.25" customHeight="1">
      <c r="A3" s="415" t="s">
        <v>616</v>
      </c>
      <c r="B3" s="362"/>
      <c r="C3" s="362"/>
      <c r="D3" s="416"/>
      <c r="E3" s="416"/>
      <c r="F3" s="416"/>
      <c r="G3" s="362"/>
      <c r="H3" s="362"/>
      <c r="I3" s="1027" t="s">
        <v>621</v>
      </c>
      <c r="J3" s="1027"/>
      <c r="K3" s="1027"/>
      <c r="L3" s="1027"/>
      <c r="M3" s="1027"/>
      <c r="N3" s="1027"/>
      <c r="O3" s="362"/>
    </row>
    <row r="4" spans="1:18" ht="14.25" customHeight="1">
      <c r="A4" s="415" t="s">
        <v>350</v>
      </c>
      <c r="B4" s="362"/>
      <c r="C4" s="362"/>
      <c r="D4" s="416"/>
      <c r="E4" s="416"/>
      <c r="F4" s="416"/>
      <c r="G4" s="362"/>
      <c r="H4" s="362"/>
      <c r="I4" s="362"/>
      <c r="J4" s="362"/>
      <c r="K4" s="362"/>
      <c r="L4" s="362"/>
      <c r="M4" s="362"/>
      <c r="N4" s="362"/>
      <c r="O4" s="362"/>
    </row>
    <row r="5" spans="1:18">
      <c r="A5" s="1028" t="s">
        <v>462</v>
      </c>
      <c r="B5" s="1028"/>
      <c r="C5" s="1028"/>
      <c r="D5" s="1028"/>
      <c r="E5" s="1028"/>
      <c r="F5" s="1028"/>
      <c r="G5" s="1028"/>
      <c r="H5" s="1028"/>
      <c r="I5" s="1028"/>
      <c r="J5" s="1028"/>
      <c r="K5" s="1028"/>
      <c r="L5" s="1028"/>
      <c r="M5" s="1028"/>
      <c r="N5" s="1028"/>
      <c r="O5" s="1028"/>
    </row>
    <row r="6" spans="1:18" ht="19.5" customHeight="1">
      <c r="A6" s="355"/>
      <c r="B6" s="355"/>
      <c r="C6" s="355"/>
      <c r="D6" s="355"/>
      <c r="E6" s="355"/>
      <c r="F6" s="355"/>
      <c r="G6" s="345" t="s">
        <v>660</v>
      </c>
      <c r="H6" s="357" t="str">
        <f>IF(VLOOKUP(G6,Quynam,4,0)="","",VLOOKUP(G6,Quynam,4,0))</f>
        <v/>
      </c>
      <c r="I6" s="355"/>
      <c r="J6" s="355"/>
      <c r="K6" s="355"/>
      <c r="L6" s="355"/>
      <c r="M6" s="355"/>
      <c r="N6" s="355"/>
      <c r="O6" s="355"/>
    </row>
    <row r="7" spans="1:18" ht="15" customHeight="1">
      <c r="A7" s="351"/>
      <c r="B7" s="351"/>
      <c r="C7" s="351"/>
      <c r="D7" s="411"/>
      <c r="E7" s="411"/>
      <c r="F7" s="411"/>
      <c r="G7" s="351"/>
      <c r="H7" s="351"/>
      <c r="I7" s="351"/>
      <c r="J7" s="351"/>
      <c r="K7" s="351"/>
      <c r="L7" s="1029" t="s">
        <v>463</v>
      </c>
      <c r="M7" s="1029"/>
      <c r="N7" s="1029"/>
      <c r="O7" s="351"/>
    </row>
    <row r="8" spans="1:18">
      <c r="A8" s="1048" t="s">
        <v>464</v>
      </c>
      <c r="B8" s="1048" t="s">
        <v>465</v>
      </c>
      <c r="C8" s="1038" t="s">
        <v>337</v>
      </c>
      <c r="D8" s="1038" t="s">
        <v>466</v>
      </c>
      <c r="E8" s="1038" t="s">
        <v>467</v>
      </c>
      <c r="F8" s="1036" t="s">
        <v>468</v>
      </c>
      <c r="G8" s="1037"/>
      <c r="H8" s="1038" t="s">
        <v>469</v>
      </c>
      <c r="I8" s="1036" t="s">
        <v>470</v>
      </c>
      <c r="J8" s="1037"/>
      <c r="K8" s="1041" t="s">
        <v>471</v>
      </c>
      <c r="L8" s="1041"/>
      <c r="M8" s="1038" t="s">
        <v>472</v>
      </c>
      <c r="N8" s="1038" t="s">
        <v>473</v>
      </c>
      <c r="O8" s="1030" t="s">
        <v>474</v>
      </c>
    </row>
    <row r="9" spans="1:18">
      <c r="A9" s="1049"/>
      <c r="B9" s="1049" t="s">
        <v>475</v>
      </c>
      <c r="C9" s="1051" t="s">
        <v>476</v>
      </c>
      <c r="D9" s="1039" t="s">
        <v>477</v>
      </c>
      <c r="E9" s="1039"/>
      <c r="F9" s="1033" t="s">
        <v>478</v>
      </c>
      <c r="G9" s="1033" t="s">
        <v>479</v>
      </c>
      <c r="H9" s="1039"/>
      <c r="I9" s="1033" t="s">
        <v>478</v>
      </c>
      <c r="J9" s="1033" t="s">
        <v>480</v>
      </c>
      <c r="K9" s="1033" t="s">
        <v>478</v>
      </c>
      <c r="L9" s="1033" t="s">
        <v>480</v>
      </c>
      <c r="M9" s="1039"/>
      <c r="N9" s="1039"/>
      <c r="O9" s="1031"/>
    </row>
    <row r="10" spans="1:18" ht="27.75" customHeight="1">
      <c r="A10" s="1050"/>
      <c r="B10" s="1050" t="s">
        <v>481</v>
      </c>
      <c r="C10" s="1035" t="s">
        <v>482</v>
      </c>
      <c r="D10" s="1040" t="s">
        <v>483</v>
      </c>
      <c r="E10" s="1040"/>
      <c r="F10" s="1034"/>
      <c r="G10" s="1035"/>
      <c r="H10" s="1040"/>
      <c r="I10" s="1035"/>
      <c r="J10" s="1035"/>
      <c r="K10" s="1035"/>
      <c r="L10" s="1035"/>
      <c r="M10" s="1040"/>
      <c r="N10" s="1040"/>
      <c r="O10" s="1032"/>
    </row>
    <row r="11" spans="1:18" s="366" customFormat="1" ht="19.5">
      <c r="A11" s="420" t="s">
        <v>12</v>
      </c>
      <c r="B11" s="420" t="s">
        <v>20</v>
      </c>
      <c r="C11" s="420" t="s">
        <v>21</v>
      </c>
      <c r="D11" s="421">
        <v>1</v>
      </c>
      <c r="E11" s="421">
        <v>2</v>
      </c>
      <c r="F11" s="421">
        <v>3</v>
      </c>
      <c r="G11" s="420">
        <v>4</v>
      </c>
      <c r="H11" s="420" t="s">
        <v>484</v>
      </c>
      <c r="I11" s="420">
        <v>6</v>
      </c>
      <c r="J11" s="420">
        <v>7</v>
      </c>
      <c r="K11" s="420">
        <v>8</v>
      </c>
      <c r="L11" s="420">
        <v>9</v>
      </c>
      <c r="M11" s="420">
        <v>10</v>
      </c>
      <c r="N11" s="420" t="s">
        <v>485</v>
      </c>
      <c r="O11" s="422"/>
      <c r="P11" s="350"/>
      <c r="Q11" s="350"/>
      <c r="R11" s="350"/>
    </row>
    <row r="12" spans="1:18" ht="17.25" customHeight="1">
      <c r="A12" s="674">
        <v>12</v>
      </c>
      <c r="B12" s="675">
        <v>102</v>
      </c>
      <c r="C12" s="676"/>
      <c r="D12" s="677"/>
      <c r="E12" s="677">
        <f>G12</f>
        <v>202000</v>
      </c>
      <c r="F12" s="677">
        <f>VLOOKUP(B12,Nguon102,3,0)</f>
        <v>202000</v>
      </c>
      <c r="G12" s="677">
        <f>VLOOKUP(B12,Nguon102,4,0)</f>
        <v>202000</v>
      </c>
      <c r="H12" s="677">
        <f>D12+G12</f>
        <v>202000</v>
      </c>
      <c r="I12" s="677">
        <f>SUMIFS(GTNDKT,DSM1K,M1K,MUC,B12)</f>
        <v>0</v>
      </c>
      <c r="J12" s="677">
        <f>SUMIFS(GTNDKT,DSM1L,M1L,MUC,B12)</f>
        <v>0</v>
      </c>
      <c r="K12" s="677"/>
      <c r="L12" s="677"/>
      <c r="M12" s="677"/>
      <c r="N12" s="677">
        <f>H12-J12-L12</f>
        <v>202000</v>
      </c>
      <c r="O12" s="677"/>
    </row>
    <row r="13" spans="1:18" ht="17.25" customHeight="1">
      <c r="A13" s="678">
        <v>12</v>
      </c>
      <c r="B13" s="679">
        <v>194</v>
      </c>
      <c r="C13" s="680"/>
      <c r="D13" s="429"/>
      <c r="E13" s="429">
        <f t="shared" ref="E13:E16" si="0">G13</f>
        <v>155000</v>
      </c>
      <c r="F13" s="429">
        <f>VLOOKUP(B13,Nguon194,3,0)</f>
        <v>155000</v>
      </c>
      <c r="G13" s="429">
        <f>VLOOKUP(B13,Nguon194,4,0)</f>
        <v>155000</v>
      </c>
      <c r="H13" s="429">
        <f>D13+G13</f>
        <v>155000</v>
      </c>
      <c r="I13" s="429">
        <f>SUMIFS(GTNDKT,DSM1K,M1K,MUC,B13)</f>
        <v>0</v>
      </c>
      <c r="J13" s="429">
        <f>SUMIFS(GTNDKT,DSM1L,M1L,MUC,B13)</f>
        <v>0</v>
      </c>
      <c r="K13" s="681"/>
      <c r="L13" s="681"/>
      <c r="M13" s="681"/>
      <c r="N13" s="429">
        <f t="shared" ref="N13:N16" si="1">H13-J13-L13</f>
        <v>155000</v>
      </c>
      <c r="O13" s="429"/>
    </row>
    <row r="14" spans="1:18" ht="17.25" customHeight="1">
      <c r="A14" s="678">
        <v>12</v>
      </c>
      <c r="B14" s="679">
        <v>223</v>
      </c>
      <c r="C14" s="423"/>
      <c r="D14" s="424"/>
      <c r="E14" s="429">
        <f t="shared" si="0"/>
        <v>11194000</v>
      </c>
      <c r="F14" s="429">
        <f>VLOOKUP(B14,Nguon223,3,0)</f>
        <v>11194000</v>
      </c>
      <c r="G14" s="429">
        <f>VLOOKUP(B14,Nguon223,4,0)</f>
        <v>11194000</v>
      </c>
      <c r="H14" s="429">
        <f t="shared" ref="H14:H16" si="2">D14+G14</f>
        <v>11194000</v>
      </c>
      <c r="I14" s="429">
        <f>SUMIFS(GTNDKT,DSM1K,M1K,MUC,B14)</f>
        <v>5179755</v>
      </c>
      <c r="J14" s="429">
        <f>SUMIFS(GTNDKT,DSM1L,M1L,MUC,B14)</f>
        <v>5179755</v>
      </c>
      <c r="K14" s="425"/>
      <c r="L14" s="425"/>
      <c r="M14" s="425"/>
      <c r="N14" s="429">
        <f t="shared" si="1"/>
        <v>6014245</v>
      </c>
      <c r="O14" s="429"/>
    </row>
    <row r="15" spans="1:18" ht="17.25" customHeight="1">
      <c r="A15" s="678">
        <v>12</v>
      </c>
      <c r="B15" s="679">
        <v>373</v>
      </c>
      <c r="C15" s="680"/>
      <c r="D15" s="429"/>
      <c r="E15" s="429">
        <f t="shared" si="0"/>
        <v>0</v>
      </c>
      <c r="F15" s="429">
        <f>VLOOKUP(B15,Nguon373,3,0)</f>
        <v>0</v>
      </c>
      <c r="G15" s="429">
        <f>VLOOKUP(B15,Nguon373,4,0)</f>
        <v>0</v>
      </c>
      <c r="H15" s="429">
        <f t="shared" si="2"/>
        <v>0</v>
      </c>
      <c r="I15" s="429">
        <f>SUMIFS(GTNDKT,DSM1K,M1K,MUC,B15)</f>
        <v>0</v>
      </c>
      <c r="J15" s="429">
        <f>SUMIFS(GTNDKT,DSM1L,M1L,MUC,B15)</f>
        <v>0</v>
      </c>
      <c r="K15" s="681"/>
      <c r="L15" s="681"/>
      <c r="M15" s="681"/>
      <c r="N15" s="429">
        <f t="shared" si="1"/>
        <v>0</v>
      </c>
      <c r="O15" s="429"/>
    </row>
    <row r="16" spans="1:18" ht="17.25" customHeight="1">
      <c r="A16" s="426">
        <v>12</v>
      </c>
      <c r="B16" s="427">
        <v>432</v>
      </c>
      <c r="C16" s="428"/>
      <c r="D16" s="429"/>
      <c r="E16" s="429">
        <f t="shared" si="0"/>
        <v>0</v>
      </c>
      <c r="F16" s="429">
        <f>VLOOKUP(B16,Nguon432,3,0)</f>
        <v>0</v>
      </c>
      <c r="G16" s="429">
        <f>VLOOKUP(B16,Nguon432,4,0)</f>
        <v>0</v>
      </c>
      <c r="H16" s="429">
        <f t="shared" si="2"/>
        <v>0</v>
      </c>
      <c r="I16" s="429">
        <f>SUMIFS(GTNDKT,DSM1K,M1K,MUC,B16)</f>
        <v>0</v>
      </c>
      <c r="J16" s="429">
        <f>SUMIFS(GTNDKT,DSM1L,M1L,MUC,B16)</f>
        <v>0</v>
      </c>
      <c r="K16" s="425"/>
      <c r="L16" s="425"/>
      <c r="M16" s="425"/>
      <c r="N16" s="429">
        <f t="shared" si="1"/>
        <v>0</v>
      </c>
      <c r="O16" s="429"/>
    </row>
    <row r="17" spans="1:15" ht="15.75" customHeight="1">
      <c r="A17" s="430"/>
      <c r="B17" s="430"/>
      <c r="C17" s="431"/>
      <c r="D17" s="432"/>
      <c r="E17" s="432"/>
      <c r="F17" s="432"/>
      <c r="G17" s="432"/>
      <c r="H17" s="432"/>
      <c r="I17" s="432"/>
      <c r="J17" s="432"/>
      <c r="K17" s="432"/>
      <c r="L17" s="432"/>
      <c r="M17" s="432"/>
      <c r="N17" s="432"/>
      <c r="O17" s="432"/>
    </row>
    <row r="18" spans="1:15">
      <c r="A18" s="1043" t="s">
        <v>486</v>
      </c>
      <c r="B18" s="1044"/>
      <c r="C18" s="1045"/>
      <c r="D18" s="433"/>
      <c r="E18" s="434">
        <f t="shared" ref="E18:N18" si="3">SUM(E12:E17)</f>
        <v>11551000</v>
      </c>
      <c r="F18" s="434">
        <f t="shared" si="3"/>
        <v>11551000</v>
      </c>
      <c r="G18" s="434">
        <f t="shared" si="3"/>
        <v>11551000</v>
      </c>
      <c r="H18" s="434">
        <f t="shared" si="3"/>
        <v>11551000</v>
      </c>
      <c r="I18" s="434">
        <f t="shared" si="3"/>
        <v>5179755</v>
      </c>
      <c r="J18" s="434">
        <f t="shared" si="3"/>
        <v>5179755</v>
      </c>
      <c r="K18" s="434">
        <f t="shared" si="3"/>
        <v>0</v>
      </c>
      <c r="L18" s="434">
        <f t="shared" si="3"/>
        <v>0</v>
      </c>
      <c r="M18" s="434">
        <f t="shared" si="3"/>
        <v>0</v>
      </c>
      <c r="N18" s="434">
        <f t="shared" si="3"/>
        <v>6371245</v>
      </c>
      <c r="O18" s="433"/>
    </row>
    <row r="19" spans="1:15">
      <c r="A19" s="435" t="s">
        <v>487</v>
      </c>
      <c r="B19" s="436"/>
      <c r="C19" s="436"/>
      <c r="D19" s="436"/>
      <c r="E19" s="436"/>
      <c r="F19" s="436"/>
      <c r="G19" s="436"/>
      <c r="H19" s="436"/>
      <c r="I19" s="436"/>
      <c r="J19" s="436"/>
      <c r="K19" s="436"/>
      <c r="L19" s="436"/>
      <c r="M19" s="436"/>
      <c r="N19" s="437"/>
      <c r="O19" s="433"/>
    </row>
    <row r="20" spans="1:15">
      <c r="A20" s="438"/>
      <c r="B20" s="438"/>
      <c r="C20" s="439"/>
      <c r="D20" s="440"/>
      <c r="E20" s="440"/>
      <c r="F20" s="440"/>
      <c r="G20" s="440"/>
      <c r="H20" s="440"/>
      <c r="I20" s="440"/>
      <c r="J20" s="440"/>
      <c r="K20" s="441"/>
      <c r="L20" s="441"/>
      <c r="M20" s="441"/>
      <c r="N20" s="440"/>
      <c r="O20" s="424"/>
    </row>
    <row r="21" spans="1:15">
      <c r="A21" s="442"/>
      <c r="B21" s="442"/>
      <c r="C21" s="423"/>
      <c r="D21" s="424"/>
      <c r="E21" s="424"/>
      <c r="F21" s="424"/>
      <c r="G21" s="424"/>
      <c r="H21" s="424"/>
      <c r="I21" s="424"/>
      <c r="J21" s="424"/>
      <c r="K21" s="443"/>
      <c r="L21" s="443"/>
      <c r="M21" s="443"/>
      <c r="N21" s="424"/>
      <c r="O21" s="424"/>
    </row>
    <row r="22" spans="1:15">
      <c r="A22" s="442"/>
      <c r="B22" s="442"/>
      <c r="C22" s="423"/>
      <c r="D22" s="424"/>
      <c r="E22" s="424"/>
      <c r="F22" s="424"/>
      <c r="G22" s="424"/>
      <c r="H22" s="424"/>
      <c r="I22" s="424"/>
      <c r="J22" s="424"/>
      <c r="K22" s="443"/>
      <c r="L22" s="443"/>
      <c r="M22" s="443"/>
      <c r="N22" s="424"/>
      <c r="O22" s="424"/>
    </row>
    <row r="23" spans="1:15">
      <c r="A23" s="444"/>
      <c r="B23" s="444"/>
      <c r="C23" s="444"/>
      <c r="D23" s="445"/>
      <c r="E23" s="445"/>
      <c r="F23" s="445"/>
      <c r="G23" s="445"/>
      <c r="H23" s="445"/>
      <c r="I23" s="445"/>
      <c r="J23" s="445"/>
      <c r="K23" s="445"/>
      <c r="L23" s="445"/>
      <c r="M23" s="445"/>
      <c r="N23" s="445"/>
      <c r="O23" s="424"/>
    </row>
    <row r="24" spans="1:15">
      <c r="A24" s="446"/>
      <c r="B24" s="446"/>
      <c r="C24" s="446"/>
      <c r="D24" s="447"/>
      <c r="E24" s="447"/>
      <c r="F24" s="447"/>
      <c r="G24" s="447"/>
      <c r="H24" s="447"/>
      <c r="I24" s="447"/>
      <c r="J24" s="447"/>
      <c r="K24" s="447"/>
      <c r="L24" s="447"/>
      <c r="M24" s="447"/>
      <c r="N24" s="447"/>
      <c r="O24" s="432"/>
    </row>
    <row r="25" spans="1:15">
      <c r="A25" s="1046" t="s">
        <v>488</v>
      </c>
      <c r="B25" s="1046"/>
      <c r="C25" s="1046"/>
      <c r="D25" s="1046"/>
      <c r="E25" s="1046"/>
      <c r="F25" s="1046"/>
      <c r="G25" s="1046"/>
      <c r="H25" s="1046"/>
      <c r="I25" s="1046"/>
      <c r="J25" s="1046"/>
      <c r="K25" s="1046"/>
      <c r="L25" s="1046"/>
      <c r="M25" s="1046"/>
      <c r="N25" s="1046"/>
      <c r="O25" s="448"/>
    </row>
    <row r="26" spans="1:15" ht="9" customHeight="1">
      <c r="A26" s="449"/>
      <c r="B26" s="449"/>
      <c r="C26" s="449"/>
      <c r="D26" s="449"/>
      <c r="E26" s="449"/>
      <c r="F26" s="449"/>
      <c r="G26" s="449"/>
      <c r="H26" s="449"/>
      <c r="I26" s="449"/>
      <c r="J26" s="449"/>
      <c r="K26" s="449"/>
      <c r="O26" s="448"/>
    </row>
    <row r="27" spans="1:15">
      <c r="A27" s="351"/>
      <c r="B27" s="1028" t="s">
        <v>489</v>
      </c>
      <c r="C27" s="1028"/>
      <c r="D27" s="1028"/>
      <c r="E27" s="1028"/>
      <c r="F27" s="1028"/>
      <c r="G27" s="351"/>
      <c r="I27" s="1028" t="s">
        <v>503</v>
      </c>
      <c r="J27" s="1028"/>
      <c r="K27" s="1028"/>
      <c r="L27" s="1028"/>
      <c r="M27" s="1028"/>
      <c r="N27" s="355"/>
      <c r="O27" s="406"/>
    </row>
    <row r="28" spans="1:15">
      <c r="A28" s="450"/>
      <c r="B28" s="1047" t="str">
        <f ca="1">"Ngày     tháng     năm  "&amp;YEAR(Menu!D4)</f>
        <v>Ngày     tháng     năm  2018</v>
      </c>
      <c r="C28" s="1047"/>
      <c r="D28" s="1047"/>
      <c r="E28" s="1047"/>
      <c r="F28" s="1047"/>
      <c r="G28" s="450"/>
      <c r="I28" s="1047" t="str">
        <f ca="1">"Ngày      tháng      năm "&amp;YEAR(Menu!D4)</f>
        <v>Ngày      tháng      năm 2018</v>
      </c>
      <c r="J28" s="1047"/>
      <c r="K28" s="1047"/>
      <c r="L28" s="1047"/>
      <c r="M28" s="1047"/>
      <c r="N28" s="407"/>
      <c r="O28" s="408"/>
    </row>
    <row r="29" spans="1:15">
      <c r="A29" s="347"/>
      <c r="B29" s="1028" t="s">
        <v>490</v>
      </c>
      <c r="C29" s="1028"/>
      <c r="E29" s="1042" t="s">
        <v>92</v>
      </c>
      <c r="F29" s="1042"/>
      <c r="G29" s="451"/>
      <c r="H29" s="451"/>
      <c r="I29" s="1028" t="s">
        <v>92</v>
      </c>
      <c r="J29" s="1028"/>
      <c r="L29" s="1028" t="s">
        <v>93</v>
      </c>
      <c r="M29" s="1028"/>
      <c r="N29" s="347"/>
      <c r="O29" s="355"/>
    </row>
    <row r="30" spans="1:15">
      <c r="A30" s="351"/>
      <c r="B30" s="351"/>
      <c r="C30" s="351" t="s">
        <v>491</v>
      </c>
      <c r="D30" s="411"/>
      <c r="E30" s="411"/>
      <c r="F30" s="411"/>
      <c r="G30" s="351"/>
      <c r="H30" s="351"/>
      <c r="I30" s="351"/>
      <c r="J30" s="351"/>
      <c r="L30" s="351"/>
      <c r="M30" s="351"/>
      <c r="N30" s="351"/>
      <c r="O30" s="351"/>
    </row>
    <row r="31" spans="1:15">
      <c r="A31" s="348"/>
      <c r="B31" s="348"/>
      <c r="C31" s="348"/>
      <c r="D31" s="361"/>
      <c r="E31" s="361"/>
      <c r="F31" s="361"/>
      <c r="G31" s="348"/>
      <c r="H31" s="348"/>
      <c r="I31" s="348"/>
      <c r="J31" s="348"/>
      <c r="L31" s="348"/>
      <c r="M31" s="348"/>
      <c r="N31" s="348"/>
      <c r="O31" s="348"/>
    </row>
    <row r="32" spans="1:15">
      <c r="A32" s="348"/>
      <c r="B32" s="348"/>
      <c r="C32" s="348"/>
      <c r="D32" s="361"/>
      <c r="E32" s="361"/>
      <c r="F32" s="361"/>
      <c r="G32" s="348"/>
      <c r="H32" s="348"/>
      <c r="I32" s="348"/>
      <c r="J32" s="348"/>
      <c r="L32" s="348"/>
      <c r="M32" s="348"/>
      <c r="N32" s="348"/>
      <c r="O32" s="348"/>
    </row>
    <row r="33" spans="1:15">
      <c r="A33" s="412"/>
      <c r="B33" s="348"/>
      <c r="C33" s="348"/>
      <c r="D33" s="348"/>
      <c r="E33" s="348"/>
      <c r="F33" s="348"/>
      <c r="G33" s="348"/>
      <c r="H33" s="361"/>
      <c r="I33" s="1052"/>
      <c r="J33" s="1052"/>
      <c r="L33" s="1052"/>
      <c r="M33" s="1052"/>
      <c r="N33" s="348"/>
      <c r="O33" s="348"/>
    </row>
  </sheetData>
  <sheetProtection formatCells="0" formatColumns="0" formatRows="0"/>
  <sortState ref="P14:P18">
    <sortCondition ref="P14"/>
  </sortState>
  <mergeCells count="35">
    <mergeCell ref="I3:N3"/>
    <mergeCell ref="I29:J29"/>
    <mergeCell ref="I33:J33"/>
    <mergeCell ref="L29:M29"/>
    <mergeCell ref="L33:M33"/>
    <mergeCell ref="B29:C29"/>
    <mergeCell ref="E29:F29"/>
    <mergeCell ref="N8:N10"/>
    <mergeCell ref="A18:C18"/>
    <mergeCell ref="A25:N25"/>
    <mergeCell ref="B27:F27"/>
    <mergeCell ref="B28:F28"/>
    <mergeCell ref="A8:A10"/>
    <mergeCell ref="B8:B10"/>
    <mergeCell ref="C8:C10"/>
    <mergeCell ref="D8:D10"/>
    <mergeCell ref="E8:E10"/>
    <mergeCell ref="I27:M27"/>
    <mergeCell ref="I28:M28"/>
    <mergeCell ref="I1:N1"/>
    <mergeCell ref="I2:N2"/>
    <mergeCell ref="A5:O5"/>
    <mergeCell ref="L7:N7"/>
    <mergeCell ref="O8:O10"/>
    <mergeCell ref="F9:F10"/>
    <mergeCell ref="G9:G10"/>
    <mergeCell ref="I9:I10"/>
    <mergeCell ref="J9:J10"/>
    <mergeCell ref="K9:K10"/>
    <mergeCell ref="L9:L10"/>
    <mergeCell ref="F8:G8"/>
    <mergeCell ref="H8:H10"/>
    <mergeCell ref="I8:J8"/>
    <mergeCell ref="K8:L8"/>
    <mergeCell ref="M8:M10"/>
  </mergeCells>
  <dataValidations count="1">
    <dataValidation type="list" allowBlank="1" showInputMessage="1" showErrorMessage="1" sqref="G6">
      <formula1>QUY</formula1>
    </dataValidation>
  </dataValidations>
  <pageMargins left="0.23622047244094491" right="0.15748031496062992" top="0.51181102362204722" bottom="0.27559055118110237" header="0.31496062992125984" footer="0.19685039370078741"/>
  <pageSetup paperSize="9" scale="90" orientation="landscape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ng_tính2">
    <pageSetUpPr fitToPage="1"/>
  </sheetPr>
  <dimension ref="A1:O86"/>
  <sheetViews>
    <sheetView topLeftCell="A76" workbookViewId="0">
      <selection activeCell="A82" sqref="A82:XFD88"/>
    </sheetView>
  </sheetViews>
  <sheetFormatPr defaultRowHeight="18.75"/>
  <cols>
    <col min="1" max="1" width="31.42578125" style="350" customWidth="1"/>
    <col min="2" max="2" width="7.7109375" style="350" customWidth="1"/>
    <col min="3" max="3" width="7.28515625" style="350" customWidth="1"/>
    <col min="4" max="4" width="7.5703125" style="350" customWidth="1"/>
    <col min="5" max="5" width="11.7109375" style="350" customWidth="1"/>
    <col min="6" max="7" width="10.85546875" style="350" customWidth="1"/>
    <col min="8" max="8" width="14.28515625" style="350" customWidth="1"/>
    <col min="9" max="10" width="14.85546875" style="350" customWidth="1"/>
    <col min="11" max="11" width="15.85546875" style="350" customWidth="1"/>
    <col min="12" max="12" width="12.7109375" style="350" customWidth="1"/>
    <col min="13" max="13" width="9.140625" style="350" hidden="1" customWidth="1"/>
    <col min="14" max="16384" width="9.140625" style="350"/>
  </cols>
  <sheetData>
    <row r="1" spans="1:13" ht="17.25" customHeight="1">
      <c r="A1" s="346" t="s">
        <v>504</v>
      </c>
      <c r="B1" s="347"/>
      <c r="C1" s="348"/>
      <c r="D1" s="348"/>
      <c r="E1" s="349">
        <f>VLOOKUP(E6,Quynam,2,0)</f>
        <v>42917</v>
      </c>
      <c r="F1" s="349">
        <f>VLOOKUP(E6,Quynam,3,0)</f>
        <v>43008</v>
      </c>
      <c r="G1" s="348"/>
      <c r="H1" s="1053" t="s">
        <v>617</v>
      </c>
      <c r="I1" s="1053"/>
      <c r="J1" s="1053"/>
      <c r="K1" s="1053"/>
    </row>
    <row r="2" spans="1:13" ht="17.25" customHeight="1">
      <c r="A2" s="1056" t="s">
        <v>615</v>
      </c>
      <c r="B2" s="1056"/>
      <c r="C2" s="1056"/>
      <c r="D2" s="1056"/>
      <c r="E2" s="351"/>
      <c r="F2" s="352" t="s">
        <v>492</v>
      </c>
      <c r="H2" s="1058" t="s">
        <v>618</v>
      </c>
      <c r="I2" s="1058"/>
      <c r="J2" s="1058"/>
      <c r="K2" s="1058"/>
    </row>
    <row r="3" spans="1:13" ht="17.25" customHeight="1">
      <c r="A3" s="1056" t="s">
        <v>616</v>
      </c>
      <c r="B3" s="1056"/>
      <c r="C3" s="351"/>
      <c r="D3" s="351"/>
      <c r="E3" s="351"/>
      <c r="F3" s="353"/>
      <c r="G3" s="353"/>
      <c r="H3" s="1058" t="s">
        <v>619</v>
      </c>
      <c r="I3" s="1058"/>
      <c r="J3" s="1058"/>
      <c r="K3" s="1058"/>
    </row>
    <row r="4" spans="1:13" ht="17.25" customHeight="1">
      <c r="A4" s="354" t="s">
        <v>350</v>
      </c>
      <c r="B4" s="355"/>
      <c r="C4" s="356"/>
      <c r="D4" s="356"/>
      <c r="E4" s="356"/>
      <c r="F4" s="1057"/>
      <c r="G4" s="1057"/>
      <c r="H4" s="1057"/>
      <c r="I4" s="1057"/>
      <c r="J4" s="1057"/>
      <c r="K4" s="1057"/>
    </row>
    <row r="5" spans="1:13">
      <c r="A5" s="1028" t="s">
        <v>493</v>
      </c>
      <c r="B5" s="1028"/>
      <c r="C5" s="1028"/>
      <c r="D5" s="1028"/>
      <c r="E5" s="1028"/>
      <c r="F5" s="1028"/>
      <c r="G5" s="1028"/>
      <c r="H5" s="1028"/>
      <c r="I5" s="1028"/>
      <c r="J5" s="1028"/>
      <c r="K5" s="1028"/>
    </row>
    <row r="6" spans="1:13">
      <c r="A6" s="355"/>
      <c r="B6" s="355"/>
      <c r="C6" s="355"/>
      <c r="D6" s="355"/>
      <c r="E6" s="542" t="s">
        <v>510</v>
      </c>
      <c r="F6" s="543" t="str">
        <f>IF(VLOOKUP(E6,Quynam,4,0)="","",VLOOKUP(E6,Quynam,4,0))</f>
        <v>Năm 2017</v>
      </c>
      <c r="G6" s="355"/>
      <c r="H6" s="355"/>
      <c r="I6" s="355"/>
      <c r="J6" s="355"/>
      <c r="K6" s="355"/>
    </row>
    <row r="7" spans="1:13" ht="9.75" customHeight="1">
      <c r="A7" s="346"/>
      <c r="B7" s="358"/>
      <c r="C7" s="358"/>
      <c r="D7" s="358"/>
      <c r="E7" s="358"/>
      <c r="F7" s="359"/>
      <c r="G7" s="360"/>
      <c r="H7" s="360"/>
      <c r="I7" s="360"/>
      <c r="J7" s="361"/>
      <c r="K7" s="361"/>
    </row>
    <row r="8" spans="1:13" s="362" customFormat="1" ht="15">
      <c r="A8" s="1048" t="s">
        <v>2</v>
      </c>
      <c r="B8" s="1061" t="s">
        <v>494</v>
      </c>
      <c r="C8" s="1062"/>
      <c r="D8" s="1062"/>
      <c r="E8" s="1063"/>
      <c r="F8" s="1064" t="s">
        <v>114</v>
      </c>
      <c r="G8" s="1065"/>
      <c r="H8" s="1064" t="s">
        <v>495</v>
      </c>
      <c r="I8" s="1065"/>
      <c r="J8" s="1064" t="s">
        <v>496</v>
      </c>
      <c r="K8" s="1065"/>
    </row>
    <row r="9" spans="1:13" s="362" customFormat="1" ht="18.75" customHeight="1">
      <c r="A9" s="1059"/>
      <c r="B9" s="1054" t="s">
        <v>464</v>
      </c>
      <c r="C9" s="1054" t="s">
        <v>453</v>
      </c>
      <c r="D9" s="1054" t="s">
        <v>124</v>
      </c>
      <c r="E9" s="1054" t="s">
        <v>497</v>
      </c>
      <c r="F9" s="1054" t="s">
        <v>498</v>
      </c>
      <c r="G9" s="1054" t="s">
        <v>480</v>
      </c>
      <c r="H9" s="1054" t="s">
        <v>498</v>
      </c>
      <c r="I9" s="1054" t="s">
        <v>480</v>
      </c>
      <c r="J9" s="1054" t="s">
        <v>498</v>
      </c>
      <c r="K9" s="1054" t="s">
        <v>480</v>
      </c>
    </row>
    <row r="10" spans="1:13" s="362" customFormat="1" ht="26.25" customHeight="1">
      <c r="A10" s="1060"/>
      <c r="B10" s="1055"/>
      <c r="C10" s="1055"/>
      <c r="D10" s="1055"/>
      <c r="E10" s="1055"/>
      <c r="F10" s="1055"/>
      <c r="G10" s="1055"/>
      <c r="H10" s="1055"/>
      <c r="I10" s="1055"/>
      <c r="J10" s="1055"/>
      <c r="K10" s="1055"/>
    </row>
    <row r="11" spans="1:13" s="366" customFormat="1" ht="16.5" customHeight="1">
      <c r="A11" s="363" t="s">
        <v>12</v>
      </c>
      <c r="B11" s="363" t="s">
        <v>20</v>
      </c>
      <c r="C11" s="363" t="s">
        <v>21</v>
      </c>
      <c r="D11" s="363" t="s">
        <v>22</v>
      </c>
      <c r="E11" s="363" t="s">
        <v>28</v>
      </c>
      <c r="F11" s="364">
        <v>1</v>
      </c>
      <c r="G11" s="364">
        <v>2</v>
      </c>
      <c r="H11" s="364">
        <v>3</v>
      </c>
      <c r="I11" s="364">
        <v>4</v>
      </c>
      <c r="J11" s="365" t="s">
        <v>499</v>
      </c>
      <c r="K11" s="365" t="s">
        <v>500</v>
      </c>
    </row>
    <row r="12" spans="1:13" ht="16.5" customHeight="1">
      <c r="A12" s="367" t="str">
        <f t="shared" ref="A12:A26" si="0">VLOOKUP(D12,MLNS,2,0)</f>
        <v>In, mua tài liệu</v>
      </c>
      <c r="B12" s="368">
        <v>12</v>
      </c>
      <c r="C12" s="368">
        <v>102</v>
      </c>
      <c r="D12" s="369">
        <v>6651</v>
      </c>
      <c r="E12" s="370"/>
      <c r="F12" s="371"/>
      <c r="G12" s="371"/>
      <c r="H12" s="372">
        <f>SUM(SUMIFS(GTNDKT1,DSM2K,M2K,MUC,$C12,MaNDKT1,$D12),SUMIFS(GTNDKT2,DSM2K,M2K,MUC,$C12,MaNDKT2,$D12),SUMIFS(GTNDKT3,DSM2K,M2K,MUC,$C12,MaNDKT3,$D12),SUMIFS(GTNDKT4,DSM2K,M2K,MUC,$C12,MaNDKT4,$D12),SUMIFS(GTNDKT5,DSM2K,M2K,MUC,$C12,MaNDKT5,$D12),SUMIFS(GTNDKT6,DSM2K,M2K,MUC,$C12,MaNDKT6,$D12),SUMIFS(GTNDKT7,DSM2K,M2K,MUC,$C12,MaNDKT7,$D12))</f>
        <v>0</v>
      </c>
      <c r="I12" s="372">
        <f t="shared" ref="I12:I26" si="1">SUM(SUMIFS(GTNDKT1,DSM2L,M2L,MUC,$C12,MaNDKT1,$D12),SUMIFS(GTNDKT2,DSM2L,M2L,MUC,$C12,MaNDKT2,$D12),SUMIFS(GTNDKT3,DSM2L,M2L,MUC,$C12,MaNDKT3,$D12),SUMIFS(GTNDKT4,DSM2L,M2L,MUC,$C12,MaNDKT4,$D12),SUMIFS(GTNDKT5,DSM2L,M2L,MUC,$C12,MaNDKT5,$D12),SUMIFS(GTNDKT6,DSM2L,M2L,MUC,$C12,MaNDKT6,$D12),SUMIFS(GTNDKT7,DSM2L,M2L,MUC,$C12,MaNDKT7,$D12))</f>
        <v>0</v>
      </c>
      <c r="J12" s="372">
        <f>F12+H12</f>
        <v>0</v>
      </c>
      <c r="K12" s="372">
        <f>G12+I12</f>
        <v>0</v>
      </c>
      <c r="M12" s="448">
        <f>SUM(F12:K12)</f>
        <v>0</v>
      </c>
    </row>
    <row r="13" spans="1:13" ht="16.5" customHeight="1">
      <c r="A13" s="367" t="str">
        <f t="shared" si="0"/>
        <v>Bồi dưỡng giảng viên, báo cáo viên</v>
      </c>
      <c r="B13" s="368">
        <v>12</v>
      </c>
      <c r="C13" s="368">
        <v>102</v>
      </c>
      <c r="D13" s="369">
        <v>6652</v>
      </c>
      <c r="E13" s="370"/>
      <c r="F13" s="371"/>
      <c r="G13" s="371"/>
      <c r="H13" s="372">
        <f t="shared" ref="H13:H26" si="2">SUM(SUMIFS(GTNDKT1,DSM2K,M2K,MUC,$C13,MaNDKT1,$D13),SUMIFS(GTNDKT2,DSM2K,M2K,MUC,$C13,MaNDKT2,$D13),SUMIFS(GTNDKT3,DSM2K,M2K,MUC,$C13,MaNDKT3,$D13),SUMIFS(GTNDKT4,DSM2K,M2K,MUC,$C13,MaNDKT4,$D13),SUMIFS(GTNDKT5,DSM2K,M2K,MUC,$C13,MaNDKT5,$D13),SUMIFS(GTNDKT6,DSM2K,M2K,MUC,$C13,MaNDKT6,$D13),SUMIFS(GTNDKT7,DSM2K,M2K,MUC,$C13,MaNDKT7,$D13))</f>
        <v>0</v>
      </c>
      <c r="I13" s="372">
        <f t="shared" si="1"/>
        <v>0</v>
      </c>
      <c r="J13" s="372">
        <f t="shared" ref="J13" si="3">F13+H13</f>
        <v>0</v>
      </c>
      <c r="K13" s="372">
        <f t="shared" ref="K13" si="4">G13+I13</f>
        <v>0</v>
      </c>
      <c r="M13" s="448">
        <f t="shared" ref="M13:M75" si="5">SUM(F13:K13)</f>
        <v>0</v>
      </c>
    </row>
    <row r="14" spans="1:13" ht="30">
      <c r="A14" s="367" t="str">
        <f t="shared" si="0"/>
        <v>Thuê hội trường, phương tiện vận chuyển</v>
      </c>
      <c r="B14" s="368">
        <v>12</v>
      </c>
      <c r="C14" s="368">
        <v>102</v>
      </c>
      <c r="D14" s="369">
        <v>6655</v>
      </c>
      <c r="E14" s="370"/>
      <c r="F14" s="371"/>
      <c r="G14" s="371"/>
      <c r="H14" s="372">
        <f t="shared" si="2"/>
        <v>0</v>
      </c>
      <c r="I14" s="372">
        <f t="shared" si="1"/>
        <v>0</v>
      </c>
      <c r="J14" s="372">
        <f t="shared" ref="J14:J16" si="6">F14+H14</f>
        <v>0</v>
      </c>
      <c r="K14" s="372">
        <f t="shared" ref="K14:K16" si="7">G14+I14</f>
        <v>0</v>
      </c>
      <c r="M14" s="448">
        <f t="shared" si="5"/>
        <v>0</v>
      </c>
    </row>
    <row r="15" spans="1:13" ht="15" hidden="1" customHeight="1">
      <c r="A15" s="367" t="str">
        <f t="shared" si="0"/>
        <v>Chi bù tiền ăn</v>
      </c>
      <c r="B15" s="368">
        <v>12</v>
      </c>
      <c r="C15" s="368">
        <v>102</v>
      </c>
      <c r="D15" s="369">
        <v>6658</v>
      </c>
      <c r="E15" s="370"/>
      <c r="F15" s="371"/>
      <c r="G15" s="371"/>
      <c r="H15" s="372">
        <f t="shared" si="2"/>
        <v>0</v>
      </c>
      <c r="I15" s="372">
        <f t="shared" si="1"/>
        <v>0</v>
      </c>
      <c r="J15" s="372">
        <f t="shared" si="6"/>
        <v>0</v>
      </c>
      <c r="K15" s="372">
        <f t="shared" si="7"/>
        <v>0</v>
      </c>
      <c r="M15" s="448">
        <f t="shared" si="5"/>
        <v>0</v>
      </c>
    </row>
    <row r="16" spans="1:13" ht="15.75" customHeight="1">
      <c r="A16" s="367" t="str">
        <f t="shared" si="0"/>
        <v>Chi phí khác Hội nghị</v>
      </c>
      <c r="B16" s="368">
        <v>12</v>
      </c>
      <c r="C16" s="368">
        <v>102</v>
      </c>
      <c r="D16" s="369">
        <v>6699</v>
      </c>
      <c r="E16" s="370"/>
      <c r="F16" s="371"/>
      <c r="G16" s="371"/>
      <c r="H16" s="372">
        <f t="shared" si="2"/>
        <v>0</v>
      </c>
      <c r="I16" s="372">
        <f t="shared" si="1"/>
        <v>0</v>
      </c>
      <c r="J16" s="372">
        <f t="shared" si="6"/>
        <v>0</v>
      </c>
      <c r="K16" s="372">
        <f t="shared" si="7"/>
        <v>0</v>
      </c>
      <c r="M16" s="448">
        <f t="shared" si="5"/>
        <v>0</v>
      </c>
    </row>
    <row r="17" spans="1:13" ht="16.5" hidden="1" customHeight="1">
      <c r="A17" s="367" t="str">
        <f t="shared" si="0"/>
        <v>Phụ cấp công tác phí</v>
      </c>
      <c r="B17" s="368">
        <v>12</v>
      </c>
      <c r="C17" s="368">
        <v>102</v>
      </c>
      <c r="D17" s="369">
        <v>6702</v>
      </c>
      <c r="E17" s="370"/>
      <c r="F17" s="371"/>
      <c r="G17" s="371"/>
      <c r="H17" s="372">
        <f t="shared" si="2"/>
        <v>0</v>
      </c>
      <c r="I17" s="372">
        <f t="shared" si="1"/>
        <v>0</v>
      </c>
      <c r="J17" s="372">
        <f t="shared" ref="J17:J26" si="8">F17+H17</f>
        <v>0</v>
      </c>
      <c r="K17" s="372">
        <f t="shared" ref="K17:K26" si="9">G17+I17</f>
        <v>0</v>
      </c>
      <c r="M17" s="448">
        <f t="shared" si="5"/>
        <v>0</v>
      </c>
    </row>
    <row r="18" spans="1:13" ht="16.5" hidden="1" customHeight="1">
      <c r="A18" s="367" t="str">
        <f t="shared" si="0"/>
        <v>Tiền thuê phòng ngủ</v>
      </c>
      <c r="B18" s="368">
        <v>12</v>
      </c>
      <c r="C18" s="368">
        <v>102</v>
      </c>
      <c r="D18" s="369">
        <v>6703</v>
      </c>
      <c r="E18" s="370"/>
      <c r="F18" s="371"/>
      <c r="G18" s="371"/>
      <c r="H18" s="372">
        <f t="shared" si="2"/>
        <v>0</v>
      </c>
      <c r="I18" s="372">
        <f t="shared" si="1"/>
        <v>0</v>
      </c>
      <c r="J18" s="372">
        <f t="shared" si="8"/>
        <v>0</v>
      </c>
      <c r="K18" s="372">
        <f t="shared" si="9"/>
        <v>0</v>
      </c>
      <c r="M18" s="448">
        <f t="shared" si="5"/>
        <v>0</v>
      </c>
    </row>
    <row r="19" spans="1:13" ht="16.5" hidden="1" customHeight="1">
      <c r="A19" s="367" t="str">
        <f t="shared" si="0"/>
        <v>Chi công tác phí Khác</v>
      </c>
      <c r="B19" s="368">
        <v>12</v>
      </c>
      <c r="C19" s="368">
        <v>102</v>
      </c>
      <c r="D19" s="369">
        <v>6749</v>
      </c>
      <c r="E19" s="370"/>
      <c r="F19" s="371"/>
      <c r="G19" s="371"/>
      <c r="H19" s="372">
        <f t="shared" si="2"/>
        <v>0</v>
      </c>
      <c r="I19" s="372">
        <f t="shared" si="1"/>
        <v>0</v>
      </c>
      <c r="J19" s="372">
        <f t="shared" si="8"/>
        <v>0</v>
      </c>
      <c r="K19" s="372">
        <f t="shared" si="9"/>
        <v>0</v>
      </c>
      <c r="M19" s="448">
        <f t="shared" si="5"/>
        <v>0</v>
      </c>
    </row>
    <row r="20" spans="1:13" ht="32.25" hidden="1" customHeight="1">
      <c r="A20" s="367" t="str">
        <f t="shared" si="0"/>
        <v>Chi mua, in ấn, phô tô tài liệu chỉ dùng cho chuyên môn của ngành</v>
      </c>
      <c r="B20" s="368">
        <v>12</v>
      </c>
      <c r="C20" s="368">
        <v>102</v>
      </c>
      <c r="D20" s="369">
        <v>7003</v>
      </c>
      <c r="E20" s="370"/>
      <c r="F20" s="371"/>
      <c r="G20" s="371"/>
      <c r="H20" s="372">
        <f t="shared" si="2"/>
        <v>0</v>
      </c>
      <c r="I20" s="372">
        <f t="shared" si="1"/>
        <v>0</v>
      </c>
      <c r="J20" s="372">
        <f t="shared" si="8"/>
        <v>0</v>
      </c>
      <c r="K20" s="372">
        <f t="shared" si="9"/>
        <v>0</v>
      </c>
      <c r="M20" s="448">
        <f t="shared" si="5"/>
        <v>0</v>
      </c>
    </row>
    <row r="21" spans="1:13" ht="30" hidden="1">
      <c r="A21" s="367" t="str">
        <f t="shared" si="0"/>
        <v>Chi thanh toán hợp đồng thực hiện nghiệp vụ chuyên môn</v>
      </c>
      <c r="B21" s="368">
        <v>12</v>
      </c>
      <c r="C21" s="368">
        <v>102</v>
      </c>
      <c r="D21" s="369">
        <v>7012</v>
      </c>
      <c r="E21" s="370"/>
      <c r="F21" s="371"/>
      <c r="G21" s="371"/>
      <c r="H21" s="372">
        <f t="shared" si="2"/>
        <v>0</v>
      </c>
      <c r="I21" s="372">
        <f t="shared" si="1"/>
        <v>0</v>
      </c>
      <c r="J21" s="372">
        <f t="shared" si="8"/>
        <v>0</v>
      </c>
      <c r="K21" s="372">
        <f t="shared" si="9"/>
        <v>0</v>
      </c>
      <c r="M21" s="448">
        <f t="shared" si="5"/>
        <v>0</v>
      </c>
    </row>
    <row r="22" spans="1:13" ht="16.5" hidden="1" customHeight="1">
      <c r="A22" s="367" t="str">
        <f t="shared" si="0"/>
        <v>Chi phí khác</v>
      </c>
      <c r="B22" s="368">
        <v>12</v>
      </c>
      <c r="C22" s="368">
        <v>102</v>
      </c>
      <c r="D22" s="369">
        <v>7049</v>
      </c>
      <c r="E22" s="370"/>
      <c r="F22" s="371"/>
      <c r="G22" s="371"/>
      <c r="H22" s="372">
        <f t="shared" si="2"/>
        <v>0</v>
      </c>
      <c r="I22" s="372">
        <f t="shared" si="1"/>
        <v>0</v>
      </c>
      <c r="J22" s="372">
        <f t="shared" si="8"/>
        <v>0</v>
      </c>
      <c r="K22" s="372">
        <f t="shared" si="9"/>
        <v>0</v>
      </c>
      <c r="M22" s="448">
        <f t="shared" si="5"/>
        <v>0</v>
      </c>
    </row>
    <row r="23" spans="1:13" ht="16.5" hidden="1" customHeight="1">
      <c r="A23" s="367" t="str">
        <f t="shared" si="0"/>
        <v>Chi kỷ niệm các ngày lễ lớn</v>
      </c>
      <c r="B23" s="368">
        <v>12</v>
      </c>
      <c r="C23" s="368">
        <v>102</v>
      </c>
      <c r="D23" s="369">
        <v>7752</v>
      </c>
      <c r="E23" s="370"/>
      <c r="F23" s="371"/>
      <c r="G23" s="371"/>
      <c r="H23" s="372">
        <f t="shared" si="2"/>
        <v>0</v>
      </c>
      <c r="I23" s="372">
        <f t="shared" si="1"/>
        <v>0</v>
      </c>
      <c r="J23" s="372">
        <f t="shared" si="8"/>
        <v>0</v>
      </c>
      <c r="K23" s="372">
        <f t="shared" si="9"/>
        <v>0</v>
      </c>
      <c r="M23" s="448">
        <f t="shared" si="5"/>
        <v>0</v>
      </c>
    </row>
    <row r="24" spans="1:13" ht="16.5" customHeight="1">
      <c r="A24" s="367" t="str">
        <f t="shared" si="0"/>
        <v>Chi hỗ trợ khác</v>
      </c>
      <c r="B24" s="368">
        <v>12</v>
      </c>
      <c r="C24" s="368">
        <v>102</v>
      </c>
      <c r="D24" s="369">
        <v>7758</v>
      </c>
      <c r="E24" s="370"/>
      <c r="F24" s="371"/>
      <c r="G24" s="371"/>
      <c r="H24" s="372">
        <f t="shared" si="2"/>
        <v>0</v>
      </c>
      <c r="I24" s="372">
        <f t="shared" si="1"/>
        <v>0</v>
      </c>
      <c r="J24" s="372">
        <f t="shared" si="8"/>
        <v>0</v>
      </c>
      <c r="K24" s="372">
        <f t="shared" si="9"/>
        <v>0</v>
      </c>
      <c r="M24" s="448">
        <f t="shared" si="5"/>
        <v>0</v>
      </c>
    </row>
    <row r="25" spans="1:13" ht="16.5" hidden="1" customHeight="1">
      <c r="A25" s="367" t="str">
        <f t="shared" si="0"/>
        <v>Chi tiếp khách</v>
      </c>
      <c r="B25" s="368">
        <v>12</v>
      </c>
      <c r="C25" s="368">
        <v>102</v>
      </c>
      <c r="D25" s="369">
        <v>7761</v>
      </c>
      <c r="E25" s="370"/>
      <c r="F25" s="371"/>
      <c r="G25" s="371"/>
      <c r="H25" s="372">
        <f t="shared" si="2"/>
        <v>0</v>
      </c>
      <c r="I25" s="372">
        <f t="shared" si="1"/>
        <v>0</v>
      </c>
      <c r="J25" s="372">
        <f t="shared" si="8"/>
        <v>0</v>
      </c>
      <c r="K25" s="372">
        <f t="shared" si="9"/>
        <v>0</v>
      </c>
      <c r="M25" s="448">
        <f t="shared" si="5"/>
        <v>0</v>
      </c>
    </row>
    <row r="26" spans="1:13" ht="16.5" hidden="1" customHeight="1">
      <c r="A26" s="373" t="str">
        <f t="shared" si="0"/>
        <v>Chi các khoản khác</v>
      </c>
      <c r="B26" s="374">
        <v>12</v>
      </c>
      <c r="C26" s="374">
        <v>102</v>
      </c>
      <c r="D26" s="375">
        <v>7799</v>
      </c>
      <c r="E26" s="376"/>
      <c r="F26" s="377"/>
      <c r="G26" s="377"/>
      <c r="H26" s="372">
        <f t="shared" si="2"/>
        <v>0</v>
      </c>
      <c r="I26" s="372">
        <f t="shared" si="1"/>
        <v>0</v>
      </c>
      <c r="J26" s="378">
        <f t="shared" si="8"/>
        <v>0</v>
      </c>
      <c r="K26" s="378">
        <f t="shared" si="9"/>
        <v>0</v>
      </c>
      <c r="M26" s="448">
        <f t="shared" si="5"/>
        <v>0</v>
      </c>
    </row>
    <row r="27" spans="1:13">
      <c r="A27" s="379" t="s">
        <v>505</v>
      </c>
      <c r="B27" s="380"/>
      <c r="C27" s="380"/>
      <c r="D27" s="381"/>
      <c r="E27" s="382"/>
      <c r="F27" s="383"/>
      <c r="G27" s="383"/>
      <c r="H27" s="384">
        <f>SUM(H12:H26)</f>
        <v>0</v>
      </c>
      <c r="I27" s="384">
        <f t="shared" ref="I27:K27" si="10">SUM(I12:I26)</f>
        <v>0</v>
      </c>
      <c r="J27" s="384">
        <f>SUM(J12:J26)</f>
        <v>0</v>
      </c>
      <c r="K27" s="384">
        <f t="shared" si="10"/>
        <v>0</v>
      </c>
      <c r="M27" s="448">
        <f t="shared" si="5"/>
        <v>0</v>
      </c>
    </row>
    <row r="28" spans="1:13" ht="16.5" hidden="1" customHeight="1">
      <c r="A28" s="367" t="str">
        <f t="shared" ref="A28:A39" si="11">VLOOKUP(D28,MLNS,2,0)</f>
        <v>Phụ cấp công tác phí</v>
      </c>
      <c r="B28" s="385">
        <v>12</v>
      </c>
      <c r="C28" s="385">
        <v>194</v>
      </c>
      <c r="D28" s="386">
        <v>6702</v>
      </c>
      <c r="E28" s="387"/>
      <c r="F28" s="388"/>
      <c r="G28" s="388"/>
      <c r="H28" s="372">
        <f t="shared" ref="H28:H39" si="12">SUM(SUMIFS(GTNDKT1,DSM2K,M2K,MUC,$C28,MaNDKT1,$D28),SUMIFS(GTNDKT2,DSM2K,M2K,MUC,$C28,MaNDKT2,$D28),SUMIFS(GTNDKT3,DSM2K,M2K,MUC,$C28,MaNDKT3,$D28),SUMIFS(GTNDKT4,DSM2K,M2K,MUC,$C28,MaNDKT4,$D28),SUMIFS(GTNDKT5,DSM2K,M2K,MUC,$C28,MaNDKT5,$D28),SUMIFS(GTNDKT6,DSM2K,M2K,MUC,$C28,MaNDKT6,$D28),SUMIFS(GTNDKT7,DSM2K,M2K,MUC,$C28,MaNDKT7,$D28))</f>
        <v>0</v>
      </c>
      <c r="I28" s="372">
        <f t="shared" ref="I28:I39" si="13">SUM(SUMIFS(GTNDKT1,DSM2L,M2L,MUC,$C28,MaNDKT1,$D28),SUMIFS(GTNDKT2,DSM2L,M2L,MUC,$C28,MaNDKT2,$D28),SUMIFS(GTNDKT3,DSM2L,M2L,MUC,$C28,MaNDKT3,$D28),SUMIFS(GTNDKT4,DSM2L,M2L,MUC,$C28,MaNDKT4,$D28),SUMIFS(GTNDKT5,DSM2L,M2L,MUC,$C28,MaNDKT5,$D28),SUMIFS(GTNDKT6,DSM2L,M2L,MUC,$C28,MaNDKT6,$D28),SUMIFS(GTNDKT7,DSM2L,M2L,MUC,$C28,MaNDKT7,$D28))</f>
        <v>0</v>
      </c>
      <c r="J28" s="372">
        <f t="shared" ref="J28:J39" si="14">F28+H28</f>
        <v>0</v>
      </c>
      <c r="K28" s="372">
        <f t="shared" ref="K28:K39" si="15">G28+I28</f>
        <v>0</v>
      </c>
      <c r="M28" s="448">
        <f t="shared" si="5"/>
        <v>0</v>
      </c>
    </row>
    <row r="29" spans="1:13" ht="16.5" customHeight="1">
      <c r="A29" s="367" t="str">
        <f t="shared" si="11"/>
        <v>Tiền thuê phòng ngủ</v>
      </c>
      <c r="B29" s="385">
        <v>12</v>
      </c>
      <c r="C29" s="385">
        <v>194</v>
      </c>
      <c r="D29" s="386">
        <v>6703</v>
      </c>
      <c r="E29" s="370"/>
      <c r="F29" s="371"/>
      <c r="G29" s="371"/>
      <c r="H29" s="372">
        <f t="shared" si="12"/>
        <v>0</v>
      </c>
      <c r="I29" s="372">
        <f t="shared" si="13"/>
        <v>0</v>
      </c>
      <c r="J29" s="372">
        <f t="shared" si="14"/>
        <v>0</v>
      </c>
      <c r="K29" s="372">
        <f t="shared" si="15"/>
        <v>0</v>
      </c>
      <c r="M29" s="448">
        <f t="shared" si="5"/>
        <v>0</v>
      </c>
    </row>
    <row r="30" spans="1:13" ht="16.5" customHeight="1">
      <c r="A30" s="367" t="str">
        <f t="shared" si="11"/>
        <v>Chi công tác phí Khác</v>
      </c>
      <c r="B30" s="385">
        <v>12</v>
      </c>
      <c r="C30" s="385">
        <v>194</v>
      </c>
      <c r="D30" s="386">
        <v>6749</v>
      </c>
      <c r="E30" s="370"/>
      <c r="F30" s="371"/>
      <c r="G30" s="371"/>
      <c r="H30" s="372">
        <f t="shared" si="12"/>
        <v>0</v>
      </c>
      <c r="I30" s="372">
        <f t="shared" si="13"/>
        <v>0</v>
      </c>
      <c r="J30" s="372">
        <f t="shared" si="14"/>
        <v>0</v>
      </c>
      <c r="K30" s="372">
        <f t="shared" si="15"/>
        <v>0</v>
      </c>
      <c r="M30" s="448">
        <f t="shared" si="5"/>
        <v>0</v>
      </c>
    </row>
    <row r="31" spans="1:13" ht="16.5" customHeight="1">
      <c r="A31" s="367" t="str">
        <f t="shared" si="11"/>
        <v>Thuê phương tiện vận chuyển</v>
      </c>
      <c r="B31" s="385">
        <v>12</v>
      </c>
      <c r="C31" s="385">
        <v>194</v>
      </c>
      <c r="D31" s="386">
        <v>6751</v>
      </c>
      <c r="E31" s="370"/>
      <c r="F31" s="371"/>
      <c r="G31" s="371"/>
      <c r="H31" s="372">
        <f t="shared" si="12"/>
        <v>0</v>
      </c>
      <c r="I31" s="372">
        <f t="shared" si="13"/>
        <v>0</v>
      </c>
      <c r="J31" s="372">
        <f t="shared" si="14"/>
        <v>0</v>
      </c>
      <c r="K31" s="372">
        <f t="shared" si="15"/>
        <v>0</v>
      </c>
      <c r="M31" s="448">
        <f t="shared" si="5"/>
        <v>0</v>
      </c>
    </row>
    <row r="32" spans="1:13" ht="16.5" hidden="1" customHeight="1">
      <c r="A32" s="367" t="str">
        <f t="shared" si="11"/>
        <v>Chi phí thuê mướn khác</v>
      </c>
      <c r="B32" s="385">
        <v>12</v>
      </c>
      <c r="C32" s="385">
        <v>194</v>
      </c>
      <c r="D32" s="386">
        <v>6799</v>
      </c>
      <c r="E32" s="370"/>
      <c r="F32" s="371"/>
      <c r="G32" s="371"/>
      <c r="H32" s="372">
        <f t="shared" si="12"/>
        <v>0</v>
      </c>
      <c r="I32" s="372">
        <f t="shared" si="13"/>
        <v>0</v>
      </c>
      <c r="J32" s="372">
        <f t="shared" si="14"/>
        <v>0</v>
      </c>
      <c r="K32" s="372">
        <f t="shared" si="15"/>
        <v>0</v>
      </c>
      <c r="M32" s="448">
        <f t="shared" si="5"/>
        <v>0</v>
      </c>
    </row>
    <row r="33" spans="1:13" ht="31.5" hidden="1" customHeight="1">
      <c r="A33" s="367" t="str">
        <f t="shared" si="11"/>
        <v>Chi mua, in ấn, phô tô tài liệu chỉ dùng cho chuyên môn của ngành</v>
      </c>
      <c r="B33" s="385">
        <v>12</v>
      </c>
      <c r="C33" s="385">
        <v>194</v>
      </c>
      <c r="D33" s="386">
        <v>7003</v>
      </c>
      <c r="E33" s="370"/>
      <c r="F33" s="371"/>
      <c r="G33" s="371"/>
      <c r="H33" s="372">
        <f t="shared" si="12"/>
        <v>0</v>
      </c>
      <c r="I33" s="372">
        <f t="shared" si="13"/>
        <v>0</v>
      </c>
      <c r="J33" s="372">
        <f t="shared" si="14"/>
        <v>0</v>
      </c>
      <c r="K33" s="372">
        <f t="shared" si="15"/>
        <v>0</v>
      </c>
      <c r="M33" s="448">
        <f t="shared" si="5"/>
        <v>0</v>
      </c>
    </row>
    <row r="34" spans="1:13" ht="30">
      <c r="A34" s="367" t="str">
        <f t="shared" si="11"/>
        <v>Chi thanh toán hợp đồng thực hiện nghiệp vụ chuyên môn</v>
      </c>
      <c r="B34" s="385">
        <v>12</v>
      </c>
      <c r="C34" s="385">
        <v>194</v>
      </c>
      <c r="D34" s="386">
        <v>7012</v>
      </c>
      <c r="E34" s="370"/>
      <c r="F34" s="371"/>
      <c r="G34" s="371"/>
      <c r="H34" s="372">
        <f t="shared" si="12"/>
        <v>0</v>
      </c>
      <c r="I34" s="372">
        <f t="shared" si="13"/>
        <v>0</v>
      </c>
      <c r="J34" s="372">
        <f t="shared" si="14"/>
        <v>0</v>
      </c>
      <c r="K34" s="372">
        <f t="shared" si="15"/>
        <v>0</v>
      </c>
      <c r="M34" s="448">
        <f t="shared" si="5"/>
        <v>0</v>
      </c>
    </row>
    <row r="35" spans="1:13" ht="16.5" hidden="1" customHeight="1">
      <c r="A35" s="367" t="str">
        <f t="shared" si="11"/>
        <v>Chi phí khác</v>
      </c>
      <c r="B35" s="385">
        <v>12</v>
      </c>
      <c r="C35" s="385">
        <v>194</v>
      </c>
      <c r="D35" s="386">
        <v>7049</v>
      </c>
      <c r="E35" s="370"/>
      <c r="F35" s="371"/>
      <c r="G35" s="371"/>
      <c r="H35" s="372">
        <f t="shared" si="12"/>
        <v>0</v>
      </c>
      <c r="I35" s="372">
        <f t="shared" si="13"/>
        <v>0</v>
      </c>
      <c r="J35" s="372">
        <f t="shared" si="14"/>
        <v>0</v>
      </c>
      <c r="K35" s="372">
        <f t="shared" si="15"/>
        <v>0</v>
      </c>
      <c r="M35" s="448">
        <f t="shared" si="5"/>
        <v>0</v>
      </c>
    </row>
    <row r="36" spans="1:13" ht="16.5" hidden="1" customHeight="1">
      <c r="A36" s="367" t="str">
        <f t="shared" si="11"/>
        <v>Chi kỷ niệm các ngày lễ lớn</v>
      </c>
      <c r="B36" s="385">
        <v>12</v>
      </c>
      <c r="C36" s="385">
        <v>194</v>
      </c>
      <c r="D36" s="386">
        <v>7752</v>
      </c>
      <c r="E36" s="370"/>
      <c r="F36" s="371"/>
      <c r="G36" s="371"/>
      <c r="H36" s="372">
        <f t="shared" si="12"/>
        <v>0</v>
      </c>
      <c r="I36" s="372">
        <f t="shared" si="13"/>
        <v>0</v>
      </c>
      <c r="J36" s="372">
        <f t="shared" si="14"/>
        <v>0</v>
      </c>
      <c r="K36" s="372">
        <f t="shared" si="15"/>
        <v>0</v>
      </c>
      <c r="M36" s="448">
        <f t="shared" si="5"/>
        <v>0</v>
      </c>
    </row>
    <row r="37" spans="1:13" ht="16.5" hidden="1" customHeight="1">
      <c r="A37" s="367" t="str">
        <f t="shared" si="11"/>
        <v>Chi hỗ trợ khác</v>
      </c>
      <c r="B37" s="385">
        <v>12</v>
      </c>
      <c r="C37" s="385">
        <v>194</v>
      </c>
      <c r="D37" s="386">
        <v>7758</v>
      </c>
      <c r="E37" s="370"/>
      <c r="F37" s="371"/>
      <c r="G37" s="371"/>
      <c r="H37" s="372">
        <f t="shared" si="12"/>
        <v>0</v>
      </c>
      <c r="I37" s="372">
        <f t="shared" si="13"/>
        <v>0</v>
      </c>
      <c r="J37" s="372">
        <f t="shared" si="14"/>
        <v>0</v>
      </c>
      <c r="K37" s="372">
        <f t="shared" si="15"/>
        <v>0</v>
      </c>
      <c r="M37" s="448">
        <f t="shared" si="5"/>
        <v>0</v>
      </c>
    </row>
    <row r="38" spans="1:13" ht="16.5" hidden="1" customHeight="1">
      <c r="A38" s="367" t="str">
        <f t="shared" si="11"/>
        <v>Chi tiếp khách</v>
      </c>
      <c r="B38" s="385">
        <v>12</v>
      </c>
      <c r="C38" s="385">
        <v>194</v>
      </c>
      <c r="D38" s="386">
        <v>7761</v>
      </c>
      <c r="E38" s="370"/>
      <c r="F38" s="371"/>
      <c r="G38" s="371"/>
      <c r="H38" s="372">
        <f t="shared" si="12"/>
        <v>0</v>
      </c>
      <c r="I38" s="372">
        <f t="shared" si="13"/>
        <v>0</v>
      </c>
      <c r="J38" s="372">
        <f t="shared" si="14"/>
        <v>0</v>
      </c>
      <c r="K38" s="372">
        <f t="shared" si="15"/>
        <v>0</v>
      </c>
      <c r="M38" s="448">
        <f t="shared" si="5"/>
        <v>0</v>
      </c>
    </row>
    <row r="39" spans="1:13" ht="16.5" customHeight="1">
      <c r="A39" s="367" t="str">
        <f t="shared" si="11"/>
        <v>Chi các khoản khác</v>
      </c>
      <c r="B39" s="385">
        <v>12</v>
      </c>
      <c r="C39" s="385">
        <v>194</v>
      </c>
      <c r="D39" s="389">
        <v>7799</v>
      </c>
      <c r="E39" s="370"/>
      <c r="F39" s="371"/>
      <c r="G39" s="371"/>
      <c r="H39" s="372">
        <f t="shared" si="12"/>
        <v>0</v>
      </c>
      <c r="I39" s="372">
        <f t="shared" si="13"/>
        <v>0</v>
      </c>
      <c r="J39" s="372">
        <f t="shared" si="14"/>
        <v>0</v>
      </c>
      <c r="K39" s="372">
        <f t="shared" si="15"/>
        <v>0</v>
      </c>
      <c r="M39" s="448">
        <f t="shared" si="5"/>
        <v>0</v>
      </c>
    </row>
    <row r="40" spans="1:13">
      <c r="A40" s="379" t="s">
        <v>506</v>
      </c>
      <c r="B40" s="380"/>
      <c r="C40" s="380"/>
      <c r="D40" s="381"/>
      <c r="E40" s="382"/>
      <c r="F40" s="383"/>
      <c r="G40" s="383"/>
      <c r="H40" s="384">
        <f>SUM(H28:H39)</f>
        <v>0</v>
      </c>
      <c r="I40" s="384">
        <f t="shared" ref="I40" si="16">+H40</f>
        <v>0</v>
      </c>
      <c r="J40" s="384">
        <f t="shared" ref="J40:K40" si="17">+F40+H40</f>
        <v>0</v>
      </c>
      <c r="K40" s="384">
        <f t="shared" si="17"/>
        <v>0</v>
      </c>
      <c r="M40" s="448">
        <f t="shared" si="5"/>
        <v>0</v>
      </c>
    </row>
    <row r="41" spans="1:13">
      <c r="A41" s="367" t="str">
        <f t="shared" ref="A41:A42" si="18">VLOOKUP(D41,MLNS,2,0)</f>
        <v>Thanh toán tiền điện</v>
      </c>
      <c r="B41" s="368">
        <v>12</v>
      </c>
      <c r="C41" s="368">
        <v>223</v>
      </c>
      <c r="D41" s="369">
        <v>6501</v>
      </c>
      <c r="E41" s="370"/>
      <c r="F41" s="371"/>
      <c r="G41" s="371"/>
      <c r="H41" s="372">
        <f t="shared" ref="H41:H55" si="19">SUM(SUMIFS(GTNDKT1,DSM2K,M2K,MUC,$C41,MaNDKT1,$D41),SUMIFS(GTNDKT2,DSM2K,M2K,MUC,$C41,MaNDKT2,$D41),SUMIFS(GTNDKT3,DSM2K,M2K,MUC,$C41,MaNDKT3,$D41),SUMIFS(GTNDKT4,DSM2K,M2K,MUC,$C41,MaNDKT4,$D41),SUMIFS(GTNDKT5,DSM2K,M2K,MUC,$C41,MaNDKT5,$D41),SUMIFS(GTNDKT6,DSM2K,M2K,MUC,$C41,MaNDKT6,$D41),SUMIFS(GTNDKT7,DSM2K,M2K,MUC,$C41,MaNDKT7,$D41))</f>
        <v>0</v>
      </c>
      <c r="I41" s="372">
        <f t="shared" ref="I41:I55" si="20">SUM(SUMIFS(GTNDKT1,DSM2L,M2L,MUC,$C41,MaNDKT1,$D41),SUMIFS(GTNDKT2,DSM2L,M2L,MUC,$C41,MaNDKT2,$D41),SUMIFS(GTNDKT3,DSM2L,M2L,MUC,$C41,MaNDKT3,$D41),SUMIFS(GTNDKT4,DSM2L,M2L,MUC,$C41,MaNDKT4,$D41),SUMIFS(GTNDKT5,DSM2L,M2L,MUC,$C41,MaNDKT5,$D41),SUMIFS(GTNDKT6,DSM2L,M2L,MUC,$C41,MaNDKT6,$D41),SUMIFS(GTNDKT7,DSM2L,M2L,MUC,$C41,MaNDKT7,$D41))</f>
        <v>5000000</v>
      </c>
      <c r="J41" s="372">
        <f t="shared" ref="J41:J42" si="21">F41+H41</f>
        <v>0</v>
      </c>
      <c r="K41" s="372">
        <f t="shared" ref="K41:K42" si="22">G41+I41</f>
        <v>5000000</v>
      </c>
      <c r="M41" s="448">
        <f t="shared" si="5"/>
        <v>10000000</v>
      </c>
    </row>
    <row r="42" spans="1:13">
      <c r="A42" s="367" t="str">
        <f t="shared" si="18"/>
        <v>Thanh toán tiền nhiên liệu</v>
      </c>
      <c r="B42" s="368">
        <v>12</v>
      </c>
      <c r="C42" s="368">
        <v>223</v>
      </c>
      <c r="D42" s="369">
        <v>6503</v>
      </c>
      <c r="E42" s="370"/>
      <c r="F42" s="371"/>
      <c r="G42" s="371"/>
      <c r="H42" s="372">
        <f t="shared" si="19"/>
        <v>0</v>
      </c>
      <c r="I42" s="372">
        <f t="shared" si="20"/>
        <v>0</v>
      </c>
      <c r="J42" s="372">
        <f t="shared" si="21"/>
        <v>0</v>
      </c>
      <c r="K42" s="372">
        <f t="shared" si="22"/>
        <v>0</v>
      </c>
      <c r="M42" s="448">
        <f t="shared" si="5"/>
        <v>0</v>
      </c>
    </row>
    <row r="43" spans="1:13" s="720" customFormat="1" ht="18" customHeight="1">
      <c r="A43" s="714" t="str">
        <f t="shared" ref="A43:A55" si="23">VLOOKUP(D43,MLNS,2,0)</f>
        <v>In, mua tài liệu</v>
      </c>
      <c r="B43" s="715">
        <v>12</v>
      </c>
      <c r="C43" s="715">
        <v>223</v>
      </c>
      <c r="D43" s="716">
        <v>6651</v>
      </c>
      <c r="E43" s="717"/>
      <c r="F43" s="718"/>
      <c r="G43" s="718"/>
      <c r="H43" s="719">
        <f t="shared" si="19"/>
        <v>0</v>
      </c>
      <c r="I43" s="719">
        <f t="shared" si="20"/>
        <v>0</v>
      </c>
      <c r="J43" s="719">
        <f t="shared" ref="J43:J53" si="24">F43+H43</f>
        <v>0</v>
      </c>
      <c r="K43" s="719">
        <f t="shared" ref="K43:K53" si="25">G43+I43</f>
        <v>0</v>
      </c>
      <c r="M43" s="448">
        <f t="shared" si="5"/>
        <v>0</v>
      </c>
    </row>
    <row r="44" spans="1:13" ht="30">
      <c r="A44" s="367" t="str">
        <f t="shared" si="23"/>
        <v>Thuê hội trường, phương tiện vận chuyển</v>
      </c>
      <c r="B44" s="368">
        <v>12</v>
      </c>
      <c r="C44" s="368">
        <v>223</v>
      </c>
      <c r="D44" s="369">
        <v>6655</v>
      </c>
      <c r="E44" s="370"/>
      <c r="F44" s="371"/>
      <c r="G44" s="371"/>
      <c r="H44" s="372">
        <f t="shared" si="19"/>
        <v>0</v>
      </c>
      <c r="I44" s="372">
        <f t="shared" si="20"/>
        <v>0</v>
      </c>
      <c r="J44" s="372">
        <f t="shared" si="24"/>
        <v>0</v>
      </c>
      <c r="K44" s="372">
        <f t="shared" si="25"/>
        <v>0</v>
      </c>
      <c r="M44" s="448">
        <f t="shared" si="5"/>
        <v>0</v>
      </c>
    </row>
    <row r="45" spans="1:13" ht="15" customHeight="1">
      <c r="A45" s="367" t="str">
        <f t="shared" si="23"/>
        <v>Chi bù tiền ăn</v>
      </c>
      <c r="B45" s="368">
        <v>12</v>
      </c>
      <c r="C45" s="368">
        <v>223</v>
      </c>
      <c r="D45" s="369">
        <v>6658</v>
      </c>
      <c r="E45" s="370"/>
      <c r="F45" s="371"/>
      <c r="G45" s="371"/>
      <c r="H45" s="372">
        <f t="shared" si="19"/>
        <v>0</v>
      </c>
      <c r="I45" s="372">
        <f t="shared" si="20"/>
        <v>0</v>
      </c>
      <c r="J45" s="372">
        <f t="shared" si="24"/>
        <v>0</v>
      </c>
      <c r="K45" s="372">
        <f t="shared" si="25"/>
        <v>0</v>
      </c>
      <c r="M45" s="448">
        <f t="shared" si="5"/>
        <v>0</v>
      </c>
    </row>
    <row r="46" spans="1:13" ht="15" customHeight="1">
      <c r="A46" s="367" t="str">
        <f t="shared" si="23"/>
        <v>Chi phí khác Hội nghị</v>
      </c>
      <c r="B46" s="368">
        <v>12</v>
      </c>
      <c r="C46" s="368">
        <v>223</v>
      </c>
      <c r="D46" s="369">
        <v>6699</v>
      </c>
      <c r="E46" s="370"/>
      <c r="F46" s="371"/>
      <c r="G46" s="371"/>
      <c r="H46" s="372">
        <f t="shared" si="19"/>
        <v>0</v>
      </c>
      <c r="I46" s="372">
        <f t="shared" si="20"/>
        <v>0</v>
      </c>
      <c r="J46" s="372">
        <f t="shared" si="24"/>
        <v>0</v>
      </c>
      <c r="K46" s="372">
        <f t="shared" si="25"/>
        <v>0</v>
      </c>
      <c r="M46" s="448">
        <f t="shared" si="5"/>
        <v>0</v>
      </c>
    </row>
    <row r="47" spans="1:13" ht="30" hidden="1">
      <c r="A47" s="367" t="str">
        <f t="shared" si="23"/>
        <v>Chi sửa chữa, duy tu Công trình văn hoá, công viên, thể thao</v>
      </c>
      <c r="B47" s="368">
        <v>12</v>
      </c>
      <c r="C47" s="368">
        <v>223</v>
      </c>
      <c r="D47" s="369">
        <v>6918</v>
      </c>
      <c r="E47" s="370"/>
      <c r="F47" s="371"/>
      <c r="G47" s="371"/>
      <c r="H47" s="372">
        <f t="shared" si="19"/>
        <v>0</v>
      </c>
      <c r="I47" s="372">
        <f t="shared" si="20"/>
        <v>0</v>
      </c>
      <c r="J47" s="372">
        <f t="shared" si="24"/>
        <v>0</v>
      </c>
      <c r="K47" s="372">
        <f t="shared" si="25"/>
        <v>0</v>
      </c>
      <c r="M47" s="448">
        <f t="shared" si="5"/>
        <v>0</v>
      </c>
    </row>
    <row r="48" spans="1:13" ht="30" hidden="1">
      <c r="A48" s="367" t="str">
        <f t="shared" si="23"/>
        <v>Chi sửa chữa, duy tu Đường điện, cấp thoát nước</v>
      </c>
      <c r="B48" s="368">
        <v>12</v>
      </c>
      <c r="C48" s="368">
        <v>223</v>
      </c>
      <c r="D48" s="369">
        <v>6921</v>
      </c>
      <c r="E48" s="370"/>
      <c r="F48" s="371"/>
      <c r="G48" s="371"/>
      <c r="H48" s="372">
        <f t="shared" si="19"/>
        <v>0</v>
      </c>
      <c r="I48" s="372">
        <f t="shared" si="20"/>
        <v>0</v>
      </c>
      <c r="J48" s="372">
        <f t="shared" si="24"/>
        <v>0</v>
      </c>
      <c r="K48" s="372">
        <f t="shared" si="25"/>
        <v>0</v>
      </c>
      <c r="M48" s="448">
        <f t="shared" si="5"/>
        <v>0</v>
      </c>
    </row>
    <row r="49" spans="1:13" s="720" customFormat="1" ht="30">
      <c r="A49" s="714" t="str">
        <f t="shared" si="23"/>
        <v>Chi sửa chữa, duy tu Đường sá, cầu cống, bến cảng, sân bay</v>
      </c>
      <c r="B49" s="715">
        <v>12</v>
      </c>
      <c r="C49" s="715">
        <v>223</v>
      </c>
      <c r="D49" s="716">
        <v>6922</v>
      </c>
      <c r="E49" s="717"/>
      <c r="F49" s="718"/>
      <c r="G49" s="718"/>
      <c r="H49" s="719">
        <f t="shared" si="19"/>
        <v>0</v>
      </c>
      <c r="I49" s="719">
        <f t="shared" si="20"/>
        <v>179755</v>
      </c>
      <c r="J49" s="719">
        <f t="shared" si="24"/>
        <v>0</v>
      </c>
      <c r="K49" s="719">
        <f t="shared" si="25"/>
        <v>179755</v>
      </c>
      <c r="M49" s="448">
        <f t="shared" si="5"/>
        <v>359510</v>
      </c>
    </row>
    <row r="50" spans="1:13" ht="45" hidden="1">
      <c r="A50" s="367" t="str">
        <f t="shared" si="23"/>
        <v>Chi sửa chữa, duy tu, bảo dưỡng Các tài sản và công trình hạ tầng cơ sở khác</v>
      </c>
      <c r="B50" s="368">
        <v>12</v>
      </c>
      <c r="C50" s="368">
        <v>223</v>
      </c>
      <c r="D50" s="369">
        <v>6949</v>
      </c>
      <c r="E50" s="370"/>
      <c r="F50" s="371"/>
      <c r="G50" s="371"/>
      <c r="H50" s="372">
        <f t="shared" si="19"/>
        <v>0</v>
      </c>
      <c r="I50" s="372">
        <f t="shared" si="20"/>
        <v>0</v>
      </c>
      <c r="J50" s="372">
        <f t="shared" si="24"/>
        <v>0</v>
      </c>
      <c r="K50" s="372">
        <f t="shared" si="25"/>
        <v>0</v>
      </c>
      <c r="M50" s="448">
        <f t="shared" si="5"/>
        <v>0</v>
      </c>
    </row>
    <row r="51" spans="1:13" ht="30">
      <c r="A51" s="367" t="str">
        <f t="shared" si="23"/>
        <v>Chi mua, in ấn, phô tô tài liệu chỉ dùng cho chuyên môn của ngành</v>
      </c>
      <c r="B51" s="368">
        <v>12</v>
      </c>
      <c r="C51" s="368">
        <v>223</v>
      </c>
      <c r="D51" s="369">
        <v>7003</v>
      </c>
      <c r="E51" s="370"/>
      <c r="F51" s="371"/>
      <c r="G51" s="371"/>
      <c r="H51" s="372">
        <f>SUM(SUMIFS(GTNDKT1,DSM2K,M2K,MUC,$C51,MaNDKT1,$D51),SUMIFS(GTNDKT2,DSM2K,M2K,MUC,$C51,MaNDKT2,$D51),SUMIFS(GTNDKT3,DSM2K,M2K,MUC,$C51,MaNDKT3,$D51),SUMIFS(GTNDKT4,DSM2K,M2K,MUC,$C51,MaNDKT4,$D51),SUMIFS(GTNDKT5,DSM2K,M2K,MUC,$C51,MaNDKT5,$D51),SUMIFS(GTNDKT6,DSM2K,M2K,MUC,$C51,MaNDKT6,$D51),SUMIFS(GTNDKT7,DSM2K,M2K,MUC,$C51,MaNDKT7,$D51))</f>
        <v>0</v>
      </c>
      <c r="I51" s="372">
        <f t="shared" si="20"/>
        <v>0</v>
      </c>
      <c r="J51" s="372">
        <f t="shared" si="24"/>
        <v>0</v>
      </c>
      <c r="K51" s="372">
        <f t="shared" si="25"/>
        <v>0</v>
      </c>
      <c r="M51" s="448">
        <f t="shared" si="5"/>
        <v>0</v>
      </c>
    </row>
    <row r="52" spans="1:13" ht="32.25" hidden="1" customHeight="1">
      <c r="A52" s="367" t="str">
        <f t="shared" si="23"/>
        <v>Chi thanh toán hợp đồng thực hiện nghiệp vụ chuyên môn</v>
      </c>
      <c r="B52" s="368">
        <v>12</v>
      </c>
      <c r="C52" s="368">
        <v>223</v>
      </c>
      <c r="D52" s="369">
        <v>7012</v>
      </c>
      <c r="E52" s="370"/>
      <c r="F52" s="371"/>
      <c r="G52" s="371"/>
      <c r="H52" s="372">
        <f t="shared" si="19"/>
        <v>0</v>
      </c>
      <c r="I52" s="372">
        <f t="shared" si="20"/>
        <v>0</v>
      </c>
      <c r="J52" s="372">
        <f t="shared" si="24"/>
        <v>0</v>
      </c>
      <c r="K52" s="372">
        <f t="shared" si="25"/>
        <v>0</v>
      </c>
      <c r="M52" s="448">
        <f t="shared" si="5"/>
        <v>0</v>
      </c>
    </row>
    <row r="53" spans="1:13" hidden="1">
      <c r="A53" s="367" t="str">
        <f t="shared" si="23"/>
        <v>Chi phí khác</v>
      </c>
      <c r="B53" s="368">
        <v>12</v>
      </c>
      <c r="C53" s="368">
        <v>223</v>
      </c>
      <c r="D53" s="390">
        <v>7049</v>
      </c>
      <c r="E53" s="370"/>
      <c r="F53" s="371"/>
      <c r="G53" s="371"/>
      <c r="H53" s="372">
        <f t="shared" si="19"/>
        <v>0</v>
      </c>
      <c r="I53" s="372">
        <f t="shared" si="20"/>
        <v>0</v>
      </c>
      <c r="J53" s="372">
        <f t="shared" si="24"/>
        <v>0</v>
      </c>
      <c r="K53" s="372">
        <f t="shared" si="25"/>
        <v>0</v>
      </c>
      <c r="M53" s="448">
        <f t="shared" si="5"/>
        <v>0</v>
      </c>
    </row>
    <row r="54" spans="1:13">
      <c r="A54" s="367" t="str">
        <f t="shared" si="23"/>
        <v>Chi hỗ trợ khác</v>
      </c>
      <c r="B54" s="368">
        <v>12</v>
      </c>
      <c r="C54" s="368">
        <v>223</v>
      </c>
      <c r="D54" s="390">
        <v>7758</v>
      </c>
      <c r="E54" s="376"/>
      <c r="F54" s="377"/>
      <c r="G54" s="377"/>
      <c r="H54" s="372">
        <f t="shared" si="19"/>
        <v>0</v>
      </c>
      <c r="I54" s="372">
        <f t="shared" si="20"/>
        <v>0</v>
      </c>
      <c r="J54" s="372">
        <f t="shared" ref="J54:J55" si="26">F54+H54</f>
        <v>0</v>
      </c>
      <c r="K54" s="372">
        <f t="shared" ref="K54:K55" si="27">G54+I54</f>
        <v>0</v>
      </c>
      <c r="M54" s="448">
        <f t="shared" si="5"/>
        <v>0</v>
      </c>
    </row>
    <row r="55" spans="1:13">
      <c r="A55" s="367" t="str">
        <f t="shared" si="23"/>
        <v>Chi tiếp khách</v>
      </c>
      <c r="B55" s="368">
        <v>12</v>
      </c>
      <c r="C55" s="368">
        <v>223</v>
      </c>
      <c r="D55" s="390">
        <v>7761</v>
      </c>
      <c r="E55" s="376"/>
      <c r="F55" s="377"/>
      <c r="G55" s="377"/>
      <c r="H55" s="372">
        <f t="shared" si="19"/>
        <v>0</v>
      </c>
      <c r="I55" s="372">
        <f t="shared" si="20"/>
        <v>0</v>
      </c>
      <c r="J55" s="372">
        <f t="shared" si="26"/>
        <v>0</v>
      </c>
      <c r="K55" s="372">
        <f t="shared" si="27"/>
        <v>0</v>
      </c>
      <c r="M55" s="448">
        <f t="shared" si="5"/>
        <v>0</v>
      </c>
    </row>
    <row r="56" spans="1:13">
      <c r="A56" s="379" t="s">
        <v>501</v>
      </c>
      <c r="B56" s="380"/>
      <c r="C56" s="380"/>
      <c r="D56" s="381"/>
      <c r="E56" s="382"/>
      <c r="F56" s="383"/>
      <c r="G56" s="383"/>
      <c r="H56" s="384">
        <f>SUM(H41:H55)</f>
        <v>0</v>
      </c>
      <c r="I56" s="384">
        <f t="shared" ref="I56:K56" si="28">SUM(I41:I55)</f>
        <v>5179755</v>
      </c>
      <c r="J56" s="384">
        <f t="shared" si="28"/>
        <v>0</v>
      </c>
      <c r="K56" s="384">
        <f t="shared" si="28"/>
        <v>5179755</v>
      </c>
      <c r="M56" s="448">
        <f t="shared" si="5"/>
        <v>10359510</v>
      </c>
    </row>
    <row r="57" spans="1:13" ht="15.75" hidden="1" customHeight="1">
      <c r="A57" s="367" t="str">
        <f t="shared" ref="A57:A66" si="29">VLOOKUP(D57,MLNS,2,0)</f>
        <v>Cước phí Internet, thư viện điện tử</v>
      </c>
      <c r="B57" s="368">
        <v>12</v>
      </c>
      <c r="C57" s="368">
        <v>373</v>
      </c>
      <c r="D57" s="386">
        <v>6617</v>
      </c>
      <c r="E57" s="370"/>
      <c r="F57" s="371"/>
      <c r="G57" s="371"/>
      <c r="H57" s="372">
        <f t="shared" ref="H57:H66" si="30">SUM(SUMIFS(GTNDKT1,DSM2K,M2K,MUC,C57,MaNDKT1,D57),SUMIFS(GTNDKT2,DSM2K,M2K,MUC,C57,MaNDKT2,D57),SUMIFS(GTNDKT3,DSM2K,M2K,MUC,C57,MaNDKT3,D57),SUMIFS(GTNDKT4,DSM2K,M2K,MUC,C57,MaNDKT4,D57),SUMIFS(GTNDKT5,DSM2K,M2K,MUC,C57,MaNDKT5,D57))</f>
        <v>0</v>
      </c>
      <c r="I57" s="372">
        <f t="shared" ref="I57:I66" si="31">SUM(SUMIFS(GTNDKT1,DSM2L,M2L,MUC,$C57,MaNDKT1,$D57),SUMIFS(GTNDKT2,DSM2L,M2L,MUC,$C57,MaNDKT2,$D57),SUMIFS(GTNDKT3,DSM2L,M2L,MUC,$C57,MaNDKT3,$D57),SUMIFS(GTNDKT4,DSM2L,M2L,MUC,$C57,MaNDKT4,$D57),SUMIFS(GTNDKT5,DSM2L,M2L,MUC,$C57,MaNDKT5,$D57))</f>
        <v>0</v>
      </c>
      <c r="J57" s="372">
        <f t="shared" ref="J57:J66" si="32">F57+H57</f>
        <v>0</v>
      </c>
      <c r="K57" s="372">
        <f t="shared" ref="K57:K66" si="33">G57+I57</f>
        <v>0</v>
      </c>
      <c r="M57" s="448">
        <f t="shared" si="5"/>
        <v>0</v>
      </c>
    </row>
    <row r="58" spans="1:13" ht="15.75" hidden="1" customHeight="1">
      <c r="A58" s="367" t="str">
        <f t="shared" si="29"/>
        <v>In, mua tài liệu</v>
      </c>
      <c r="B58" s="368">
        <v>12</v>
      </c>
      <c r="C58" s="368">
        <v>373</v>
      </c>
      <c r="D58" s="386">
        <v>6651</v>
      </c>
      <c r="E58" s="370"/>
      <c r="F58" s="371"/>
      <c r="G58" s="371"/>
      <c r="H58" s="372">
        <f t="shared" si="30"/>
        <v>0</v>
      </c>
      <c r="I58" s="372">
        <f t="shared" si="31"/>
        <v>0</v>
      </c>
      <c r="J58" s="372">
        <f t="shared" si="32"/>
        <v>0</v>
      </c>
      <c r="K58" s="372">
        <f t="shared" si="33"/>
        <v>0</v>
      </c>
      <c r="M58" s="448">
        <f t="shared" si="5"/>
        <v>0</v>
      </c>
    </row>
    <row r="59" spans="1:13" ht="30" hidden="1" customHeight="1">
      <c r="A59" s="367" t="str">
        <f t="shared" si="29"/>
        <v>Thuê hội trường, phương tiện vận chuyển</v>
      </c>
      <c r="B59" s="368">
        <v>12</v>
      </c>
      <c r="C59" s="368">
        <v>373</v>
      </c>
      <c r="D59" s="386">
        <v>6655</v>
      </c>
      <c r="E59" s="370"/>
      <c r="F59" s="371"/>
      <c r="G59" s="371"/>
      <c r="H59" s="372">
        <f t="shared" si="30"/>
        <v>0</v>
      </c>
      <c r="I59" s="372">
        <f t="shared" si="31"/>
        <v>0</v>
      </c>
      <c r="J59" s="372">
        <f t="shared" si="32"/>
        <v>0</v>
      </c>
      <c r="K59" s="372">
        <f t="shared" si="33"/>
        <v>0</v>
      </c>
      <c r="M59" s="448">
        <f t="shared" si="5"/>
        <v>0</v>
      </c>
    </row>
    <row r="60" spans="1:13" ht="15.75" hidden="1" customHeight="1">
      <c r="A60" s="367" t="str">
        <f t="shared" si="29"/>
        <v>Chi bù tiền ăn</v>
      </c>
      <c r="B60" s="368">
        <v>12</v>
      </c>
      <c r="C60" s="368">
        <v>373</v>
      </c>
      <c r="D60" s="386">
        <v>6658</v>
      </c>
      <c r="E60" s="370"/>
      <c r="F60" s="371"/>
      <c r="G60" s="371"/>
      <c r="H60" s="372">
        <f t="shared" si="30"/>
        <v>0</v>
      </c>
      <c r="I60" s="372">
        <f t="shared" si="31"/>
        <v>0</v>
      </c>
      <c r="J60" s="372">
        <f t="shared" si="32"/>
        <v>0</v>
      </c>
      <c r="K60" s="372">
        <f t="shared" si="33"/>
        <v>0</v>
      </c>
      <c r="M60" s="448">
        <f t="shared" si="5"/>
        <v>0</v>
      </c>
    </row>
    <row r="61" spans="1:13" ht="15.75" hidden="1" customHeight="1">
      <c r="A61" s="367" t="str">
        <f t="shared" si="29"/>
        <v>Chi phí khác Hội nghị</v>
      </c>
      <c r="B61" s="368">
        <v>12</v>
      </c>
      <c r="C61" s="368">
        <v>373</v>
      </c>
      <c r="D61" s="386">
        <v>6699</v>
      </c>
      <c r="E61" s="370"/>
      <c r="F61" s="371"/>
      <c r="G61" s="371"/>
      <c r="H61" s="372">
        <f t="shared" si="30"/>
        <v>0</v>
      </c>
      <c r="I61" s="372">
        <f t="shared" si="31"/>
        <v>0</v>
      </c>
      <c r="J61" s="372">
        <f t="shared" si="32"/>
        <v>0</v>
      </c>
      <c r="K61" s="372">
        <f t="shared" si="33"/>
        <v>0</v>
      </c>
      <c r="M61" s="448">
        <f t="shared" si="5"/>
        <v>0</v>
      </c>
    </row>
    <row r="62" spans="1:13" ht="30" hidden="1">
      <c r="A62" s="367" t="str">
        <f t="shared" si="29"/>
        <v>Chi mua hàng hoá, vật tư dùng cho chuyên môn</v>
      </c>
      <c r="B62" s="368">
        <v>12</v>
      </c>
      <c r="C62" s="368">
        <v>373</v>
      </c>
      <c r="D62" s="386">
        <v>7001</v>
      </c>
      <c r="E62" s="370"/>
      <c r="F62" s="371"/>
      <c r="G62" s="371"/>
      <c r="H62" s="372">
        <f t="shared" si="30"/>
        <v>0</v>
      </c>
      <c r="I62" s="372">
        <f t="shared" si="31"/>
        <v>0</v>
      </c>
      <c r="J62" s="372">
        <f t="shared" si="32"/>
        <v>0</v>
      </c>
      <c r="K62" s="372">
        <f t="shared" si="33"/>
        <v>0</v>
      </c>
      <c r="M62" s="448">
        <f t="shared" si="5"/>
        <v>0</v>
      </c>
    </row>
    <row r="63" spans="1:13" ht="33" hidden="1" customHeight="1">
      <c r="A63" s="367" t="str">
        <f t="shared" si="29"/>
        <v>Chi mua, in ấn, phô tô tài liệu chỉ dùng cho chuyên môn của ngành</v>
      </c>
      <c r="B63" s="368">
        <v>12</v>
      </c>
      <c r="C63" s="368">
        <v>373</v>
      </c>
      <c r="D63" s="386">
        <v>7003</v>
      </c>
      <c r="E63" s="370"/>
      <c r="F63" s="371"/>
      <c r="G63" s="371"/>
      <c r="H63" s="372">
        <f t="shared" si="30"/>
        <v>0</v>
      </c>
      <c r="I63" s="372">
        <f t="shared" si="31"/>
        <v>0</v>
      </c>
      <c r="J63" s="372">
        <f t="shared" si="32"/>
        <v>0</v>
      </c>
      <c r="K63" s="372">
        <f t="shared" si="33"/>
        <v>0</v>
      </c>
      <c r="M63" s="448">
        <f t="shared" si="5"/>
        <v>0</v>
      </c>
    </row>
    <row r="64" spans="1:13" ht="30" hidden="1">
      <c r="A64" s="367" t="str">
        <f t="shared" si="29"/>
        <v>Chi thanh toán hợp đồng thực hiện nghiệp vụ chuyên môn</v>
      </c>
      <c r="B64" s="368">
        <v>12</v>
      </c>
      <c r="C64" s="368">
        <v>373</v>
      </c>
      <c r="D64" s="386">
        <v>7012</v>
      </c>
      <c r="E64" s="370"/>
      <c r="F64" s="371"/>
      <c r="G64" s="371"/>
      <c r="H64" s="372">
        <f t="shared" si="30"/>
        <v>0</v>
      </c>
      <c r="I64" s="372">
        <f t="shared" si="31"/>
        <v>0</v>
      </c>
      <c r="J64" s="372">
        <f t="shared" si="32"/>
        <v>0</v>
      </c>
      <c r="K64" s="372">
        <f t="shared" si="33"/>
        <v>0</v>
      </c>
      <c r="M64" s="448">
        <f t="shared" si="5"/>
        <v>0</v>
      </c>
    </row>
    <row r="65" spans="1:15" ht="17.25" hidden="1" customHeight="1">
      <c r="A65" s="367" t="str">
        <f t="shared" si="29"/>
        <v>Chi phí khác</v>
      </c>
      <c r="B65" s="368">
        <v>12</v>
      </c>
      <c r="C65" s="368">
        <v>373</v>
      </c>
      <c r="D65" s="386">
        <v>7049</v>
      </c>
      <c r="E65" s="370"/>
      <c r="F65" s="371"/>
      <c r="G65" s="371"/>
      <c r="H65" s="372">
        <f t="shared" si="30"/>
        <v>0</v>
      </c>
      <c r="I65" s="372">
        <f t="shared" si="31"/>
        <v>0</v>
      </c>
      <c r="J65" s="372">
        <f t="shared" si="32"/>
        <v>0</v>
      </c>
      <c r="K65" s="372">
        <f t="shared" si="33"/>
        <v>0</v>
      </c>
      <c r="M65" s="448">
        <f t="shared" si="5"/>
        <v>0</v>
      </c>
    </row>
    <row r="66" spans="1:15" ht="17.25" hidden="1" customHeight="1">
      <c r="A66" s="367" t="str">
        <f t="shared" si="29"/>
        <v>Chi hỗ trợ khác</v>
      </c>
      <c r="B66" s="368">
        <v>12</v>
      </c>
      <c r="C66" s="368">
        <v>373</v>
      </c>
      <c r="D66" s="391">
        <v>7758</v>
      </c>
      <c r="E66" s="370"/>
      <c r="F66" s="371"/>
      <c r="G66" s="371"/>
      <c r="H66" s="372">
        <f t="shared" si="30"/>
        <v>0</v>
      </c>
      <c r="I66" s="372">
        <f t="shared" si="31"/>
        <v>0</v>
      </c>
      <c r="J66" s="372">
        <f t="shared" si="32"/>
        <v>0</v>
      </c>
      <c r="K66" s="372">
        <f t="shared" si="33"/>
        <v>0</v>
      </c>
      <c r="M66" s="448">
        <f t="shared" si="5"/>
        <v>0</v>
      </c>
    </row>
    <row r="67" spans="1:15" hidden="1">
      <c r="A67" s="379" t="s">
        <v>507</v>
      </c>
      <c r="B67" s="380"/>
      <c r="C67" s="380"/>
      <c r="D67" s="381"/>
      <c r="E67" s="382"/>
      <c r="F67" s="383"/>
      <c r="G67" s="383"/>
      <c r="H67" s="384">
        <f>SUM(H57:H66)</f>
        <v>0</v>
      </c>
      <c r="I67" s="384">
        <f>+H67</f>
        <v>0</v>
      </c>
      <c r="J67" s="384">
        <f t="shared" ref="J67:K67" si="34">+F67+H67</f>
        <v>0</v>
      </c>
      <c r="K67" s="384">
        <f t="shared" si="34"/>
        <v>0</v>
      </c>
      <c r="M67" s="448">
        <f t="shared" si="5"/>
        <v>0</v>
      </c>
    </row>
    <row r="68" spans="1:15" ht="17.25" hidden="1" customHeight="1">
      <c r="A68" s="367" t="str">
        <f t="shared" ref="A68:A74" si="35">VLOOKUP(D68,MLNS,2,0)</f>
        <v>Phụ cấp công tác phí</v>
      </c>
      <c r="B68" s="392">
        <v>12</v>
      </c>
      <c r="C68" s="392">
        <v>432</v>
      </c>
      <c r="D68" s="393">
        <v>6702</v>
      </c>
      <c r="E68" s="394"/>
      <c r="F68" s="395"/>
      <c r="G68" s="395"/>
      <c r="H68" s="372">
        <f t="shared" ref="H68:H74" si="36">SUM(SUMIFS(GTNDKT1,DSM2K,M2K,MUC,C68,MaNDKT1,D68),SUMIFS(GTNDKT2,DSM2K,M2K,MUC,C68,MaNDKT2,D68),SUMIFS(GTNDKT3,DSM2K,M2K,MUC,C68,MaNDKT3,D68),SUMIFS(GTNDKT4,DSM2K,M2K,MUC,C68,MaNDKT4,D68),SUMIFS(GTNDKT5,DSM2K,M2K,MUC,C68,MaNDKT5,D68))</f>
        <v>0</v>
      </c>
      <c r="I68" s="372">
        <f t="shared" ref="I68:I74" si="37">SUM(SUMIFS(GTNDKT1,DSM2L,M2L,MUC,$C68,MaNDKT1,$D68),SUMIFS(GTNDKT2,DSM2L,M2L,MUC,$C68,MaNDKT2,$D68),SUMIFS(GTNDKT3,DSM2L,M2L,MUC,$C68,MaNDKT3,$D68),SUMIFS(GTNDKT4,DSM2L,M2L,MUC,$C68,MaNDKT4,$D68),SUMIFS(GTNDKT5,DSM2L,M2L,MUC,$C68,MaNDKT5,$D68))</f>
        <v>0</v>
      </c>
      <c r="J68" s="372">
        <f t="shared" ref="J68:J74" si="38">F68+H68</f>
        <v>0</v>
      </c>
      <c r="K68" s="372">
        <f t="shared" ref="K68:K74" si="39">G68+I68</f>
        <v>0</v>
      </c>
      <c r="M68" s="448">
        <f t="shared" si="5"/>
        <v>0</v>
      </c>
    </row>
    <row r="69" spans="1:15" ht="17.25" hidden="1" customHeight="1">
      <c r="A69" s="367" t="str">
        <f t="shared" si="35"/>
        <v>Tiền thuê phòng ngủ</v>
      </c>
      <c r="B69" s="392">
        <v>12</v>
      </c>
      <c r="C69" s="392">
        <v>432</v>
      </c>
      <c r="D69" s="393">
        <v>6703</v>
      </c>
      <c r="E69" s="394"/>
      <c r="F69" s="395"/>
      <c r="G69" s="395"/>
      <c r="H69" s="372">
        <f t="shared" si="36"/>
        <v>0</v>
      </c>
      <c r="I69" s="372">
        <f t="shared" si="37"/>
        <v>0</v>
      </c>
      <c r="J69" s="372">
        <f t="shared" si="38"/>
        <v>0</v>
      </c>
      <c r="K69" s="372">
        <f t="shared" si="39"/>
        <v>0</v>
      </c>
      <c r="M69" s="448">
        <f t="shared" si="5"/>
        <v>0</v>
      </c>
    </row>
    <row r="70" spans="1:15" ht="17.25" hidden="1" customHeight="1">
      <c r="A70" s="367" t="str">
        <f t="shared" si="35"/>
        <v>Chi công tác phí Khác</v>
      </c>
      <c r="B70" s="392">
        <v>12</v>
      </c>
      <c r="C70" s="392">
        <v>432</v>
      </c>
      <c r="D70" s="393">
        <v>6749</v>
      </c>
      <c r="E70" s="394"/>
      <c r="F70" s="395"/>
      <c r="G70" s="395"/>
      <c r="H70" s="372">
        <f t="shared" si="36"/>
        <v>0</v>
      </c>
      <c r="I70" s="372">
        <f t="shared" si="37"/>
        <v>0</v>
      </c>
      <c r="J70" s="372">
        <f t="shared" si="38"/>
        <v>0</v>
      </c>
      <c r="K70" s="372">
        <f t="shared" si="39"/>
        <v>0</v>
      </c>
      <c r="M70" s="448">
        <f t="shared" si="5"/>
        <v>0</v>
      </c>
    </row>
    <row r="71" spans="1:15" ht="45" hidden="1">
      <c r="A71" s="367" t="str">
        <f t="shared" si="35"/>
        <v>Chi quy hoạch tổng thể phát triển kinh tế - xã hội của cả nước, vùng, lãnh thổ</v>
      </c>
      <c r="B71" s="392">
        <v>12</v>
      </c>
      <c r="C71" s="392">
        <v>432</v>
      </c>
      <c r="D71" s="396">
        <v>8151</v>
      </c>
      <c r="E71" s="394"/>
      <c r="F71" s="395"/>
      <c r="G71" s="395"/>
      <c r="H71" s="372">
        <f t="shared" si="36"/>
        <v>0</v>
      </c>
      <c r="I71" s="372">
        <f t="shared" si="37"/>
        <v>0</v>
      </c>
      <c r="J71" s="372">
        <f t="shared" si="38"/>
        <v>0</v>
      </c>
      <c r="K71" s="372">
        <f t="shared" si="39"/>
        <v>0</v>
      </c>
      <c r="M71" s="448">
        <f t="shared" si="5"/>
        <v>0</v>
      </c>
    </row>
    <row r="72" spans="1:15" ht="30" hidden="1">
      <c r="A72" s="367" t="str">
        <f t="shared" si="35"/>
        <v>Chi quy hoạch phát triển ngành, lĩnh vực, sản phẩm chủ yếu</v>
      </c>
      <c r="B72" s="392">
        <v>12</v>
      </c>
      <c r="C72" s="392">
        <v>432</v>
      </c>
      <c r="D72" s="396">
        <v>8152</v>
      </c>
      <c r="E72" s="394"/>
      <c r="F72" s="395"/>
      <c r="G72" s="395"/>
      <c r="H72" s="372">
        <f t="shared" si="36"/>
        <v>0</v>
      </c>
      <c r="I72" s="372">
        <f t="shared" si="37"/>
        <v>0</v>
      </c>
      <c r="J72" s="372">
        <f t="shared" si="38"/>
        <v>0</v>
      </c>
      <c r="K72" s="372">
        <f t="shared" si="39"/>
        <v>0</v>
      </c>
      <c r="M72" s="448">
        <f t="shared" si="5"/>
        <v>0</v>
      </c>
    </row>
    <row r="73" spans="1:15" ht="30" hidden="1">
      <c r="A73" s="367" t="str">
        <f t="shared" si="35"/>
        <v>Chi quy hoạch xây dựng đô thị, điểm dân cư nông thôn</v>
      </c>
      <c r="B73" s="392">
        <v>12</v>
      </c>
      <c r="C73" s="392">
        <v>432</v>
      </c>
      <c r="D73" s="396">
        <v>8153</v>
      </c>
      <c r="E73" s="394"/>
      <c r="F73" s="395"/>
      <c r="G73" s="395"/>
      <c r="H73" s="372">
        <f t="shared" si="36"/>
        <v>0</v>
      </c>
      <c r="I73" s="372">
        <f t="shared" si="37"/>
        <v>0</v>
      </c>
      <c r="J73" s="372">
        <f t="shared" si="38"/>
        <v>0</v>
      </c>
      <c r="K73" s="372">
        <f t="shared" si="39"/>
        <v>0</v>
      </c>
      <c r="M73" s="448">
        <f t="shared" si="5"/>
        <v>0</v>
      </c>
    </row>
    <row r="74" spans="1:15" hidden="1">
      <c r="A74" s="367" t="str">
        <f t="shared" si="35"/>
        <v>Chi quy hoạch Khác</v>
      </c>
      <c r="B74" s="392">
        <v>12</v>
      </c>
      <c r="C74" s="392">
        <v>432</v>
      </c>
      <c r="D74" s="396">
        <v>8199</v>
      </c>
      <c r="E74" s="394"/>
      <c r="F74" s="395"/>
      <c r="G74" s="395"/>
      <c r="H74" s="372">
        <f t="shared" si="36"/>
        <v>0</v>
      </c>
      <c r="I74" s="372">
        <f t="shared" si="37"/>
        <v>0</v>
      </c>
      <c r="J74" s="372">
        <f t="shared" si="38"/>
        <v>0</v>
      </c>
      <c r="K74" s="372">
        <f t="shared" si="39"/>
        <v>0</v>
      </c>
      <c r="M74" s="448">
        <f t="shared" si="5"/>
        <v>0</v>
      </c>
    </row>
    <row r="75" spans="1:15" ht="16.5" hidden="1" customHeight="1">
      <c r="A75" s="379" t="s">
        <v>502</v>
      </c>
      <c r="B75" s="380"/>
      <c r="C75" s="380"/>
      <c r="D75" s="381"/>
      <c r="E75" s="382"/>
      <c r="F75" s="383"/>
      <c r="G75" s="383"/>
      <c r="H75" s="384">
        <f>SUM(H68:H74)</f>
        <v>0</v>
      </c>
      <c r="I75" s="384">
        <f t="shared" ref="I75:K75" si="40">SUM(I68:I74)</f>
        <v>0</v>
      </c>
      <c r="J75" s="384">
        <f t="shared" si="40"/>
        <v>0</v>
      </c>
      <c r="K75" s="384">
        <f t="shared" si="40"/>
        <v>0</v>
      </c>
      <c r="M75" s="448">
        <f t="shared" si="5"/>
        <v>0</v>
      </c>
    </row>
    <row r="76" spans="1:15" ht="22.5" customHeight="1">
      <c r="A76" s="397" t="s">
        <v>118</v>
      </c>
      <c r="B76" s="398"/>
      <c r="C76" s="398"/>
      <c r="D76" s="399"/>
      <c r="E76" s="399"/>
      <c r="F76" s="400"/>
      <c r="G76" s="400"/>
      <c r="H76" s="401">
        <f>H75+H67+H56+H40+H27</f>
        <v>0</v>
      </c>
      <c r="I76" s="401">
        <f t="shared" ref="I76:K76" si="41">I75+I67+I56+I40+I27</f>
        <v>5179755</v>
      </c>
      <c r="J76" s="401">
        <f t="shared" si="41"/>
        <v>0</v>
      </c>
      <c r="K76" s="401">
        <f t="shared" si="41"/>
        <v>5179755</v>
      </c>
    </row>
    <row r="77" spans="1:15" ht="9.75" customHeight="1">
      <c r="A77" s="402"/>
      <c r="B77" s="403"/>
      <c r="C77" s="403"/>
      <c r="D77" s="404"/>
      <c r="E77" s="404"/>
      <c r="F77" s="405"/>
      <c r="G77" s="405"/>
      <c r="H77" s="405"/>
      <c r="I77" s="405"/>
      <c r="J77" s="405"/>
      <c r="K77" s="405"/>
    </row>
    <row r="78" spans="1:15">
      <c r="A78" s="1028" t="s">
        <v>489</v>
      </c>
      <c r="B78" s="1028"/>
      <c r="C78" s="1028"/>
      <c r="D78" s="1028"/>
      <c r="E78" s="1028"/>
      <c r="G78" s="1028" t="s">
        <v>503</v>
      </c>
      <c r="H78" s="1028"/>
      <c r="I78" s="1028"/>
      <c r="J78" s="1028"/>
      <c r="K78" s="1028"/>
      <c r="L78" s="355"/>
      <c r="M78" s="355"/>
      <c r="N78" s="355"/>
      <c r="O78" s="406"/>
    </row>
    <row r="79" spans="1:15">
      <c r="A79" s="1047" t="str">
        <f ca="1">"Ngày     tháng     năm  "&amp;YEAR(Menu!D4)</f>
        <v>Ngày     tháng     năm  2018</v>
      </c>
      <c r="B79" s="1047"/>
      <c r="C79" s="1047"/>
      <c r="D79" s="1047"/>
      <c r="E79" s="1047"/>
      <c r="G79" s="1047" t="str">
        <f ca="1">"Ngày      tháng      năm "&amp;YEAR(Menu!D4)</f>
        <v>Ngày      tháng      năm 2018</v>
      </c>
      <c r="H79" s="1047"/>
      <c r="I79" s="1047"/>
      <c r="J79" s="1047"/>
      <c r="K79" s="1047"/>
      <c r="L79" s="407"/>
      <c r="M79" s="407"/>
      <c r="N79" s="407"/>
      <c r="O79" s="408"/>
    </row>
    <row r="80" spans="1:15">
      <c r="A80" s="409" t="s">
        <v>490</v>
      </c>
      <c r="B80" s="409"/>
      <c r="D80" s="410" t="s">
        <v>92</v>
      </c>
      <c r="E80" s="410"/>
      <c r="G80" s="1028" t="s">
        <v>92</v>
      </c>
      <c r="H80" s="1028"/>
      <c r="I80" s="355"/>
      <c r="J80" s="1028" t="s">
        <v>93</v>
      </c>
      <c r="K80" s="1028"/>
      <c r="M80" s="355"/>
      <c r="N80" s="347"/>
      <c r="O80" s="355"/>
    </row>
    <row r="81" spans="1:15">
      <c r="A81" s="351"/>
      <c r="B81" s="351"/>
      <c r="C81" s="351" t="s">
        <v>491</v>
      </c>
      <c r="D81" s="411"/>
      <c r="E81" s="411"/>
      <c r="F81" s="411"/>
      <c r="G81" s="351"/>
      <c r="H81" s="351"/>
      <c r="J81" s="351"/>
      <c r="M81" s="351"/>
      <c r="N81" s="351"/>
      <c r="O81" s="351"/>
    </row>
    <row r="82" spans="1:15">
      <c r="A82" s="348"/>
      <c r="B82" s="348"/>
      <c r="C82" s="348"/>
      <c r="D82" s="361"/>
      <c r="E82" s="361"/>
      <c r="F82" s="361"/>
      <c r="G82" s="348"/>
      <c r="H82" s="348"/>
      <c r="J82" s="348"/>
      <c r="M82" s="348"/>
      <c r="N82" s="348"/>
      <c r="O82" s="348"/>
    </row>
    <row r="83" spans="1:15">
      <c r="A83" s="348"/>
      <c r="B83" s="348"/>
      <c r="C83" s="348"/>
      <c r="D83" s="361"/>
      <c r="E83" s="361"/>
      <c r="F83" s="361"/>
      <c r="G83" s="348"/>
      <c r="H83" s="348"/>
      <c r="J83" s="348"/>
      <c r="M83" s="348"/>
      <c r="N83" s="348"/>
      <c r="O83" s="348"/>
    </row>
    <row r="84" spans="1:15">
      <c r="A84" s="412"/>
      <c r="B84" s="348"/>
      <c r="C84" s="348"/>
      <c r="D84" s="348"/>
      <c r="E84" s="348"/>
      <c r="F84" s="348"/>
      <c r="G84" s="1052"/>
      <c r="H84" s="1052"/>
      <c r="I84" s="413"/>
      <c r="J84" s="1052"/>
      <c r="K84" s="1052"/>
      <c r="M84" s="413"/>
      <c r="N84" s="348"/>
      <c r="O84" s="348"/>
    </row>
    <row r="85" spans="1:15">
      <c r="A85" s="412"/>
      <c r="B85" s="348"/>
      <c r="C85" s="348"/>
      <c r="D85" s="348"/>
      <c r="E85" s="348"/>
      <c r="F85" s="414"/>
      <c r="G85" s="361"/>
      <c r="H85" s="361"/>
      <c r="I85" s="361"/>
      <c r="J85" s="361"/>
      <c r="K85" s="361"/>
    </row>
    <row r="86" spans="1:15">
      <c r="A86" s="412"/>
      <c r="B86" s="348"/>
      <c r="C86" s="348"/>
      <c r="D86" s="348"/>
      <c r="E86" s="348"/>
      <c r="F86" s="414"/>
      <c r="G86" s="361"/>
      <c r="H86" s="361"/>
      <c r="I86" s="361"/>
      <c r="J86" s="361"/>
      <c r="K86" s="361"/>
    </row>
  </sheetData>
  <sheetProtection formatCells="0" formatColumns="0" formatRows="0" insertColumns="0"/>
  <mergeCells count="30">
    <mergeCell ref="H3:K3"/>
    <mergeCell ref="A78:E78"/>
    <mergeCell ref="A79:E79"/>
    <mergeCell ref="J80:K80"/>
    <mergeCell ref="J84:K84"/>
    <mergeCell ref="G78:K78"/>
    <mergeCell ref="G79:K79"/>
    <mergeCell ref="G80:H80"/>
    <mergeCell ref="G84:H84"/>
    <mergeCell ref="F8:G8"/>
    <mergeCell ref="H8:I8"/>
    <mergeCell ref="J8:K8"/>
    <mergeCell ref="B9:B10"/>
    <mergeCell ref="C9:C10"/>
    <mergeCell ref="H1:K1"/>
    <mergeCell ref="D9:D10"/>
    <mergeCell ref="E9:E10"/>
    <mergeCell ref="F9:F10"/>
    <mergeCell ref="G9:G10"/>
    <mergeCell ref="H9:H10"/>
    <mergeCell ref="A2:D2"/>
    <mergeCell ref="A3:B3"/>
    <mergeCell ref="F4:K4"/>
    <mergeCell ref="H2:K2"/>
    <mergeCell ref="A5:K5"/>
    <mergeCell ref="A8:A10"/>
    <mergeCell ref="B8:E8"/>
    <mergeCell ref="I9:I10"/>
    <mergeCell ref="J9:J10"/>
    <mergeCell ref="K9:K10"/>
  </mergeCells>
  <conditionalFormatting sqref="D12:D22 D27:D39 D57:D66 D68:D74 D41:D55">
    <cfRule type="cellIs" dxfId="5" priority="14" stopIfTrue="1" operator="between">
      <formula>0</formula>
      <formula>0</formula>
    </cfRule>
  </conditionalFormatting>
  <conditionalFormatting sqref="D23:D26">
    <cfRule type="cellIs" dxfId="4" priority="13" stopIfTrue="1" operator="between">
      <formula>0</formula>
      <formula>0</formula>
    </cfRule>
  </conditionalFormatting>
  <conditionalFormatting sqref="D40">
    <cfRule type="cellIs" dxfId="3" priority="4" stopIfTrue="1" operator="between">
      <formula>0</formula>
      <formula>0</formula>
    </cfRule>
  </conditionalFormatting>
  <conditionalFormatting sqref="D56">
    <cfRule type="cellIs" dxfId="2" priority="3" stopIfTrue="1" operator="between">
      <formula>0</formula>
      <formula>0</formula>
    </cfRule>
  </conditionalFormatting>
  <conditionalFormatting sqref="D67">
    <cfRule type="cellIs" dxfId="1" priority="2" stopIfTrue="1" operator="between">
      <formula>0</formula>
      <formula>0</formula>
    </cfRule>
  </conditionalFormatting>
  <conditionalFormatting sqref="D75">
    <cfRule type="cellIs" dxfId="0" priority="1" stopIfTrue="1" operator="between">
      <formula>0</formula>
      <formula>0</formula>
    </cfRule>
  </conditionalFormatting>
  <dataValidations count="1">
    <dataValidation type="list" allowBlank="1" showInputMessage="1" showErrorMessage="1" sqref="E6">
      <formula1>QUY</formula1>
    </dataValidation>
  </dataValidations>
  <pageMargins left="0.35" right="0.15748031496062992" top="0.39370078740157483" bottom="0.35433070866141736" header="0.31496062992125984" footer="0.31496062992125984"/>
  <pageSetup paperSize="9" fitToHeight="3" orientation="landscape" vertic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 tint="-0.249977111117893"/>
  </sheetPr>
  <dimension ref="A1:L64"/>
  <sheetViews>
    <sheetView workbookViewId="0">
      <pane ySplit="4" topLeftCell="A5" activePane="bottomLeft" state="frozen"/>
      <selection activeCell="E6" sqref="E6"/>
      <selection pane="bottomLeft" activeCell="E6" sqref="E6"/>
    </sheetView>
  </sheetViews>
  <sheetFormatPr defaultRowHeight="15.75"/>
  <cols>
    <col min="1" max="1" width="9.140625" style="281"/>
    <col min="2" max="2" width="11.7109375" style="283" customWidth="1"/>
    <col min="3" max="3" width="40.42578125" style="283" customWidth="1"/>
    <col min="4" max="4" width="15" style="281" customWidth="1"/>
    <col min="5" max="5" width="12.28515625" style="284" customWidth="1"/>
    <col min="6" max="6" width="14.5703125" style="283" customWidth="1"/>
    <col min="7" max="7" width="15.28515625" style="281" customWidth="1"/>
    <col min="8" max="8" width="13.85546875" style="281" customWidth="1"/>
    <col min="9" max="9" width="10.28515625" style="281" customWidth="1"/>
    <col min="10" max="10" width="17.28515625" style="281" customWidth="1"/>
    <col min="11" max="11" width="15" style="281" customWidth="1"/>
    <col min="12" max="12" width="17.5703125" style="281" customWidth="1"/>
    <col min="13" max="16384" width="9.140625" style="281"/>
  </cols>
  <sheetData>
    <row r="1" spans="1:12" ht="30" customHeight="1">
      <c r="B1" s="1070" t="str">
        <f ca="1">"BÁO CÁO GIAO DỰ TOÁN NGÂN SÁCH HUYỆN NĂM "&amp;YEAR(Menu!D4)</f>
        <v>BÁO CÁO GIAO DỰ TOÁN NGÂN SÁCH HUYỆN NĂM 2018</v>
      </c>
      <c r="C1" s="1070"/>
      <c r="D1" s="1070"/>
      <c r="E1" s="1070"/>
      <c r="F1" s="1070"/>
      <c r="G1" s="1070"/>
      <c r="H1" s="1070"/>
      <c r="I1" s="312"/>
      <c r="J1" s="711"/>
    </row>
    <row r="2" spans="1:12">
      <c r="B2" s="282">
        <v>194</v>
      </c>
      <c r="F2" s="1004" t="s">
        <v>540</v>
      </c>
      <c r="G2" s="1004"/>
      <c r="H2" s="1004"/>
      <c r="I2" s="316"/>
      <c r="J2" s="316"/>
    </row>
    <row r="3" spans="1:12" s="285" customFormat="1" ht="16.5" customHeight="1">
      <c r="A3" s="1068" t="s">
        <v>0</v>
      </c>
      <c r="B3" s="1069" t="s">
        <v>4</v>
      </c>
      <c r="C3" s="1071" t="s">
        <v>2</v>
      </c>
      <c r="D3" s="1067" t="s">
        <v>6</v>
      </c>
      <c r="E3" s="1067" t="s">
        <v>7</v>
      </c>
      <c r="F3" s="1067"/>
      <c r="G3" s="1067"/>
      <c r="H3" s="1067"/>
      <c r="I3" s="316"/>
      <c r="J3" s="316"/>
    </row>
    <row r="4" spans="1:12" s="285" customFormat="1" ht="20.25" customHeight="1">
      <c r="A4" s="1068"/>
      <c r="B4" s="1069"/>
      <c r="C4" s="1071"/>
      <c r="D4" s="1067"/>
      <c r="E4" s="313" t="s">
        <v>8</v>
      </c>
      <c r="F4" s="313" t="s">
        <v>9</v>
      </c>
      <c r="G4" s="313" t="s">
        <v>10</v>
      </c>
      <c r="H4" s="313" t="s">
        <v>11</v>
      </c>
      <c r="I4" s="316"/>
      <c r="J4" s="316" t="s">
        <v>627</v>
      </c>
      <c r="K4" s="285" t="s">
        <v>628</v>
      </c>
      <c r="L4" s="285" t="s">
        <v>629</v>
      </c>
    </row>
    <row r="5" spans="1:12" s="343" customFormat="1" ht="22.5" customHeight="1">
      <c r="A5" s="286">
        <v>1</v>
      </c>
      <c r="B5" s="286">
        <v>102</v>
      </c>
      <c r="C5" s="341" t="s">
        <v>98</v>
      </c>
      <c r="D5" s="344">
        <f>D9</f>
        <v>202000</v>
      </c>
      <c r="E5" s="344">
        <f>E9</f>
        <v>0</v>
      </c>
      <c r="F5" s="344">
        <f>F9</f>
        <v>0</v>
      </c>
      <c r="G5" s="344">
        <f>G9</f>
        <v>200000</v>
      </c>
      <c r="H5" s="344">
        <f>H9</f>
        <v>2000</v>
      </c>
      <c r="I5" s="342"/>
      <c r="J5" s="342">
        <v>299000000</v>
      </c>
      <c r="K5" s="712">
        <f>+D5</f>
        <v>202000</v>
      </c>
      <c r="L5" s="712">
        <f>+J5-K5</f>
        <v>298798000</v>
      </c>
    </row>
    <row r="6" spans="1:12" ht="22.5" customHeight="1">
      <c r="A6" s="288"/>
      <c r="B6" s="289"/>
      <c r="C6" s="2" t="s">
        <v>13</v>
      </c>
      <c r="D6" s="3">
        <f>SUM(E6:H6)</f>
        <v>0</v>
      </c>
      <c r="E6" s="2"/>
      <c r="F6" s="2"/>
      <c r="G6" s="2"/>
      <c r="H6" s="2"/>
      <c r="I6" s="316"/>
      <c r="J6" s="316"/>
    </row>
    <row r="7" spans="1:12" ht="22.5" customHeight="1">
      <c r="A7" s="288"/>
      <c r="B7" s="289"/>
      <c r="C7" s="2" t="s">
        <v>14</v>
      </c>
      <c r="D7" s="3">
        <f>SUM(E7:H7)</f>
        <v>202000</v>
      </c>
      <c r="E7" s="3"/>
      <c r="F7" s="3"/>
      <c r="G7" s="3">
        <v>200000</v>
      </c>
      <c r="H7" s="3">
        <v>2000</v>
      </c>
      <c r="I7" s="316"/>
      <c r="J7" s="316"/>
    </row>
    <row r="8" spans="1:12" ht="22.5" customHeight="1">
      <c r="A8" s="288"/>
      <c r="B8" s="289"/>
      <c r="C8" s="2" t="s">
        <v>15</v>
      </c>
      <c r="D8" s="3">
        <f>SUM(E8:H8)</f>
        <v>0</v>
      </c>
      <c r="E8" s="3"/>
      <c r="F8" s="3"/>
      <c r="G8" s="3"/>
      <c r="H8" s="3"/>
      <c r="I8" s="316"/>
      <c r="J8" s="316"/>
    </row>
    <row r="9" spans="1:12" ht="22.5" customHeight="1">
      <c r="A9" s="290"/>
      <c r="B9" s="291"/>
      <c r="C9" s="4" t="s">
        <v>16</v>
      </c>
      <c r="D9" s="5">
        <f>SUM(D6:D8)</f>
        <v>202000</v>
      </c>
      <c r="E9" s="5">
        <f>SUM(E6:E8)</f>
        <v>0</v>
      </c>
      <c r="F9" s="5">
        <f>SUM(F6:F8)</f>
        <v>0</v>
      </c>
      <c r="G9" s="5">
        <f>SUM(G6:G8)</f>
        <v>200000</v>
      </c>
      <c r="H9" s="5">
        <f>SUM(H6:H8)</f>
        <v>2000</v>
      </c>
      <c r="I9" s="316"/>
      <c r="J9" s="316"/>
    </row>
    <row r="10" spans="1:12" s="343" customFormat="1" ht="22.5" customHeight="1">
      <c r="A10" s="286">
        <v>2</v>
      </c>
      <c r="B10" s="286">
        <v>194</v>
      </c>
      <c r="C10" s="341" t="s">
        <v>26</v>
      </c>
      <c r="D10" s="344">
        <f>D14</f>
        <v>155000</v>
      </c>
      <c r="E10" s="344">
        <f>E14</f>
        <v>0</v>
      </c>
      <c r="F10" s="344">
        <f>F14</f>
        <v>55000</v>
      </c>
      <c r="G10" s="344">
        <f>G14</f>
        <v>0</v>
      </c>
      <c r="H10" s="344">
        <f>H14</f>
        <v>100000</v>
      </c>
      <c r="I10" s="342"/>
      <c r="J10" s="342">
        <f>100000000+55000000</f>
        <v>155000000</v>
      </c>
      <c r="K10" s="712">
        <f>+D10</f>
        <v>155000</v>
      </c>
      <c r="L10" s="712">
        <f>+J10-K10</f>
        <v>154845000</v>
      </c>
    </row>
    <row r="11" spans="1:12" ht="22.5" customHeight="1">
      <c r="A11" s="288"/>
      <c r="B11" s="289"/>
      <c r="C11" s="2" t="s">
        <v>13</v>
      </c>
      <c r="D11" s="3">
        <f>SUM(E11:H11)</f>
        <v>0</v>
      </c>
      <c r="E11" s="2"/>
      <c r="F11" s="2"/>
      <c r="G11" s="2"/>
      <c r="H11" s="2"/>
      <c r="I11" s="316"/>
      <c r="J11" s="316"/>
    </row>
    <row r="12" spans="1:12" ht="22.5" customHeight="1">
      <c r="A12" s="288"/>
      <c r="B12" s="289"/>
      <c r="C12" s="2" t="s">
        <v>14</v>
      </c>
      <c r="D12" s="3">
        <f>SUM(E12:H12)</f>
        <v>100000</v>
      </c>
      <c r="E12" s="3"/>
      <c r="F12" s="3"/>
      <c r="G12" s="3"/>
      <c r="H12" s="3">
        <v>100000</v>
      </c>
      <c r="I12" s="316"/>
      <c r="J12" s="316"/>
    </row>
    <row r="13" spans="1:12" ht="22.5" customHeight="1">
      <c r="A13" s="288"/>
      <c r="B13" s="289"/>
      <c r="C13" s="2" t="s">
        <v>15</v>
      </c>
      <c r="D13" s="3">
        <f>SUM(E13:H13)</f>
        <v>55000</v>
      </c>
      <c r="E13" s="3"/>
      <c r="F13" s="3">
        <v>55000</v>
      </c>
      <c r="G13" s="3"/>
      <c r="H13" s="3"/>
      <c r="I13" s="316"/>
      <c r="J13" s="316"/>
    </row>
    <row r="14" spans="1:12" ht="22.5" customHeight="1">
      <c r="A14" s="290"/>
      <c r="B14" s="291"/>
      <c r="C14" s="4" t="s">
        <v>16</v>
      </c>
      <c r="D14" s="5">
        <f>SUM(D11:D13)</f>
        <v>155000</v>
      </c>
      <c r="E14" s="5">
        <f>SUM(E11:E13)</f>
        <v>0</v>
      </c>
      <c r="F14" s="5">
        <f t="shared" ref="F14:H14" si="0">SUM(F11:F13)</f>
        <v>55000</v>
      </c>
      <c r="G14" s="5">
        <f t="shared" si="0"/>
        <v>0</v>
      </c>
      <c r="H14" s="5">
        <f t="shared" si="0"/>
        <v>100000</v>
      </c>
      <c r="I14" s="316"/>
      <c r="J14" s="316"/>
    </row>
    <row r="15" spans="1:12" s="343" customFormat="1" ht="22.5" customHeight="1">
      <c r="A15" s="286">
        <v>3</v>
      </c>
      <c r="B15" s="286">
        <v>223</v>
      </c>
      <c r="C15" s="341" t="s">
        <v>24</v>
      </c>
      <c r="D15" s="344">
        <f>D19</f>
        <v>11194000</v>
      </c>
      <c r="E15" s="344">
        <f>E19</f>
        <v>0</v>
      </c>
      <c r="F15" s="344">
        <f>F19</f>
        <v>94000</v>
      </c>
      <c r="G15" s="344">
        <f>G19</f>
        <v>11000000</v>
      </c>
      <c r="H15" s="344">
        <f>H19</f>
        <v>100000</v>
      </c>
      <c r="I15" s="342"/>
      <c r="J15" s="342">
        <v>2465000000</v>
      </c>
      <c r="K15" s="712">
        <f>+D15</f>
        <v>11194000</v>
      </c>
      <c r="L15" s="712">
        <f>+J15-K15</f>
        <v>2453806000</v>
      </c>
    </row>
    <row r="16" spans="1:12" ht="22.5" customHeight="1">
      <c r="A16" s="288"/>
      <c r="B16" s="289"/>
      <c r="C16" s="2" t="s">
        <v>13</v>
      </c>
      <c r="D16" s="3">
        <f>SUM(E16:H16)</f>
        <v>0</v>
      </c>
      <c r="E16" s="3"/>
      <c r="F16" s="3"/>
      <c r="G16" s="3"/>
      <c r="H16" s="3"/>
      <c r="I16" s="316"/>
      <c r="J16" s="316"/>
    </row>
    <row r="17" spans="1:12" ht="22.5" customHeight="1">
      <c r="A17" s="288"/>
      <c r="B17" s="289"/>
      <c r="C17" s="2" t="s">
        <v>14</v>
      </c>
      <c r="D17" s="3">
        <f>SUM(E17:H17)</f>
        <v>11094000</v>
      </c>
      <c r="E17" s="3"/>
      <c r="F17" s="3">
        <v>94000</v>
      </c>
      <c r="G17" s="3">
        <f>11000000</f>
        <v>11000000</v>
      </c>
      <c r="H17" s="3"/>
      <c r="I17" s="316"/>
      <c r="J17" s="316"/>
    </row>
    <row r="18" spans="1:12" ht="22.5" customHeight="1">
      <c r="A18" s="288"/>
      <c r="B18" s="289"/>
      <c r="C18" s="2" t="s">
        <v>15</v>
      </c>
      <c r="D18" s="3">
        <f>SUM(E18:H18)</f>
        <v>100000</v>
      </c>
      <c r="E18" s="3"/>
      <c r="F18" s="3"/>
      <c r="G18" s="3"/>
      <c r="H18" s="3">
        <v>100000</v>
      </c>
      <c r="I18" s="316"/>
      <c r="J18" s="316"/>
    </row>
    <row r="19" spans="1:12" ht="22.5" customHeight="1">
      <c r="A19" s="290"/>
      <c r="B19" s="291"/>
      <c r="C19" s="4" t="s">
        <v>16</v>
      </c>
      <c r="D19" s="5">
        <f>SUM(D16:D18)</f>
        <v>11194000</v>
      </c>
      <c r="E19" s="5">
        <f>SUM(E16:E18)</f>
        <v>0</v>
      </c>
      <c r="F19" s="5">
        <f t="shared" ref="F19:G19" si="1">SUM(F16:F18)</f>
        <v>94000</v>
      </c>
      <c r="G19" s="5">
        <f t="shared" si="1"/>
        <v>11000000</v>
      </c>
      <c r="H19" s="5">
        <f t="shared" ref="H19" si="2">SUM(H16:H18)</f>
        <v>100000</v>
      </c>
      <c r="I19" s="316"/>
      <c r="J19" s="316"/>
    </row>
    <row r="20" spans="1:12" s="343" customFormat="1" ht="22.5" customHeight="1">
      <c r="A20" s="286">
        <v>4</v>
      </c>
      <c r="B20" s="286" t="s">
        <v>588</v>
      </c>
      <c r="C20" s="341" t="s">
        <v>109</v>
      </c>
      <c r="D20" s="344">
        <f>D24</f>
        <v>0</v>
      </c>
      <c r="E20" s="344">
        <f>E24</f>
        <v>0</v>
      </c>
      <c r="F20" s="344">
        <f>F24</f>
        <v>0</v>
      </c>
      <c r="G20" s="344">
        <f>G24</f>
        <v>0</v>
      </c>
      <c r="H20" s="344">
        <f>H24</f>
        <v>0</v>
      </c>
      <c r="I20" s="342"/>
      <c r="J20" s="342">
        <v>100000000</v>
      </c>
      <c r="K20" s="712">
        <f>+D20</f>
        <v>0</v>
      </c>
      <c r="L20" s="712">
        <f>+J20-K20</f>
        <v>100000000</v>
      </c>
    </row>
    <row r="21" spans="1:12" ht="22.5" customHeight="1">
      <c r="A21" s="288"/>
      <c r="B21" s="289"/>
      <c r="C21" s="2" t="s">
        <v>13</v>
      </c>
      <c r="D21" s="3">
        <f>SUM(E21:H21)</f>
        <v>0</v>
      </c>
      <c r="E21" s="2"/>
      <c r="F21" s="2"/>
      <c r="G21" s="2"/>
      <c r="H21" s="2"/>
      <c r="I21" s="316"/>
      <c r="J21" s="316"/>
    </row>
    <row r="22" spans="1:12" ht="22.5" customHeight="1">
      <c r="A22" s="288"/>
      <c r="B22" s="289"/>
      <c r="C22" s="2" t="s">
        <v>14</v>
      </c>
      <c r="D22" s="3">
        <f>SUM(E22:H22)</f>
        <v>0</v>
      </c>
      <c r="E22" s="3"/>
      <c r="F22" s="3"/>
      <c r="G22" s="3"/>
      <c r="H22" s="3"/>
      <c r="I22" s="316"/>
      <c r="J22" s="316"/>
    </row>
    <row r="23" spans="1:12" ht="22.5" customHeight="1">
      <c r="A23" s="288"/>
      <c r="B23" s="289"/>
      <c r="C23" s="2" t="s">
        <v>15</v>
      </c>
      <c r="D23" s="3">
        <f>SUM(E23:H23)</f>
        <v>0</v>
      </c>
      <c r="E23" s="3"/>
      <c r="F23" s="3"/>
      <c r="G23" s="3"/>
      <c r="H23" s="3"/>
      <c r="I23" s="316"/>
      <c r="J23" s="316"/>
    </row>
    <row r="24" spans="1:12" ht="22.5" customHeight="1">
      <c r="A24" s="290"/>
      <c r="B24" s="291"/>
      <c r="C24" s="4" t="s">
        <v>16</v>
      </c>
      <c r="D24" s="3">
        <f>SUM(E24:H24)</f>
        <v>0</v>
      </c>
      <c r="E24" s="5">
        <f>SUM(E21:E23)</f>
        <v>0</v>
      </c>
      <c r="F24" s="5"/>
      <c r="G24" s="5">
        <f t="shared" ref="G24:H24" si="3">SUM(G21:G23)</f>
        <v>0</v>
      </c>
      <c r="H24" s="5">
        <f t="shared" si="3"/>
        <v>0</v>
      </c>
      <c r="I24" s="316"/>
      <c r="J24" s="316"/>
    </row>
    <row r="25" spans="1:12" s="343" customFormat="1" ht="22.5" customHeight="1">
      <c r="A25" s="286">
        <v>5</v>
      </c>
      <c r="B25" s="286">
        <v>373</v>
      </c>
      <c r="C25" s="341" t="s">
        <v>25</v>
      </c>
      <c r="D25" s="344">
        <f>D29</f>
        <v>0</v>
      </c>
      <c r="E25" s="344">
        <f>E29</f>
        <v>0</v>
      </c>
      <c r="F25" s="344">
        <f>F29</f>
        <v>0</v>
      </c>
      <c r="G25" s="344">
        <f>G29</f>
        <v>0</v>
      </c>
      <c r="H25" s="344">
        <f>H29</f>
        <v>0</v>
      </c>
      <c r="I25" s="342"/>
      <c r="J25" s="342"/>
    </row>
    <row r="26" spans="1:12" ht="22.5" customHeight="1">
      <c r="A26" s="288"/>
      <c r="B26" s="289"/>
      <c r="C26" s="2" t="s">
        <v>13</v>
      </c>
      <c r="D26" s="3">
        <f>SUM(E26:H26)</f>
        <v>0</v>
      </c>
      <c r="E26" s="2"/>
      <c r="F26" s="2"/>
      <c r="G26" s="2"/>
      <c r="H26" s="2"/>
      <c r="I26" s="316"/>
      <c r="J26" s="316"/>
    </row>
    <row r="27" spans="1:12" ht="22.5" customHeight="1">
      <c r="A27" s="288"/>
      <c r="B27" s="289"/>
      <c r="C27" s="2" t="s">
        <v>14</v>
      </c>
      <c r="D27" s="3">
        <f>SUM(E27:H27)</f>
        <v>0</v>
      </c>
      <c r="E27" s="3"/>
      <c r="F27" s="3"/>
      <c r="G27" s="3"/>
      <c r="H27" s="3"/>
      <c r="I27" s="316"/>
      <c r="J27" s="316"/>
    </row>
    <row r="28" spans="1:12" ht="22.5" customHeight="1">
      <c r="A28" s="288"/>
      <c r="B28" s="289"/>
      <c r="C28" s="2" t="s">
        <v>15</v>
      </c>
      <c r="D28" s="3">
        <f>SUM(E28:H28)</f>
        <v>0</v>
      </c>
      <c r="E28" s="3"/>
      <c r="F28" s="3"/>
      <c r="G28" s="3"/>
      <c r="H28" s="3"/>
      <c r="I28" s="316"/>
      <c r="J28" s="316"/>
    </row>
    <row r="29" spans="1:12" ht="22.5" customHeight="1">
      <c r="A29" s="290"/>
      <c r="B29" s="291"/>
      <c r="C29" s="4" t="s">
        <v>16</v>
      </c>
      <c r="D29" s="5">
        <f>SUM(D26:D28)</f>
        <v>0</v>
      </c>
      <c r="E29" s="5"/>
      <c r="F29" s="5"/>
      <c r="G29" s="5"/>
      <c r="H29" s="5"/>
      <c r="I29" s="316"/>
      <c r="J29" s="316"/>
    </row>
    <row r="30" spans="1:12" s="343" customFormat="1" ht="22.5" customHeight="1">
      <c r="A30" s="286">
        <v>6</v>
      </c>
      <c r="B30" s="286" t="s">
        <v>589</v>
      </c>
      <c r="C30" s="341" t="s">
        <v>527</v>
      </c>
      <c r="D30" s="344">
        <f>D34</f>
        <v>0</v>
      </c>
      <c r="E30" s="344">
        <f>E34</f>
        <v>0</v>
      </c>
      <c r="F30" s="344">
        <f>F34</f>
        <v>0</v>
      </c>
      <c r="G30" s="344">
        <f>G34</f>
        <v>0</v>
      </c>
      <c r="H30" s="344">
        <f>H34</f>
        <v>0</v>
      </c>
      <c r="I30" s="342"/>
      <c r="J30" s="342">
        <v>150000000</v>
      </c>
      <c r="K30" s="712">
        <f>+E30</f>
        <v>0</v>
      </c>
      <c r="L30" s="712">
        <f>+J30-K30</f>
        <v>150000000</v>
      </c>
    </row>
    <row r="31" spans="1:12" ht="22.5" customHeight="1">
      <c r="A31" s="288"/>
      <c r="B31" s="289"/>
      <c r="C31" s="2" t="s">
        <v>13</v>
      </c>
      <c r="D31" s="3">
        <f>SUM(E31:H31)</f>
        <v>0</v>
      </c>
      <c r="E31" s="2"/>
      <c r="F31" s="5"/>
      <c r="G31" s="2"/>
      <c r="H31" s="2"/>
      <c r="I31" s="316"/>
      <c r="J31" s="316"/>
    </row>
    <row r="32" spans="1:12" ht="22.5" customHeight="1">
      <c r="A32" s="288"/>
      <c r="B32" s="289"/>
      <c r="C32" s="2" t="s">
        <v>14</v>
      </c>
      <c r="D32" s="3">
        <f>SUM(E32:H32)</f>
        <v>0</v>
      </c>
      <c r="E32" s="3"/>
      <c r="F32" s="3"/>
      <c r="G32" s="3"/>
      <c r="H32" s="3"/>
      <c r="I32" s="316"/>
      <c r="J32" s="316"/>
    </row>
    <row r="33" spans="1:10" ht="22.5" customHeight="1">
      <c r="A33" s="288"/>
      <c r="B33" s="289"/>
      <c r="C33" s="2" t="s">
        <v>15</v>
      </c>
      <c r="D33" s="3">
        <f>SUM(E33:H33)</f>
        <v>0</v>
      </c>
      <c r="E33" s="3"/>
      <c r="F33" s="3"/>
      <c r="G33" s="3"/>
      <c r="H33" s="3"/>
      <c r="I33" s="316"/>
      <c r="J33" s="316"/>
    </row>
    <row r="34" spans="1:10" ht="22.5" customHeight="1">
      <c r="A34" s="290"/>
      <c r="B34" s="291"/>
      <c r="C34" s="4" t="s">
        <v>16</v>
      </c>
      <c r="D34" s="5">
        <f>SUM(D31:D33)</f>
        <v>0</v>
      </c>
      <c r="E34" s="5">
        <f>SUM(E31:E33)</f>
        <v>0</v>
      </c>
      <c r="F34" s="5">
        <f t="shared" ref="F34:H34" si="4">SUM(F31:F33)</f>
        <v>0</v>
      </c>
      <c r="G34" s="5">
        <f t="shared" si="4"/>
        <v>0</v>
      </c>
      <c r="H34" s="5">
        <f t="shared" si="4"/>
        <v>0</v>
      </c>
      <c r="I34" s="316"/>
      <c r="J34" s="316"/>
    </row>
    <row r="35" spans="1:10" s="343" customFormat="1" ht="22.5" customHeight="1">
      <c r="A35" s="286">
        <v>7</v>
      </c>
      <c r="B35" s="286">
        <v>432</v>
      </c>
      <c r="C35" s="341" t="s">
        <v>99</v>
      </c>
      <c r="D35" s="344">
        <f>D39</f>
        <v>0</v>
      </c>
      <c r="E35" s="344">
        <f>E39</f>
        <v>0</v>
      </c>
      <c r="F35" s="344">
        <f>F39</f>
        <v>0</v>
      </c>
      <c r="G35" s="344">
        <f>G39</f>
        <v>0</v>
      </c>
      <c r="H35" s="344">
        <f>H39</f>
        <v>0</v>
      </c>
      <c r="I35" s="342"/>
      <c r="J35" s="342"/>
    </row>
    <row r="36" spans="1:10" ht="22.5" customHeight="1">
      <c r="A36" s="288"/>
      <c r="B36" s="289"/>
      <c r="C36" s="2" t="s">
        <v>13</v>
      </c>
      <c r="D36" s="3">
        <f>SUM(E36:H36)</f>
        <v>0</v>
      </c>
      <c r="E36" s="2"/>
      <c r="F36" s="2"/>
      <c r="G36" s="2">
        <v>0</v>
      </c>
      <c r="H36" s="2"/>
      <c r="I36" s="316"/>
      <c r="J36" s="316"/>
    </row>
    <row r="37" spans="1:10" ht="22.5" customHeight="1">
      <c r="A37" s="288"/>
      <c r="B37" s="289"/>
      <c r="C37" s="2" t="s">
        <v>14</v>
      </c>
      <c r="D37" s="3">
        <f>SUM(E37:H37)</f>
        <v>0</v>
      </c>
      <c r="E37" s="3"/>
      <c r="F37" s="3"/>
      <c r="G37" s="2"/>
      <c r="H37" s="2"/>
      <c r="I37" s="316"/>
      <c r="J37" s="316"/>
    </row>
    <row r="38" spans="1:10" ht="22.5" customHeight="1">
      <c r="A38" s="288"/>
      <c r="B38" s="289"/>
      <c r="C38" s="2" t="s">
        <v>15</v>
      </c>
      <c r="D38" s="3">
        <f>SUM(E38:H38)</f>
        <v>0</v>
      </c>
      <c r="E38" s="3"/>
      <c r="F38" s="3"/>
      <c r="G38" s="3"/>
      <c r="H38" s="3"/>
      <c r="I38" s="316"/>
      <c r="J38" s="316"/>
    </row>
    <row r="39" spans="1:10" ht="22.5" customHeight="1">
      <c r="A39" s="290"/>
      <c r="B39" s="291"/>
      <c r="C39" s="4" t="s">
        <v>16</v>
      </c>
      <c r="D39" s="5">
        <f>SUM(D36:D38)</f>
        <v>0</v>
      </c>
      <c r="E39" s="5">
        <f>SUM(E36:E38)</f>
        <v>0</v>
      </c>
      <c r="F39" s="5">
        <f t="shared" ref="F39:H39" si="5">SUM(F36:F38)</f>
        <v>0</v>
      </c>
      <c r="G39" s="5">
        <f t="shared" si="5"/>
        <v>0</v>
      </c>
      <c r="H39" s="5">
        <f t="shared" si="5"/>
        <v>0</v>
      </c>
      <c r="I39" s="316"/>
      <c r="J39" s="316"/>
    </row>
    <row r="40" spans="1:10" s="293" customFormat="1" ht="31.5" customHeight="1">
      <c r="A40" s="292"/>
      <c r="B40" s="292"/>
      <c r="C40" s="6" t="s">
        <v>29</v>
      </c>
      <c r="D40" s="1">
        <f>D5+D15+D25+D10+D35+D20</f>
        <v>11551000</v>
      </c>
      <c r="E40" s="1">
        <f>E5+E15+E25+E10+E35+E20</f>
        <v>0</v>
      </c>
      <c r="F40" s="1">
        <f>F5+F10+F15+F20+F25+F30+F35</f>
        <v>149000</v>
      </c>
      <c r="G40" s="1">
        <f t="shared" ref="G40:H40" si="6">G5+G10+G15+G20+G25+G30+G35</f>
        <v>11200000</v>
      </c>
      <c r="H40" s="1">
        <f t="shared" si="6"/>
        <v>202000</v>
      </c>
      <c r="I40" s="316"/>
      <c r="J40" s="316"/>
    </row>
    <row r="41" spans="1:10">
      <c r="B41" s="294"/>
      <c r="C41" s="294"/>
      <c r="D41" s="287"/>
      <c r="E41" s="294"/>
      <c r="F41" s="294"/>
      <c r="I41" s="316"/>
      <c r="J41" s="316"/>
    </row>
    <row r="42" spans="1:10" s="295" customFormat="1">
      <c r="B42" s="296"/>
      <c r="C42" s="314" t="s">
        <v>78</v>
      </c>
      <c r="E42" s="1066" t="s">
        <v>80</v>
      </c>
      <c r="F42" s="1066"/>
      <c r="G42" s="1066"/>
      <c r="I42" s="316"/>
      <c r="J42" s="316"/>
    </row>
    <row r="63" spans="4:4">
      <c r="D63" s="297"/>
    </row>
    <row r="64" spans="4:4">
      <c r="D64" s="297"/>
    </row>
  </sheetData>
  <mergeCells count="8">
    <mergeCell ref="E42:G42"/>
    <mergeCell ref="E3:H3"/>
    <mergeCell ref="A3:A4"/>
    <mergeCell ref="B3:B4"/>
    <mergeCell ref="B1:H1"/>
    <mergeCell ref="F2:H2"/>
    <mergeCell ref="D3:D4"/>
    <mergeCell ref="C3:C4"/>
  </mergeCells>
  <phoneticPr fontId="1" type="noConversion"/>
  <pageMargins left="0.34" right="0.26" top="0.53" bottom="1" header="0.3" footer="0.5"/>
  <pageSetup paperSize="9" orientation="portrait" verticalDpi="36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36"/>
  <sheetViews>
    <sheetView zoomScale="85" zoomScaleNormal="85" workbookViewId="0">
      <pane ySplit="4" topLeftCell="A5" activePane="bottomLeft" state="frozen"/>
      <selection activeCell="E6" sqref="E6"/>
      <selection pane="bottomLeft" activeCell="C13" sqref="C13"/>
    </sheetView>
  </sheetViews>
  <sheetFormatPr defaultRowHeight="12.75"/>
  <cols>
    <col min="1" max="1" width="7.85546875" style="257" customWidth="1"/>
    <col min="2" max="2" width="41.42578125" style="257" customWidth="1"/>
    <col min="3" max="3" width="42.85546875" style="257" customWidth="1"/>
    <col min="4" max="4" width="14.42578125" style="257" customWidth="1"/>
    <col min="5" max="5" width="14" style="257" customWidth="1"/>
    <col min="6" max="6" width="26.7109375" style="257" customWidth="1"/>
    <col min="7" max="7" width="63.7109375" style="257" customWidth="1"/>
    <col min="8" max="8" width="14.28515625" style="257" customWidth="1"/>
    <col min="9" max="9" width="9.140625" style="257"/>
    <col min="10" max="10" width="24.85546875" style="257" customWidth="1"/>
    <col min="11" max="11" width="21.42578125" style="257" customWidth="1"/>
    <col min="12" max="12" width="18.28515625" style="257" customWidth="1"/>
    <col min="13" max="13" width="24.42578125" style="257" customWidth="1"/>
    <col min="14" max="16384" width="9.140625" style="257"/>
  </cols>
  <sheetData>
    <row r="1" spans="1:13" ht="27.75" customHeight="1">
      <c r="A1" s="1072" t="str">
        <f ca="1">"DANH MỤC ĐƠN VỊ HƯỞNG THỤ NGÂN SÁCH NĂM "&amp;YEAR(Menu!D4)</f>
        <v>DANH MỤC ĐƠN VỊ HƯỞNG THỤ NGÂN SÁCH NĂM 2018</v>
      </c>
      <c r="B1" s="1072"/>
      <c r="C1" s="1072"/>
      <c r="D1" s="1072"/>
      <c r="E1" s="1072"/>
      <c r="F1" s="1072"/>
      <c r="G1" s="1072"/>
      <c r="H1" s="1072"/>
    </row>
    <row r="2" spans="1:13" ht="8.25" customHeight="1">
      <c r="B2" s="271"/>
      <c r="C2" s="298"/>
      <c r="D2" s="271"/>
      <c r="E2" s="271"/>
      <c r="F2" s="275"/>
      <c r="G2" s="271"/>
      <c r="H2" s="271"/>
    </row>
    <row r="3" spans="1:13" ht="20.25" customHeight="1">
      <c r="A3" s="1078" t="s">
        <v>0</v>
      </c>
      <c r="B3" s="1078" t="s">
        <v>338</v>
      </c>
      <c r="C3" s="1078" t="s">
        <v>339</v>
      </c>
      <c r="D3" s="1078" t="s">
        <v>340</v>
      </c>
      <c r="E3" s="1078" t="s">
        <v>337</v>
      </c>
      <c r="F3" s="1075" t="s">
        <v>341</v>
      </c>
      <c r="G3" s="1077"/>
      <c r="H3" s="1078" t="s">
        <v>450</v>
      </c>
      <c r="J3" s="1073" t="s">
        <v>346</v>
      </c>
      <c r="K3" s="1075" t="s">
        <v>348</v>
      </c>
      <c r="L3" s="1076"/>
      <c r="M3" s="1077"/>
    </row>
    <row r="4" spans="1:13" ht="20.25" customHeight="1">
      <c r="A4" s="1079"/>
      <c r="B4" s="1079"/>
      <c r="C4" s="1079"/>
      <c r="D4" s="1079"/>
      <c r="E4" s="1079"/>
      <c r="F4" s="192" t="s">
        <v>342</v>
      </c>
      <c r="G4" s="192" t="s">
        <v>451</v>
      </c>
      <c r="H4" s="1079"/>
      <c r="J4" s="1074"/>
      <c r="K4" s="179" t="s">
        <v>347</v>
      </c>
      <c r="L4" s="191" t="s">
        <v>344</v>
      </c>
      <c r="M4" s="191" t="s">
        <v>345</v>
      </c>
    </row>
    <row r="5" spans="1:13" ht="18.75">
      <c r="A5" s="278">
        <v>1</v>
      </c>
      <c r="B5" s="465" t="s">
        <v>665</v>
      </c>
      <c r="C5" s="465" t="s">
        <v>667</v>
      </c>
      <c r="D5" s="279"/>
      <c r="E5" s="279"/>
      <c r="F5" s="279"/>
      <c r="G5" s="280"/>
      <c r="H5" s="280"/>
      <c r="J5" s="280"/>
      <c r="K5" s="299"/>
      <c r="L5" s="300"/>
      <c r="M5" s="280"/>
    </row>
    <row r="6" spans="1:13" ht="18.75">
      <c r="A6" s="278"/>
      <c r="B6" s="465" t="s">
        <v>666</v>
      </c>
      <c r="C6" s="465" t="s">
        <v>667</v>
      </c>
      <c r="D6" s="279"/>
      <c r="E6" s="279"/>
      <c r="F6" s="279"/>
      <c r="G6" s="280"/>
      <c r="H6" s="280"/>
      <c r="J6" s="280"/>
      <c r="K6" s="299"/>
      <c r="L6" s="300"/>
      <c r="M6" s="280"/>
    </row>
    <row r="7" spans="1:13" ht="18.75">
      <c r="A7" s="278">
        <v>2</v>
      </c>
      <c r="B7" s="465"/>
      <c r="C7" s="465"/>
      <c r="D7" s="279"/>
      <c r="E7" s="279"/>
      <c r="F7" s="464"/>
      <c r="G7" s="280"/>
      <c r="H7" s="280"/>
      <c r="J7" s="280"/>
      <c r="K7" s="299"/>
      <c r="L7" s="300"/>
      <c r="M7" s="280"/>
    </row>
    <row r="8" spans="1:13" ht="18.75">
      <c r="A8" s="278">
        <v>2</v>
      </c>
      <c r="B8" s="465"/>
      <c r="C8" s="465"/>
      <c r="D8" s="279"/>
      <c r="E8" s="279"/>
      <c r="F8" s="464"/>
      <c r="G8" s="280"/>
      <c r="H8" s="280"/>
      <c r="J8" s="280"/>
      <c r="K8" s="299"/>
      <c r="L8" s="300"/>
      <c r="M8" s="280"/>
    </row>
    <row r="9" spans="1:13" ht="18.75">
      <c r="A9" s="278">
        <v>3</v>
      </c>
      <c r="B9" s="465"/>
      <c r="C9" s="465"/>
      <c r="D9" s="279"/>
      <c r="E9" s="279"/>
      <c r="F9" s="464"/>
      <c r="G9" s="280"/>
      <c r="H9" s="280"/>
      <c r="J9" s="280"/>
      <c r="K9" s="299"/>
      <c r="L9" s="300"/>
      <c r="M9" s="280"/>
    </row>
    <row r="10" spans="1:13" ht="18.75">
      <c r="A10" s="278">
        <v>4</v>
      </c>
      <c r="B10" s="465"/>
      <c r="C10" s="465"/>
      <c r="D10" s="279"/>
      <c r="E10" s="279"/>
      <c r="F10" s="464"/>
      <c r="G10" s="280"/>
      <c r="H10" s="280"/>
      <c r="J10" s="280"/>
      <c r="K10" s="299"/>
      <c r="L10" s="300"/>
      <c r="M10" s="280"/>
    </row>
    <row r="11" spans="1:13" ht="18.75">
      <c r="A11" s="278">
        <v>5</v>
      </c>
      <c r="B11" s="465"/>
      <c r="C11" s="465"/>
      <c r="D11" s="279"/>
      <c r="E11" s="279"/>
      <c r="F11" s="464"/>
      <c r="G11" s="280"/>
      <c r="H11" s="280"/>
    </row>
    <row r="12" spans="1:13" ht="18.75">
      <c r="A12" s="278">
        <v>6</v>
      </c>
      <c r="B12" s="465"/>
      <c r="C12" s="465"/>
      <c r="D12" s="279"/>
      <c r="E12" s="279"/>
      <c r="F12" s="464"/>
      <c r="G12" s="280"/>
      <c r="H12" s="280"/>
    </row>
    <row r="13" spans="1:13" ht="18.75">
      <c r="A13" s="278">
        <v>7</v>
      </c>
      <c r="B13" s="465"/>
      <c r="C13" s="465"/>
      <c r="D13" s="279"/>
      <c r="E13" s="279"/>
      <c r="F13" s="464"/>
      <c r="G13" s="280"/>
      <c r="H13" s="280"/>
    </row>
    <row r="14" spans="1:13" ht="18.75">
      <c r="A14" s="278">
        <v>8</v>
      </c>
      <c r="B14" s="465"/>
      <c r="C14" s="465"/>
      <c r="D14" s="279"/>
      <c r="E14" s="279"/>
      <c r="F14" s="464"/>
      <c r="G14" s="280"/>
      <c r="H14" s="280"/>
    </row>
    <row r="15" spans="1:13" ht="18.75">
      <c r="A15" s="278">
        <v>9</v>
      </c>
      <c r="B15" s="465"/>
      <c r="C15" s="465"/>
      <c r="D15" s="279"/>
      <c r="E15" s="279"/>
      <c r="F15" s="464"/>
      <c r="G15" s="280"/>
      <c r="H15" s="280"/>
    </row>
    <row r="16" spans="1:13" ht="18.75">
      <c r="A16" s="278">
        <v>10</v>
      </c>
      <c r="B16" s="465"/>
      <c r="C16" s="465"/>
      <c r="D16" s="279"/>
      <c r="E16" s="279"/>
      <c r="F16" s="464"/>
      <c r="G16" s="280"/>
      <c r="H16" s="280"/>
    </row>
    <row r="17" spans="1:8" ht="18.75" customHeight="1">
      <c r="A17" s="278">
        <v>11</v>
      </c>
      <c r="B17" s="465"/>
      <c r="C17" s="465"/>
      <c r="D17" s="279"/>
      <c r="E17" s="279"/>
      <c r="F17" s="464"/>
      <c r="G17" s="280"/>
      <c r="H17" s="280"/>
    </row>
    <row r="18" spans="1:8" ht="18.75" customHeight="1">
      <c r="A18" s="278"/>
      <c r="B18" s="465"/>
      <c r="C18" s="465"/>
      <c r="D18" s="279"/>
      <c r="E18" s="279"/>
      <c r="F18" s="464"/>
      <c r="G18" s="280"/>
      <c r="H18" s="280"/>
    </row>
    <row r="19" spans="1:8" ht="18.75">
      <c r="A19" s="278"/>
      <c r="B19" s="465"/>
      <c r="C19" s="465"/>
      <c r="D19" s="279"/>
      <c r="E19" s="279"/>
      <c r="F19" s="464"/>
      <c r="G19" s="280"/>
      <c r="H19" s="280"/>
    </row>
    <row r="20" spans="1:8" ht="18.75">
      <c r="A20" s="278">
        <v>12</v>
      </c>
      <c r="B20" s="465"/>
      <c r="C20" s="465"/>
      <c r="D20" s="279"/>
      <c r="E20" s="279"/>
      <c r="F20" s="464"/>
      <c r="G20" s="280"/>
      <c r="H20" s="280"/>
    </row>
    <row r="21" spans="1:8" ht="18.75">
      <c r="A21" s="278">
        <v>13</v>
      </c>
      <c r="B21" s="465"/>
      <c r="C21" s="465"/>
      <c r="D21" s="279"/>
      <c r="E21" s="279"/>
      <c r="F21" s="464"/>
      <c r="G21" s="280"/>
      <c r="H21" s="280"/>
    </row>
    <row r="22" spans="1:8" ht="18.75">
      <c r="A22" s="278"/>
      <c r="B22" s="465"/>
      <c r="C22" s="465"/>
      <c r="D22" s="279"/>
      <c r="E22" s="279"/>
      <c r="F22" s="464"/>
      <c r="G22" s="280"/>
      <c r="H22" s="280"/>
    </row>
    <row r="23" spans="1:8" ht="18.75">
      <c r="A23" s="278">
        <v>14</v>
      </c>
      <c r="B23" s="465"/>
      <c r="C23" s="465"/>
      <c r="D23" s="279"/>
      <c r="E23" s="279"/>
      <c r="F23" s="464"/>
      <c r="G23" s="280"/>
      <c r="H23" s="280"/>
    </row>
    <row r="24" spans="1:8" ht="37.5" customHeight="1">
      <c r="A24" s="278">
        <v>15</v>
      </c>
      <c r="B24" s="465"/>
      <c r="C24" s="465"/>
      <c r="D24" s="279"/>
      <c r="E24" s="279"/>
      <c r="F24" s="464"/>
      <c r="G24" s="280"/>
      <c r="H24" s="280"/>
    </row>
    <row r="25" spans="1:8" ht="18.75">
      <c r="A25" s="278"/>
      <c r="B25" s="465"/>
      <c r="C25" s="465"/>
      <c r="D25" s="279"/>
      <c r="E25" s="279"/>
      <c r="F25" s="464"/>
      <c r="G25" s="280"/>
      <c r="H25" s="280"/>
    </row>
    <row r="26" spans="1:8" ht="18.75">
      <c r="A26" s="278"/>
      <c r="B26" s="465"/>
      <c r="C26" s="465"/>
      <c r="D26" s="279"/>
      <c r="E26" s="279"/>
      <c r="F26" s="464"/>
      <c r="G26" s="280"/>
      <c r="H26" s="280"/>
    </row>
    <row r="27" spans="1:8" ht="37.5" customHeight="1">
      <c r="A27" s="278">
        <v>16</v>
      </c>
      <c r="B27" s="465"/>
      <c r="C27" s="465"/>
      <c r="D27" s="279"/>
      <c r="E27" s="279"/>
      <c r="F27" s="464"/>
      <c r="G27" s="280"/>
      <c r="H27" s="280"/>
    </row>
    <row r="28" spans="1:8" ht="37.5" customHeight="1">
      <c r="A28" s="278">
        <v>17</v>
      </c>
      <c r="B28" s="465"/>
      <c r="C28" s="465"/>
      <c r="D28" s="279"/>
      <c r="E28" s="279"/>
      <c r="F28" s="464"/>
      <c r="G28" s="280"/>
      <c r="H28" s="280"/>
    </row>
    <row r="29" spans="1:8" s="271" customFormat="1" ht="18.75">
      <c r="B29" s="465"/>
      <c r="C29" s="465"/>
      <c r="D29" s="279"/>
      <c r="E29" s="279"/>
      <c r="F29" s="464"/>
      <c r="G29" s="280"/>
    </row>
    <row r="30" spans="1:8" s="271" customFormat="1" ht="18.75">
      <c r="B30" s="465"/>
      <c r="C30" s="465"/>
      <c r="D30" s="279"/>
      <c r="E30" s="279"/>
      <c r="F30" s="464"/>
      <c r="G30" s="280"/>
    </row>
    <row r="31" spans="1:8" s="271" customFormat="1" ht="18.75">
      <c r="B31" s="465"/>
      <c r="C31" s="465"/>
      <c r="D31" s="279"/>
      <c r="E31" s="279"/>
      <c r="F31" s="464"/>
      <c r="G31" s="280"/>
    </row>
    <row r="32" spans="1:8" s="271" customFormat="1" ht="18.75"/>
    <row r="33" s="271" customFormat="1" ht="18.75"/>
    <row r="34" s="271" customFormat="1" ht="18.75"/>
    <row r="35" s="271" customFormat="1" ht="18.75"/>
    <row r="36" s="271" customFormat="1" ht="18.75"/>
  </sheetData>
  <mergeCells count="10">
    <mergeCell ref="A1:H1"/>
    <mergeCell ref="J3:J4"/>
    <mergeCell ref="K3:M3"/>
    <mergeCell ref="B3:B4"/>
    <mergeCell ref="A3:A4"/>
    <mergeCell ref="C3:C4"/>
    <mergeCell ref="D3:D4"/>
    <mergeCell ref="E3:E4"/>
    <mergeCell ref="H3:H4"/>
    <mergeCell ref="F3:G3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22"/>
  <sheetViews>
    <sheetView workbookViewId="0">
      <pane ySplit="6" topLeftCell="A7" activePane="bottomLeft" state="frozen"/>
      <selection activeCell="E6" sqref="E6"/>
      <selection pane="bottomLeft" activeCell="B15" sqref="B15"/>
    </sheetView>
  </sheetViews>
  <sheetFormatPr defaultRowHeight="18.75"/>
  <cols>
    <col min="1" max="1" width="9.140625" style="271" customWidth="1"/>
    <col min="2" max="2" width="57" style="271" customWidth="1"/>
    <col min="3" max="3" width="11.5703125" style="271" customWidth="1"/>
    <col min="4" max="4" width="17.7109375" style="271" customWidth="1"/>
    <col min="5" max="5" width="18.28515625" style="271" customWidth="1"/>
    <col min="6" max="6" width="17.42578125" style="271" customWidth="1"/>
    <col min="7" max="7" width="20.7109375" style="271" customWidth="1"/>
    <col min="8" max="8" width="18.7109375" style="271" customWidth="1"/>
    <col min="9" max="9" width="12.28515625" style="271" customWidth="1"/>
    <col min="10" max="16384" width="9.140625" style="271"/>
  </cols>
  <sheetData>
    <row r="1" spans="1:14" ht="6.75" customHeight="1"/>
    <row r="2" spans="1:14" s="274" customFormat="1" ht="24" customHeight="1">
      <c r="A2" s="272"/>
      <c r="B2" s="1080" t="str">
        <f ca="1">"DANH MỤC CÔNG TRÌNH, DỰ ÁN NĂM "&amp;YEAR(Menu!D4)</f>
        <v>DANH MỤC CÔNG TRÌNH, DỰ ÁN NĂM 2018</v>
      </c>
      <c r="C2" s="1080"/>
      <c r="D2" s="1080"/>
      <c r="E2" s="1080"/>
      <c r="F2" s="1080"/>
      <c r="G2" s="315"/>
      <c r="H2" s="273"/>
    </row>
    <row r="3" spans="1:14" ht="6.75" customHeight="1">
      <c r="E3" s="275"/>
      <c r="J3" s="140"/>
      <c r="K3" s="140"/>
      <c r="L3" s="140"/>
      <c r="M3" s="140"/>
      <c r="N3" s="140"/>
    </row>
    <row r="4" spans="1:14" s="276" customFormat="1" ht="18" customHeight="1">
      <c r="A4" s="1083" t="s">
        <v>0</v>
      </c>
      <c r="B4" s="1083" t="s">
        <v>358</v>
      </c>
      <c r="C4" s="1083" t="s">
        <v>355</v>
      </c>
      <c r="D4" s="1083" t="s">
        <v>359</v>
      </c>
      <c r="E4" s="1083" t="s">
        <v>360</v>
      </c>
      <c r="F4" s="1083" t="s">
        <v>361</v>
      </c>
      <c r="G4" s="1081" t="s">
        <v>362</v>
      </c>
      <c r="H4" s="1082"/>
    </row>
    <row r="5" spans="1:14" s="276" customFormat="1" ht="18" customHeight="1">
      <c r="A5" s="1084"/>
      <c r="B5" s="1084"/>
      <c r="C5" s="1084"/>
      <c r="D5" s="1084"/>
      <c r="E5" s="1084"/>
      <c r="F5" s="1084"/>
      <c r="G5" s="669" t="s">
        <v>535</v>
      </c>
      <c r="H5" s="670" t="s">
        <v>534</v>
      </c>
    </row>
    <row r="6" spans="1:14" s="276" customFormat="1" ht="30" hidden="1" customHeight="1">
      <c r="A6" s="277"/>
      <c r="B6" s="277"/>
      <c r="D6" s="277"/>
      <c r="E6" s="277"/>
      <c r="F6" s="277"/>
      <c r="G6" s="277"/>
      <c r="H6" s="277"/>
    </row>
    <row r="7" spans="1:14" s="274" customFormat="1" ht="30" customHeight="1">
      <c r="A7" s="475" t="s">
        <v>30</v>
      </c>
      <c r="B7" s="478" t="s">
        <v>522</v>
      </c>
      <c r="C7" s="475" t="s">
        <v>528</v>
      </c>
      <c r="D7" s="476"/>
      <c r="E7" s="476">
        <f>'Giao  du toan'!D5</f>
        <v>202000</v>
      </c>
      <c r="F7" s="470">
        <f>SUMIF('Nhap lieu'!$N$9:$N$201,B7,'Nhap lieu'!$AK$9:$AK$201)</f>
        <v>0</v>
      </c>
      <c r="G7" s="477">
        <f>D7-E7</f>
        <v>-202000</v>
      </c>
      <c r="H7" s="476">
        <f>D7-E7</f>
        <v>-202000</v>
      </c>
    </row>
    <row r="8" spans="1:14" s="274" customFormat="1" ht="21.75" customHeight="1">
      <c r="A8" s="475" t="s">
        <v>31</v>
      </c>
      <c r="B8" s="478" t="s">
        <v>26</v>
      </c>
      <c r="C8" s="475" t="s">
        <v>481</v>
      </c>
      <c r="D8" s="476"/>
      <c r="E8" s="476">
        <f>'Giao  du toan'!D10</f>
        <v>155000</v>
      </c>
      <c r="F8" s="470">
        <f>SUMIF('Nhap lieu'!$N$9:$N$201,B8,'Nhap lieu'!$AK$9:$AK$201)</f>
        <v>0</v>
      </c>
      <c r="G8" s="477">
        <f t="shared" ref="G8:G11" si="0">D8-E8</f>
        <v>-155000</v>
      </c>
      <c r="H8" s="476">
        <f>D8-E8</f>
        <v>-155000</v>
      </c>
    </row>
    <row r="9" spans="1:14" s="274" customFormat="1" ht="21.75" customHeight="1">
      <c r="A9" s="475" t="s">
        <v>105</v>
      </c>
      <c r="B9" s="478" t="s">
        <v>529</v>
      </c>
      <c r="C9" s="475" t="s">
        <v>530</v>
      </c>
      <c r="D9" s="476"/>
      <c r="E9" s="476">
        <f>'Giao  du toan'!D20</f>
        <v>0</v>
      </c>
      <c r="F9" s="470">
        <f>SUMIF('Nhap lieu'!$N$9:$N$201,B9,'Nhap lieu'!$AK$9:$AK$201)</f>
        <v>0</v>
      </c>
      <c r="G9" s="477">
        <f t="shared" si="0"/>
        <v>0</v>
      </c>
      <c r="H9" s="476">
        <f>D9-E9</f>
        <v>0</v>
      </c>
    </row>
    <row r="10" spans="1:14" s="274" customFormat="1" ht="21.75" customHeight="1">
      <c r="A10" s="475" t="s">
        <v>531</v>
      </c>
      <c r="B10" s="478" t="s">
        <v>592</v>
      </c>
      <c r="C10" s="475" t="s">
        <v>591</v>
      </c>
      <c r="D10" s="476"/>
      <c r="E10" s="476">
        <f>'Giao  du toan'!F31</f>
        <v>0</v>
      </c>
      <c r="F10" s="470">
        <f>SUMIF('Nhap lieu'!$N$9:$N$201,B10,'Nhap lieu'!$AK$9:$AK$201)</f>
        <v>0</v>
      </c>
      <c r="G10" s="477"/>
      <c r="H10" s="476"/>
    </row>
    <row r="11" spans="1:14" s="274" customFormat="1" ht="21.75" customHeight="1">
      <c r="A11" s="274" t="s">
        <v>590</v>
      </c>
      <c r="B11" s="478" t="s">
        <v>24</v>
      </c>
      <c r="C11" s="475" t="s">
        <v>532</v>
      </c>
      <c r="D11" s="476"/>
      <c r="E11" s="477">
        <f>SUM(E12:E122)</f>
        <v>2066000</v>
      </c>
      <c r="F11" s="477">
        <f>SUM(F12:F122)</f>
        <v>0</v>
      </c>
      <c r="G11" s="477">
        <f t="shared" si="0"/>
        <v>-2066000</v>
      </c>
      <c r="H11" s="476">
        <f>D11-E11</f>
        <v>-2066000</v>
      </c>
    </row>
    <row r="12" spans="1:14" s="272" customFormat="1" ht="21.75" customHeight="1">
      <c r="A12" s="278">
        <v>1</v>
      </c>
      <c r="B12" s="473" t="s">
        <v>657</v>
      </c>
      <c r="C12" s="474" t="s">
        <v>533</v>
      </c>
      <c r="D12" s="470"/>
      <c r="E12" s="471">
        <v>600000</v>
      </c>
      <c r="F12" s="470">
        <f>SUMIF('Nhap lieu'!$N$9:$N$201,B12,'Nhap lieu'!$AK$9:$AK$201)</f>
        <v>0</v>
      </c>
      <c r="G12" s="470"/>
      <c r="H12" s="470"/>
    </row>
    <row r="13" spans="1:14" s="272" customFormat="1" ht="21.75" customHeight="1">
      <c r="A13" s="825">
        <v>2</v>
      </c>
      <c r="B13" s="826" t="s">
        <v>668</v>
      </c>
      <c r="C13" s="827" t="s">
        <v>363</v>
      </c>
      <c r="D13" s="828"/>
      <c r="E13" s="829">
        <v>1466000</v>
      </c>
      <c r="F13" s="830">
        <f>SUMIF('Nhap lieu'!$N$9:$N$201,B13,'Nhap lieu'!$AK$9:$AK$201)</f>
        <v>0</v>
      </c>
      <c r="G13" s="470"/>
      <c r="H13" s="470"/>
    </row>
    <row r="14" spans="1:14" s="272" customFormat="1" ht="21.75" customHeight="1">
      <c r="A14" s="825">
        <v>3</v>
      </c>
      <c r="B14" s="826"/>
      <c r="C14" s="827"/>
      <c r="D14" s="828"/>
      <c r="E14" s="829"/>
      <c r="F14" s="830"/>
      <c r="G14" s="470"/>
      <c r="H14" s="470"/>
    </row>
    <row r="15" spans="1:14" s="272" customFormat="1" ht="21.75" customHeight="1">
      <c r="A15" s="825">
        <v>4</v>
      </c>
      <c r="B15" s="826"/>
      <c r="C15" s="827"/>
      <c r="D15" s="828"/>
      <c r="E15" s="829"/>
      <c r="F15" s="830"/>
      <c r="G15" s="470"/>
      <c r="H15" s="470"/>
    </row>
    <row r="16" spans="1:14" s="272" customFormat="1" ht="21.75" customHeight="1">
      <c r="A16" s="825">
        <v>5</v>
      </c>
      <c r="B16" s="826"/>
      <c r="C16" s="827"/>
      <c r="D16" s="828"/>
      <c r="E16" s="829"/>
      <c r="F16" s="830"/>
      <c r="G16" s="470"/>
      <c r="H16" s="470"/>
    </row>
    <row r="17" spans="1:8" s="272" customFormat="1" ht="21.75" customHeight="1">
      <c r="A17" s="825">
        <v>6</v>
      </c>
      <c r="B17" s="826"/>
      <c r="C17" s="827"/>
      <c r="D17" s="828"/>
      <c r="E17" s="829"/>
      <c r="F17" s="830"/>
      <c r="G17" s="470"/>
      <c r="H17" s="470"/>
    </row>
    <row r="18" spans="1:8">
      <c r="A18" s="825">
        <v>7</v>
      </c>
      <c r="B18" s="826"/>
      <c r="C18" s="827"/>
      <c r="D18" s="828"/>
      <c r="E18" s="829"/>
      <c r="F18" s="830"/>
      <c r="G18" s="828"/>
      <c r="H18" s="828"/>
    </row>
    <row r="19" spans="1:8">
      <c r="A19" s="825">
        <v>8</v>
      </c>
      <c r="B19" s="826"/>
      <c r="C19" s="827"/>
      <c r="D19" s="828"/>
      <c r="E19" s="829"/>
      <c r="F19" s="830"/>
      <c r="G19" s="828"/>
      <c r="H19" s="828"/>
    </row>
    <row r="20" spans="1:8">
      <c r="A20" s="825">
        <v>9</v>
      </c>
      <c r="B20" s="826"/>
      <c r="C20" s="827"/>
      <c r="D20" s="828"/>
      <c r="E20" s="829"/>
      <c r="F20" s="830"/>
      <c r="G20" s="828"/>
      <c r="H20" s="828"/>
    </row>
    <row r="21" spans="1:8" ht="39.75" customHeight="1">
      <c r="A21" s="825">
        <v>10</v>
      </c>
      <c r="B21" s="826"/>
      <c r="C21" s="827"/>
      <c r="D21" s="828"/>
      <c r="E21" s="829"/>
      <c r="F21" s="830"/>
      <c r="G21" s="828"/>
      <c r="H21" s="828"/>
    </row>
    <row r="22" spans="1:8">
      <c r="A22" s="825">
        <v>11</v>
      </c>
      <c r="B22" s="826"/>
      <c r="C22" s="827"/>
      <c r="D22" s="828"/>
      <c r="E22" s="829"/>
      <c r="F22" s="830"/>
      <c r="G22" s="828"/>
      <c r="H22" s="828"/>
    </row>
    <row r="23" spans="1:8">
      <c r="A23" s="825">
        <v>12</v>
      </c>
      <c r="B23" s="826"/>
      <c r="C23" s="827"/>
      <c r="D23" s="828"/>
      <c r="E23" s="829"/>
      <c r="F23" s="830"/>
      <c r="G23" s="828"/>
      <c r="H23" s="828"/>
    </row>
    <row r="24" spans="1:8" ht="39.75" customHeight="1">
      <c r="A24" s="825">
        <v>13</v>
      </c>
      <c r="B24" s="826"/>
      <c r="C24" s="827"/>
      <c r="D24" s="828"/>
      <c r="E24" s="829"/>
      <c r="F24" s="830"/>
      <c r="G24" s="828"/>
      <c r="H24" s="828"/>
    </row>
    <row r="25" spans="1:8">
      <c r="A25" s="825">
        <v>14</v>
      </c>
      <c r="B25" s="826"/>
      <c r="C25" s="827"/>
      <c r="D25" s="828"/>
      <c r="E25" s="829"/>
      <c r="F25" s="830"/>
      <c r="G25" s="828"/>
      <c r="H25" s="828"/>
    </row>
    <row r="26" spans="1:8">
      <c r="A26" s="825">
        <v>15</v>
      </c>
      <c r="B26" s="826"/>
      <c r="C26" s="827"/>
      <c r="D26" s="828"/>
      <c r="E26" s="829"/>
      <c r="F26" s="830"/>
      <c r="G26" s="828"/>
      <c r="H26" s="828"/>
    </row>
    <row r="27" spans="1:8">
      <c r="A27" s="825">
        <v>16</v>
      </c>
      <c r="B27" s="826"/>
      <c r="C27" s="827"/>
      <c r="D27" s="828"/>
      <c r="E27" s="829"/>
      <c r="F27" s="830"/>
      <c r="G27" s="828"/>
      <c r="H27" s="828"/>
    </row>
    <row r="28" spans="1:8">
      <c r="A28" s="825">
        <v>17</v>
      </c>
      <c r="B28" s="826"/>
      <c r="C28" s="827"/>
      <c r="D28" s="828"/>
      <c r="E28" s="829"/>
      <c r="F28" s="830"/>
      <c r="G28" s="828"/>
      <c r="H28" s="828"/>
    </row>
    <row r="29" spans="1:8" ht="45" customHeight="1">
      <c r="A29" s="825">
        <v>18</v>
      </c>
      <c r="B29" s="826"/>
      <c r="C29" s="827"/>
      <c r="D29" s="828"/>
      <c r="E29" s="829"/>
      <c r="F29" s="830"/>
      <c r="G29" s="828"/>
      <c r="H29" s="828"/>
    </row>
    <row r="30" spans="1:8" ht="39" customHeight="1">
      <c r="A30" s="825">
        <v>19</v>
      </c>
      <c r="B30" s="826"/>
      <c r="C30" s="827"/>
      <c r="D30" s="828"/>
      <c r="E30" s="829"/>
      <c r="F30" s="830"/>
      <c r="G30" s="828"/>
      <c r="H30" s="828"/>
    </row>
    <row r="31" spans="1:8">
      <c r="A31" s="825">
        <v>20</v>
      </c>
      <c r="B31" s="826"/>
      <c r="C31" s="827"/>
      <c r="D31" s="828"/>
      <c r="E31" s="829"/>
      <c r="F31" s="830"/>
      <c r="G31" s="828"/>
      <c r="H31" s="828"/>
    </row>
    <row r="32" spans="1:8">
      <c r="A32" s="825">
        <v>21</v>
      </c>
      <c r="B32" s="826"/>
      <c r="C32" s="827"/>
      <c r="D32" s="828"/>
      <c r="E32" s="829"/>
      <c r="F32" s="830"/>
      <c r="G32" s="828"/>
      <c r="H32" s="828"/>
    </row>
    <row r="33" spans="1:8">
      <c r="A33" s="825">
        <v>22</v>
      </c>
      <c r="B33" s="826"/>
      <c r="C33" s="827"/>
      <c r="D33" s="828"/>
      <c r="E33" s="829"/>
      <c r="F33" s="830"/>
      <c r="G33" s="828"/>
      <c r="H33" s="828"/>
    </row>
    <row r="34" spans="1:8" ht="42" customHeight="1">
      <c r="A34" s="825">
        <v>23</v>
      </c>
      <c r="B34" s="826"/>
      <c r="C34" s="827"/>
      <c r="D34" s="828"/>
      <c r="E34" s="829"/>
      <c r="F34" s="830"/>
      <c r="G34" s="828"/>
      <c r="H34" s="828"/>
    </row>
    <row r="35" spans="1:8">
      <c r="A35" s="825">
        <v>24</v>
      </c>
      <c r="B35" s="826"/>
      <c r="C35" s="827"/>
      <c r="D35" s="828"/>
      <c r="E35" s="829"/>
      <c r="F35" s="830"/>
      <c r="G35" s="828"/>
      <c r="H35" s="828"/>
    </row>
    <row r="36" spans="1:8" ht="42" customHeight="1">
      <c r="A36" s="825">
        <v>25</v>
      </c>
      <c r="B36" s="826"/>
      <c r="C36" s="827"/>
      <c r="D36" s="828"/>
      <c r="E36" s="829"/>
      <c r="F36" s="830"/>
      <c r="G36" s="828"/>
      <c r="H36" s="828"/>
    </row>
    <row r="37" spans="1:8">
      <c r="A37" s="825">
        <v>26</v>
      </c>
      <c r="B37" s="826"/>
      <c r="C37" s="827"/>
      <c r="D37" s="828"/>
      <c r="E37" s="829"/>
      <c r="F37" s="830"/>
      <c r="G37" s="828"/>
      <c r="H37" s="828"/>
    </row>
    <row r="38" spans="1:8">
      <c r="A38" s="825">
        <v>27</v>
      </c>
      <c r="B38" s="826"/>
      <c r="C38" s="827"/>
      <c r="D38" s="828"/>
      <c r="E38" s="829"/>
      <c r="F38" s="830"/>
      <c r="G38" s="828"/>
      <c r="H38" s="828"/>
    </row>
    <row r="39" spans="1:8">
      <c r="A39" s="825">
        <v>28</v>
      </c>
      <c r="B39" s="826"/>
      <c r="C39" s="827"/>
      <c r="D39" s="828"/>
      <c r="E39" s="829"/>
      <c r="F39" s="830"/>
      <c r="G39" s="828"/>
      <c r="H39" s="828"/>
    </row>
    <row r="40" spans="1:8">
      <c r="A40" s="825">
        <v>28</v>
      </c>
      <c r="B40" s="479"/>
      <c r="C40" s="827"/>
      <c r="D40" s="472"/>
      <c r="E40" s="280"/>
      <c r="F40" s="830"/>
      <c r="G40" s="472"/>
      <c r="H40" s="472"/>
    </row>
    <row r="41" spans="1:8">
      <c r="A41" s="463"/>
      <c r="B41" s="479"/>
      <c r="C41" s="463"/>
      <c r="D41" s="472"/>
      <c r="E41" s="280"/>
      <c r="F41" s="470"/>
      <c r="G41" s="472"/>
      <c r="H41" s="472"/>
    </row>
    <row r="42" spans="1:8">
      <c r="A42" s="463"/>
      <c r="B42" s="479"/>
      <c r="C42" s="463"/>
      <c r="D42" s="472"/>
      <c r="E42" s="280"/>
      <c r="F42" s="470"/>
      <c r="G42" s="472"/>
      <c r="H42" s="472"/>
    </row>
    <row r="43" spans="1:8">
      <c r="A43" s="463"/>
      <c r="B43" s="479"/>
      <c r="C43" s="463"/>
      <c r="D43" s="472"/>
      <c r="E43" s="280"/>
      <c r="F43" s="470"/>
      <c r="G43" s="472"/>
      <c r="H43" s="472"/>
    </row>
    <row r="44" spans="1:8">
      <c r="A44" s="463"/>
      <c r="B44" s="479"/>
      <c r="C44" s="463"/>
      <c r="D44" s="472"/>
      <c r="E44" s="280"/>
      <c r="F44" s="470"/>
      <c r="G44" s="472"/>
      <c r="H44" s="472"/>
    </row>
    <row r="45" spans="1:8">
      <c r="A45" s="463"/>
      <c r="B45" s="479"/>
      <c r="C45" s="463"/>
      <c r="D45" s="472"/>
      <c r="E45" s="280"/>
      <c r="F45" s="470"/>
      <c r="G45" s="472"/>
      <c r="H45" s="472"/>
    </row>
    <row r="46" spans="1:8">
      <c r="A46" s="463"/>
      <c r="B46" s="479"/>
      <c r="C46" s="463"/>
      <c r="D46" s="472"/>
      <c r="E46" s="280"/>
      <c r="F46" s="470"/>
      <c r="G46" s="472"/>
      <c r="H46" s="472"/>
    </row>
    <row r="47" spans="1:8">
      <c r="A47" s="463"/>
      <c r="B47" s="479"/>
      <c r="C47" s="463"/>
      <c r="D47" s="472"/>
      <c r="E47" s="280"/>
      <c r="F47" s="470"/>
      <c r="G47" s="472"/>
      <c r="H47" s="472"/>
    </row>
    <row r="48" spans="1:8">
      <c r="A48" s="463"/>
      <c r="B48" s="479"/>
      <c r="C48" s="463"/>
      <c r="D48" s="472"/>
      <c r="E48" s="280"/>
      <c r="F48" s="470"/>
      <c r="G48" s="472"/>
      <c r="H48" s="472"/>
    </row>
    <row r="49" spans="1:8">
      <c r="A49" s="463"/>
      <c r="B49" s="479"/>
      <c r="C49" s="463"/>
      <c r="D49" s="472"/>
      <c r="E49" s="280"/>
      <c r="F49" s="470"/>
      <c r="G49" s="472"/>
      <c r="H49" s="472"/>
    </row>
    <row r="50" spans="1:8">
      <c r="A50" s="463"/>
      <c r="B50" s="479"/>
      <c r="C50" s="463"/>
      <c r="D50" s="472"/>
      <c r="E50" s="280"/>
      <c r="F50" s="470"/>
      <c r="G50" s="472"/>
      <c r="H50" s="472"/>
    </row>
    <row r="51" spans="1:8">
      <c r="A51" s="463"/>
      <c r="B51" s="479"/>
      <c r="C51" s="463"/>
      <c r="D51" s="472"/>
      <c r="E51" s="280"/>
      <c r="F51" s="470"/>
      <c r="G51" s="472"/>
      <c r="H51" s="472"/>
    </row>
    <row r="52" spans="1:8">
      <c r="A52" s="463"/>
      <c r="B52" s="479"/>
      <c r="C52" s="463"/>
      <c r="D52" s="472"/>
      <c r="E52" s="280"/>
      <c r="F52" s="470"/>
      <c r="G52" s="472"/>
      <c r="H52" s="472"/>
    </row>
    <row r="53" spans="1:8">
      <c r="A53" s="463"/>
      <c r="B53" s="479"/>
      <c r="C53" s="463"/>
      <c r="D53" s="472"/>
      <c r="E53" s="280"/>
      <c r="F53" s="470"/>
      <c r="G53" s="472"/>
      <c r="H53" s="472"/>
    </row>
    <row r="54" spans="1:8">
      <c r="A54" s="463"/>
      <c r="B54" s="479"/>
      <c r="C54" s="463"/>
      <c r="D54" s="472"/>
      <c r="E54" s="280"/>
      <c r="F54" s="470"/>
      <c r="G54" s="472"/>
      <c r="H54" s="472"/>
    </row>
    <row r="55" spans="1:8">
      <c r="A55" s="463"/>
      <c r="B55" s="479"/>
      <c r="C55" s="463"/>
      <c r="D55" s="472"/>
      <c r="E55" s="280"/>
      <c r="F55" s="470"/>
      <c r="G55" s="472"/>
      <c r="H55" s="472"/>
    </row>
    <row r="56" spans="1:8">
      <c r="A56" s="463"/>
      <c r="B56" s="479"/>
      <c r="C56" s="463"/>
      <c r="D56" s="472"/>
      <c r="E56" s="280"/>
      <c r="F56" s="470"/>
      <c r="G56" s="472"/>
      <c r="H56" s="472"/>
    </row>
    <row r="57" spans="1:8">
      <c r="A57" s="463"/>
      <c r="B57" s="479"/>
      <c r="C57" s="463"/>
      <c r="D57" s="472"/>
      <c r="E57" s="280"/>
      <c r="F57" s="470"/>
      <c r="G57" s="472"/>
      <c r="H57" s="472"/>
    </row>
    <row r="58" spans="1:8">
      <c r="A58" s="463"/>
      <c r="B58" s="479"/>
      <c r="C58" s="463"/>
      <c r="D58" s="472"/>
      <c r="E58" s="280"/>
      <c r="F58" s="470"/>
      <c r="G58" s="472"/>
      <c r="H58" s="472"/>
    </row>
    <row r="59" spans="1:8">
      <c r="A59" s="463"/>
      <c r="B59" s="479"/>
      <c r="C59" s="463"/>
      <c r="D59" s="472"/>
      <c r="E59" s="280"/>
      <c r="F59" s="470"/>
      <c r="G59" s="472"/>
      <c r="H59" s="472"/>
    </row>
    <row r="60" spans="1:8">
      <c r="A60" s="463"/>
      <c r="B60" s="479"/>
      <c r="C60" s="463"/>
      <c r="D60" s="472"/>
      <c r="E60" s="280"/>
      <c r="F60" s="470"/>
      <c r="G60" s="472"/>
      <c r="H60" s="472"/>
    </row>
    <row r="61" spans="1:8">
      <c r="A61" s="463"/>
      <c r="B61" s="479"/>
      <c r="C61" s="463"/>
      <c r="D61" s="472"/>
      <c r="E61" s="280"/>
      <c r="F61" s="470"/>
      <c r="G61" s="472"/>
      <c r="H61" s="472"/>
    </row>
    <row r="62" spans="1:8">
      <c r="A62" s="463"/>
      <c r="B62" s="479"/>
      <c r="C62" s="463"/>
      <c r="D62" s="472"/>
      <c r="E62" s="280"/>
      <c r="F62" s="470"/>
      <c r="G62" s="472"/>
      <c r="H62" s="472"/>
    </row>
    <row r="63" spans="1:8">
      <c r="A63" s="463"/>
      <c r="B63" s="479"/>
      <c r="C63" s="463"/>
      <c r="D63" s="472"/>
      <c r="E63" s="280"/>
      <c r="F63" s="470"/>
      <c r="G63" s="472"/>
      <c r="H63" s="472"/>
    </row>
    <row r="64" spans="1:8">
      <c r="A64" s="463"/>
      <c r="B64" s="479"/>
      <c r="C64" s="463"/>
      <c r="D64" s="472"/>
      <c r="E64" s="280"/>
      <c r="F64" s="470"/>
      <c r="G64" s="472"/>
      <c r="H64" s="472"/>
    </row>
    <row r="65" spans="1:8">
      <c r="A65" s="463"/>
      <c r="B65" s="479"/>
      <c r="C65" s="463"/>
      <c r="D65" s="472"/>
      <c r="E65" s="280"/>
      <c r="F65" s="470">
        <f>SUMIF('Nhap lieu'!$N$9:$N$201,B65,'Nhap lieu'!$AK$9:$AK$201)</f>
        <v>0</v>
      </c>
      <c r="G65" s="472"/>
      <c r="H65" s="472"/>
    </row>
    <row r="66" spans="1:8">
      <c r="A66" s="463"/>
      <c r="B66" s="479"/>
      <c r="C66" s="463"/>
      <c r="D66" s="472"/>
      <c r="E66" s="280"/>
      <c r="F66" s="470">
        <f>SUMIF('Nhap lieu'!$N$9:$N$201,B66,'Nhap lieu'!$AK$9:$AK$201)</f>
        <v>0</v>
      </c>
      <c r="G66" s="472"/>
      <c r="H66" s="472"/>
    </row>
    <row r="67" spans="1:8">
      <c r="A67" s="463"/>
      <c r="B67" s="479"/>
      <c r="C67" s="463"/>
      <c r="D67" s="472"/>
      <c r="E67" s="280"/>
      <c r="F67" s="470">
        <f>SUMIF('Nhap lieu'!$N$9:$N$201,B67,'Nhap lieu'!$AK$9:$AK$201)</f>
        <v>0</v>
      </c>
      <c r="G67" s="472"/>
      <c r="H67" s="472"/>
    </row>
    <row r="68" spans="1:8">
      <c r="A68" s="463"/>
      <c r="B68" s="479"/>
      <c r="C68" s="463"/>
      <c r="D68" s="472"/>
      <c r="E68" s="280"/>
      <c r="F68" s="470">
        <f>SUMIF('Nhap lieu'!$N$9:$N$201,B68,'Nhap lieu'!$AK$9:$AK$201)</f>
        <v>0</v>
      </c>
      <c r="G68" s="472"/>
      <c r="H68" s="472"/>
    </row>
    <row r="69" spans="1:8">
      <c r="A69" s="463"/>
      <c r="B69" s="479"/>
      <c r="C69" s="463"/>
      <c r="D69" s="472"/>
      <c r="E69" s="280"/>
      <c r="F69" s="470">
        <f>SUMIF('Nhap lieu'!$N$9:$N$201,B69,'Nhap lieu'!$AK$9:$AK$201)</f>
        <v>0</v>
      </c>
      <c r="G69" s="472"/>
      <c r="H69" s="472"/>
    </row>
    <row r="70" spans="1:8">
      <c r="A70" s="463"/>
      <c r="B70" s="479"/>
      <c r="C70" s="463"/>
      <c r="D70" s="472"/>
      <c r="E70" s="280"/>
      <c r="F70" s="470">
        <f>SUMIF('Nhap lieu'!$N$9:$N$201,B70,'Nhap lieu'!$AK$9:$AK$201)</f>
        <v>0</v>
      </c>
      <c r="G70" s="472"/>
      <c r="H70" s="472"/>
    </row>
    <row r="71" spans="1:8">
      <c r="A71" s="463"/>
      <c r="B71" s="479"/>
      <c r="C71" s="463"/>
      <c r="D71" s="472"/>
      <c r="E71" s="280"/>
      <c r="F71" s="470">
        <f>SUMIF('Nhap lieu'!$N$9:$N$201,B71,'Nhap lieu'!$AK$9:$AK$201)</f>
        <v>0</v>
      </c>
      <c r="G71" s="472"/>
      <c r="H71" s="472"/>
    </row>
    <row r="72" spans="1:8">
      <c r="A72" s="463"/>
      <c r="B72" s="479"/>
      <c r="C72" s="463"/>
      <c r="D72" s="472"/>
      <c r="E72" s="280"/>
      <c r="F72" s="470">
        <f>SUMIF('Nhap lieu'!$N$9:$N$201,B72,'Nhap lieu'!$AK$9:$AK$201)</f>
        <v>0</v>
      </c>
      <c r="G72" s="472"/>
      <c r="H72" s="472"/>
    </row>
    <row r="73" spans="1:8">
      <c r="A73" s="463"/>
      <c r="B73" s="479"/>
      <c r="C73" s="463"/>
      <c r="D73" s="472"/>
      <c r="E73" s="280"/>
      <c r="F73" s="470">
        <f>SUMIF('Nhap lieu'!$N$9:$N$201,B73,'Nhap lieu'!$AK$9:$AK$201)</f>
        <v>0</v>
      </c>
      <c r="G73" s="472"/>
      <c r="H73" s="472"/>
    </row>
    <row r="74" spans="1:8">
      <c r="A74" s="463"/>
      <c r="B74" s="479"/>
      <c r="C74" s="463"/>
      <c r="D74" s="472"/>
      <c r="E74" s="280"/>
      <c r="F74" s="470">
        <f>SUMIF('Nhap lieu'!$N$9:$N$201,B74,'Nhap lieu'!$AK$9:$AK$201)</f>
        <v>0</v>
      </c>
      <c r="G74" s="472"/>
      <c r="H74" s="472"/>
    </row>
    <row r="75" spans="1:8">
      <c r="A75" s="463"/>
      <c r="B75" s="479"/>
      <c r="C75" s="463"/>
      <c r="D75" s="472"/>
      <c r="E75" s="280"/>
      <c r="F75" s="470">
        <f>SUMIF('Nhap lieu'!$N$9:$N$201,B75,'Nhap lieu'!$AK$9:$AK$201)</f>
        <v>0</v>
      </c>
      <c r="G75" s="472"/>
      <c r="H75" s="472"/>
    </row>
    <row r="76" spans="1:8">
      <c r="A76" s="463"/>
      <c r="B76" s="479"/>
      <c r="C76" s="463"/>
      <c r="D76" s="472"/>
      <c r="E76" s="280"/>
      <c r="F76" s="470">
        <f>SUMIF('Nhap lieu'!$N$9:$N$201,B76,'Nhap lieu'!$AK$9:$AK$201)</f>
        <v>0</v>
      </c>
      <c r="G76" s="472"/>
      <c r="H76" s="472"/>
    </row>
    <row r="77" spans="1:8">
      <c r="A77" s="463"/>
      <c r="B77" s="479"/>
      <c r="C77" s="463"/>
      <c r="D77" s="472"/>
      <c r="E77" s="280"/>
      <c r="F77" s="470">
        <f>SUMIF('Nhap lieu'!$N$9:$N$201,B77,'Nhap lieu'!$AK$9:$AK$201)</f>
        <v>0</v>
      </c>
      <c r="G77" s="472"/>
      <c r="H77" s="472"/>
    </row>
    <row r="78" spans="1:8">
      <c r="A78" s="463"/>
      <c r="B78" s="479"/>
      <c r="C78" s="463"/>
      <c r="D78" s="472"/>
      <c r="E78" s="280"/>
      <c r="F78" s="470">
        <f>SUMIF('Nhap lieu'!$N$9:$N$201,B78,'Nhap lieu'!$AK$9:$AK$201)</f>
        <v>0</v>
      </c>
      <c r="G78" s="472"/>
      <c r="H78" s="472"/>
    </row>
    <row r="79" spans="1:8">
      <c r="A79" s="463"/>
      <c r="B79" s="479"/>
      <c r="C79" s="463"/>
      <c r="D79" s="472"/>
      <c r="E79" s="280"/>
      <c r="F79" s="470">
        <f>SUMIF('Nhap lieu'!$N$9:$N$201,B79,'Nhap lieu'!$AK$9:$AK$201)</f>
        <v>0</v>
      </c>
      <c r="G79" s="472"/>
      <c r="H79" s="472"/>
    </row>
    <row r="80" spans="1:8">
      <c r="A80" s="463"/>
      <c r="B80" s="479"/>
      <c r="C80" s="463"/>
      <c r="D80" s="472"/>
      <c r="E80" s="280"/>
      <c r="F80" s="470">
        <f>SUMIF('Nhap lieu'!$N$9:$N$201,B80,'Nhap lieu'!$AK$9:$AK$201)</f>
        <v>0</v>
      </c>
      <c r="G80" s="472"/>
      <c r="H80" s="472"/>
    </row>
    <row r="81" spans="1:8">
      <c r="A81" s="463"/>
      <c r="B81" s="479"/>
      <c r="C81" s="463"/>
      <c r="D81" s="472"/>
      <c r="E81" s="280"/>
      <c r="F81" s="470">
        <f>SUMIF('Nhap lieu'!$N$9:$N$201,B81,'Nhap lieu'!$AK$9:$AK$201)</f>
        <v>0</v>
      </c>
      <c r="G81" s="472"/>
      <c r="H81" s="472"/>
    </row>
    <row r="82" spans="1:8">
      <c r="A82" s="463"/>
      <c r="B82" s="479"/>
      <c r="C82" s="463"/>
      <c r="D82" s="472"/>
      <c r="E82" s="280"/>
      <c r="F82" s="470">
        <f>SUMIF('Nhap lieu'!$N$9:$N$201,B82,'Nhap lieu'!$AK$9:$AK$201)</f>
        <v>0</v>
      </c>
      <c r="G82" s="472"/>
      <c r="H82" s="472"/>
    </row>
    <row r="83" spans="1:8">
      <c r="A83" s="463"/>
      <c r="B83" s="479"/>
      <c r="C83" s="463"/>
      <c r="D83" s="472"/>
      <c r="E83" s="280"/>
      <c r="F83" s="470">
        <f>SUMIF('Nhap lieu'!$N$9:$N$201,B83,'Nhap lieu'!$AK$9:$AK$201)</f>
        <v>0</v>
      </c>
      <c r="G83" s="472"/>
      <c r="H83" s="472"/>
    </row>
    <row r="84" spans="1:8">
      <c r="A84" s="463"/>
      <c r="B84" s="479"/>
      <c r="C84" s="463"/>
      <c r="D84" s="472"/>
      <c r="E84" s="280"/>
      <c r="F84" s="470">
        <f>SUMIF('Nhap lieu'!$N$9:$N$201,B84,'Nhap lieu'!$AK$9:$AK$201)</f>
        <v>0</v>
      </c>
      <c r="G84" s="472"/>
      <c r="H84" s="472"/>
    </row>
    <row r="85" spans="1:8">
      <c r="A85" s="463"/>
      <c r="B85" s="479"/>
      <c r="C85" s="463"/>
      <c r="D85" s="472"/>
      <c r="E85" s="280"/>
      <c r="F85" s="470">
        <f>SUMIF('Nhap lieu'!$N$9:$N$201,B85,'Nhap lieu'!$AK$9:$AK$201)</f>
        <v>0</v>
      </c>
      <c r="G85" s="472"/>
      <c r="H85" s="472"/>
    </row>
    <row r="86" spans="1:8">
      <c r="A86" s="463"/>
      <c r="B86" s="479"/>
      <c r="C86" s="463"/>
      <c r="D86" s="472"/>
      <c r="E86" s="280"/>
      <c r="F86" s="470">
        <f>SUMIF('Nhap lieu'!$N$9:$N$201,B86,'Nhap lieu'!$AK$9:$AK$201)</f>
        <v>0</v>
      </c>
      <c r="G86" s="472"/>
      <c r="H86" s="472"/>
    </row>
    <row r="87" spans="1:8">
      <c r="A87" s="463"/>
      <c r="B87" s="479"/>
      <c r="C87" s="463"/>
      <c r="D87" s="472"/>
      <c r="E87" s="280"/>
      <c r="F87" s="470">
        <f>SUMIF('Nhap lieu'!$N$9:$N$201,B87,'Nhap lieu'!$AK$9:$AK$201)</f>
        <v>0</v>
      </c>
      <c r="G87" s="472"/>
      <c r="H87" s="472"/>
    </row>
    <row r="88" spans="1:8">
      <c r="A88" s="463"/>
      <c r="B88" s="479"/>
      <c r="C88" s="463"/>
      <c r="D88" s="472"/>
      <c r="E88" s="280"/>
      <c r="F88" s="470">
        <f>SUMIF('Nhap lieu'!$N$9:$N$201,B88,'Nhap lieu'!$AK$9:$AK$201)</f>
        <v>0</v>
      </c>
      <c r="G88" s="472"/>
      <c r="H88" s="472"/>
    </row>
    <row r="89" spans="1:8">
      <c r="A89" s="463"/>
      <c r="B89" s="479"/>
      <c r="C89" s="463"/>
      <c r="D89" s="472"/>
      <c r="E89" s="280"/>
      <c r="F89" s="470">
        <f>SUMIF('Nhap lieu'!$N$9:$N$201,B89,'Nhap lieu'!$AK$9:$AK$201)</f>
        <v>0</v>
      </c>
      <c r="G89" s="472"/>
      <c r="H89" s="472"/>
    </row>
    <row r="90" spans="1:8">
      <c r="A90" s="463"/>
      <c r="B90" s="479"/>
      <c r="C90" s="463"/>
      <c r="D90" s="472"/>
      <c r="E90" s="280"/>
      <c r="F90" s="470">
        <f>SUMIF('Nhap lieu'!$N$9:$N$201,B90,'Nhap lieu'!$AK$9:$AK$201)</f>
        <v>0</v>
      </c>
      <c r="G90" s="472"/>
      <c r="H90" s="472"/>
    </row>
    <row r="91" spans="1:8">
      <c r="A91" s="463"/>
      <c r="B91" s="479"/>
      <c r="C91" s="463"/>
      <c r="D91" s="472"/>
      <c r="E91" s="280"/>
      <c r="F91" s="470">
        <f>SUMIF('Nhap lieu'!$N$9:$N$201,B91,'Nhap lieu'!$AK$9:$AK$201)</f>
        <v>0</v>
      </c>
      <c r="G91" s="472"/>
      <c r="H91" s="472"/>
    </row>
    <row r="92" spans="1:8">
      <c r="A92" s="463"/>
      <c r="B92" s="479"/>
      <c r="C92" s="463"/>
      <c r="D92" s="472"/>
      <c r="E92" s="280"/>
      <c r="F92" s="470">
        <f>SUMIF('Nhap lieu'!$N$9:$N$201,B92,'Nhap lieu'!$AK$9:$AK$201)</f>
        <v>0</v>
      </c>
      <c r="G92" s="472"/>
      <c r="H92" s="472"/>
    </row>
    <row r="93" spans="1:8">
      <c r="A93" s="463"/>
      <c r="B93" s="479"/>
      <c r="C93" s="463"/>
      <c r="D93" s="472"/>
      <c r="E93" s="280"/>
      <c r="F93" s="470">
        <f>SUMIF('Nhap lieu'!$N$9:$N$201,B93,'Nhap lieu'!$AK$9:$AK$201)</f>
        <v>0</v>
      </c>
      <c r="G93" s="472"/>
      <c r="H93" s="472"/>
    </row>
    <row r="94" spans="1:8">
      <c r="A94" s="463"/>
      <c r="B94" s="479"/>
      <c r="C94" s="463"/>
      <c r="D94" s="472"/>
      <c r="E94" s="280"/>
      <c r="F94" s="470">
        <f>SUMIF('Nhap lieu'!$N$9:$N$201,B94,'Nhap lieu'!$AK$9:$AK$201)</f>
        <v>0</v>
      </c>
      <c r="G94" s="472"/>
      <c r="H94" s="472"/>
    </row>
    <row r="95" spans="1:8">
      <c r="A95" s="463"/>
      <c r="B95" s="479"/>
      <c r="C95" s="463"/>
      <c r="D95" s="472"/>
      <c r="E95" s="280"/>
      <c r="F95" s="470">
        <f>SUMIF('Nhap lieu'!$N$9:$N$201,B95,'Nhap lieu'!$AK$9:$AK$201)</f>
        <v>0</v>
      </c>
      <c r="G95" s="472"/>
      <c r="H95" s="472"/>
    </row>
    <row r="96" spans="1:8">
      <c r="A96" s="463"/>
      <c r="B96" s="479"/>
      <c r="C96" s="463"/>
      <c r="D96" s="472"/>
      <c r="E96" s="280"/>
      <c r="F96" s="470">
        <f>SUMIF('Nhap lieu'!$N$9:$N$201,B96,'Nhap lieu'!$AK$9:$AK$201)</f>
        <v>0</v>
      </c>
      <c r="G96" s="472"/>
      <c r="H96" s="472"/>
    </row>
    <row r="97" spans="1:8">
      <c r="A97" s="463"/>
      <c r="B97" s="479"/>
      <c r="C97" s="463"/>
      <c r="D97" s="472"/>
      <c r="E97" s="280"/>
      <c r="F97" s="470">
        <f>SUMIF('Nhap lieu'!$N$9:$N$201,B97,'Nhap lieu'!$AK$9:$AK$201)</f>
        <v>0</v>
      </c>
      <c r="G97" s="472"/>
      <c r="H97" s="472"/>
    </row>
    <row r="98" spans="1:8">
      <c r="A98" s="463"/>
      <c r="B98" s="479"/>
      <c r="C98" s="463"/>
      <c r="D98" s="472"/>
      <c r="E98" s="280"/>
      <c r="F98" s="470">
        <f>SUMIF('Nhap lieu'!$N$9:$N$201,B98,'Nhap lieu'!$AK$9:$AK$201)</f>
        <v>0</v>
      </c>
      <c r="G98" s="472"/>
      <c r="H98" s="472"/>
    </row>
    <row r="99" spans="1:8">
      <c r="A99" s="463"/>
      <c r="B99" s="479"/>
      <c r="C99" s="463"/>
      <c r="D99" s="472"/>
      <c r="E99" s="280"/>
      <c r="F99" s="470">
        <f>SUMIF('Nhap lieu'!$N$9:$N$201,B99,'Nhap lieu'!$AK$9:$AK$201)</f>
        <v>0</v>
      </c>
      <c r="G99" s="472"/>
      <c r="H99" s="472"/>
    </row>
    <row r="100" spans="1:8">
      <c r="A100" s="463"/>
      <c r="B100" s="479"/>
      <c r="C100" s="463"/>
      <c r="D100" s="472"/>
      <c r="E100" s="280"/>
      <c r="F100" s="470">
        <f>SUMIF('Nhap lieu'!$N$9:$N$201,B100,'Nhap lieu'!$AK$9:$AK$201)</f>
        <v>0</v>
      </c>
      <c r="G100" s="472"/>
      <c r="H100" s="472"/>
    </row>
    <row r="101" spans="1:8">
      <c r="A101" s="463"/>
      <c r="B101" s="479"/>
      <c r="C101" s="463"/>
      <c r="D101" s="472"/>
      <c r="E101" s="280"/>
      <c r="F101" s="470">
        <f>SUMIF('Nhap lieu'!$N$9:$N$201,B101,'Nhap lieu'!$AK$9:$AK$201)</f>
        <v>0</v>
      </c>
      <c r="G101" s="472"/>
      <c r="H101" s="472"/>
    </row>
    <row r="102" spans="1:8">
      <c r="A102" s="463"/>
      <c r="B102" s="479"/>
      <c r="C102" s="463"/>
      <c r="D102" s="472"/>
      <c r="E102" s="280"/>
      <c r="F102" s="470">
        <f>SUMIF('Nhap lieu'!$N$9:$N$201,B102,'Nhap lieu'!$AK$9:$AK$201)</f>
        <v>0</v>
      </c>
      <c r="G102" s="472"/>
      <c r="H102" s="472"/>
    </row>
    <row r="103" spans="1:8">
      <c r="A103" s="463"/>
      <c r="B103" s="479"/>
      <c r="C103" s="463"/>
      <c r="D103" s="472"/>
      <c r="E103" s="280"/>
      <c r="F103" s="470">
        <f>SUMIF('Nhap lieu'!$N$9:$N$201,B103,'Nhap lieu'!$AK$9:$AK$201)</f>
        <v>0</v>
      </c>
      <c r="G103" s="472"/>
      <c r="H103" s="472"/>
    </row>
    <row r="104" spans="1:8">
      <c r="A104" s="463"/>
      <c r="B104" s="479"/>
      <c r="C104" s="463"/>
      <c r="D104" s="472"/>
      <c r="E104" s="280"/>
      <c r="F104" s="470">
        <f>SUMIF('Nhap lieu'!$N$9:$N$201,B104,'Nhap lieu'!$AK$9:$AK$201)</f>
        <v>0</v>
      </c>
      <c r="G104" s="472"/>
      <c r="H104" s="472"/>
    </row>
    <row r="105" spans="1:8">
      <c r="A105" s="463"/>
      <c r="B105" s="479"/>
      <c r="C105" s="463"/>
      <c r="D105" s="472"/>
      <c r="E105" s="280"/>
      <c r="F105" s="470">
        <f>SUMIF('Nhap lieu'!$N$9:$N$201,B105,'Nhap lieu'!$AK$9:$AK$201)</f>
        <v>0</v>
      </c>
      <c r="G105" s="472"/>
      <c r="H105" s="472"/>
    </row>
    <row r="106" spans="1:8">
      <c r="A106" s="463"/>
      <c r="B106" s="479"/>
      <c r="C106" s="463"/>
      <c r="D106" s="472"/>
      <c r="E106" s="280"/>
      <c r="F106" s="470">
        <f>SUMIF('Nhap lieu'!$N$9:$N$201,B106,'Nhap lieu'!$AK$9:$AK$201)</f>
        <v>0</v>
      </c>
      <c r="G106" s="472"/>
      <c r="H106" s="472"/>
    </row>
    <row r="107" spans="1:8">
      <c r="A107" s="463"/>
      <c r="B107" s="479"/>
      <c r="C107" s="463"/>
      <c r="D107" s="472"/>
      <c r="E107" s="280"/>
      <c r="F107" s="470">
        <f>SUMIF('Nhap lieu'!$N$9:$N$201,B107,'Nhap lieu'!$AK$9:$AK$201)</f>
        <v>0</v>
      </c>
      <c r="G107" s="472"/>
      <c r="H107" s="472"/>
    </row>
    <row r="108" spans="1:8">
      <c r="A108" s="463"/>
      <c r="B108" s="479"/>
      <c r="C108" s="463"/>
      <c r="D108" s="472"/>
      <c r="E108" s="280"/>
      <c r="F108" s="470">
        <f>SUMIF('Nhap lieu'!$N$9:$N$201,B108,'Nhap lieu'!$AK$9:$AK$201)</f>
        <v>0</v>
      </c>
      <c r="G108" s="472"/>
      <c r="H108" s="472"/>
    </row>
    <row r="109" spans="1:8">
      <c r="A109" s="463"/>
      <c r="B109" s="479"/>
      <c r="C109" s="463"/>
      <c r="D109" s="472"/>
      <c r="E109" s="280"/>
      <c r="F109" s="470">
        <f>SUMIF('Nhap lieu'!$N$9:$N$201,B109,'Nhap lieu'!$AK$9:$AK$201)</f>
        <v>0</v>
      </c>
      <c r="G109" s="472"/>
      <c r="H109" s="472"/>
    </row>
    <row r="110" spans="1:8">
      <c r="A110" s="463"/>
      <c r="B110" s="479"/>
      <c r="C110" s="463"/>
      <c r="D110" s="472"/>
      <c r="E110" s="280"/>
      <c r="F110" s="470">
        <f>SUMIF('Nhap lieu'!$N$9:$N$201,B110,'Nhap lieu'!$AK$9:$AK$201)</f>
        <v>0</v>
      </c>
      <c r="G110" s="472"/>
      <c r="H110" s="472"/>
    </row>
    <row r="111" spans="1:8">
      <c r="A111" s="463"/>
      <c r="B111" s="479"/>
      <c r="C111" s="463"/>
      <c r="D111" s="472"/>
      <c r="E111" s="280"/>
      <c r="F111" s="470">
        <f>SUMIF('Nhap lieu'!$N$9:$N$201,B111,'Nhap lieu'!$AK$9:$AK$201)</f>
        <v>0</v>
      </c>
      <c r="G111" s="472"/>
      <c r="H111" s="472"/>
    </row>
    <row r="112" spans="1:8">
      <c r="A112" s="463"/>
      <c r="B112" s="479"/>
      <c r="C112" s="463"/>
      <c r="D112" s="472"/>
      <c r="E112" s="280"/>
      <c r="F112" s="470">
        <f>SUMIF('Nhap lieu'!$N$9:$N$201,B112,'Nhap lieu'!$AK$9:$AK$201)</f>
        <v>0</v>
      </c>
      <c r="G112" s="472"/>
      <c r="H112" s="472"/>
    </row>
    <row r="113" spans="1:8">
      <c r="A113" s="463"/>
      <c r="B113" s="479"/>
      <c r="C113" s="463"/>
      <c r="D113" s="472"/>
      <c r="E113" s="280"/>
      <c r="F113" s="470">
        <f>SUMIF('Nhap lieu'!$N$9:$N$201,B113,'Nhap lieu'!$AK$9:$AK$201)</f>
        <v>0</v>
      </c>
      <c r="G113" s="472"/>
      <c r="H113" s="472"/>
    </row>
    <row r="114" spans="1:8">
      <c r="A114" s="463"/>
      <c r="B114" s="479"/>
      <c r="C114" s="463"/>
      <c r="D114" s="472"/>
      <c r="E114" s="280"/>
      <c r="F114" s="470">
        <f>SUMIF('Nhap lieu'!$N$9:$N$201,B114,'Nhap lieu'!$AK$9:$AK$201)</f>
        <v>0</v>
      </c>
      <c r="G114" s="472"/>
      <c r="H114" s="472"/>
    </row>
    <row r="115" spans="1:8">
      <c r="A115" s="463"/>
      <c r="B115" s="479"/>
      <c r="C115" s="463"/>
      <c r="D115" s="472"/>
      <c r="E115" s="280"/>
      <c r="F115" s="470">
        <f>SUMIF('Nhap lieu'!$N$9:$N$201,B115,'Nhap lieu'!$AK$9:$AK$201)</f>
        <v>0</v>
      </c>
      <c r="G115" s="472"/>
      <c r="H115" s="472"/>
    </row>
    <row r="116" spans="1:8">
      <c r="A116" s="463"/>
      <c r="B116" s="479"/>
      <c r="C116" s="463"/>
      <c r="D116" s="472"/>
      <c r="E116" s="280"/>
      <c r="F116" s="470">
        <f>SUMIF('Nhap lieu'!$N$9:$N$201,B116,'Nhap lieu'!$AK$9:$AK$201)</f>
        <v>0</v>
      </c>
      <c r="G116" s="472"/>
      <c r="H116" s="472"/>
    </row>
    <row r="117" spans="1:8">
      <c r="A117" s="463"/>
      <c r="B117" s="479"/>
      <c r="C117" s="463"/>
      <c r="D117" s="472"/>
      <c r="E117" s="280"/>
      <c r="F117" s="470">
        <f>SUMIF('Nhap lieu'!$N$9:$N$201,B117,'Nhap lieu'!$AK$9:$AK$201)</f>
        <v>0</v>
      </c>
      <c r="G117" s="472"/>
      <c r="H117" s="472"/>
    </row>
    <row r="118" spans="1:8">
      <c r="A118" s="463"/>
      <c r="B118" s="479"/>
      <c r="C118" s="463"/>
      <c r="D118" s="472"/>
      <c r="E118" s="280"/>
      <c r="F118" s="470">
        <f>SUMIF('Nhap lieu'!$N$9:$N$201,B118,'Nhap lieu'!$AK$9:$AK$201)</f>
        <v>0</v>
      </c>
      <c r="G118" s="472"/>
      <c r="H118" s="472"/>
    </row>
    <row r="119" spans="1:8">
      <c r="A119" s="463"/>
      <c r="B119" s="479"/>
      <c r="C119" s="463"/>
      <c r="D119" s="472"/>
      <c r="E119" s="280"/>
      <c r="F119" s="470">
        <f>SUMIF('Nhap lieu'!$N$9:$N$201,B119,'Nhap lieu'!$AK$9:$AK$201)</f>
        <v>0</v>
      </c>
      <c r="G119" s="472"/>
      <c r="H119" s="472"/>
    </row>
    <row r="120" spans="1:8">
      <c r="A120" s="463"/>
      <c r="B120" s="479"/>
      <c r="C120" s="463"/>
      <c r="D120" s="472"/>
      <c r="E120" s="280"/>
      <c r="F120" s="470">
        <f>SUMIF('Nhap lieu'!$N$9:$N$201,B120,'Nhap lieu'!$AK$9:$AK$201)</f>
        <v>0</v>
      </c>
      <c r="G120" s="472"/>
      <c r="H120" s="472"/>
    </row>
    <row r="121" spans="1:8">
      <c r="A121" s="463"/>
      <c r="B121" s="479"/>
      <c r="C121" s="463"/>
      <c r="D121" s="472"/>
      <c r="E121" s="280"/>
      <c r="F121" s="470">
        <f>SUMIF('Nhap lieu'!$N$9:$N$201,B121,'Nhap lieu'!$AK$9:$AK$201)</f>
        <v>0</v>
      </c>
      <c r="G121" s="472"/>
      <c r="H121" s="472"/>
    </row>
    <row r="122" spans="1:8">
      <c r="A122" s="463"/>
      <c r="B122" s="479"/>
      <c r="C122" s="463"/>
      <c r="D122" s="472"/>
      <c r="E122" s="280"/>
      <c r="F122" s="470">
        <f>SUMIF('Nhap lieu'!$N$9:$N$201,B122,'Nhap lieu'!$AK$9:$AK$201)</f>
        <v>0</v>
      </c>
      <c r="G122" s="472"/>
      <c r="H122" s="472"/>
    </row>
  </sheetData>
  <mergeCells count="8">
    <mergeCell ref="B2:F2"/>
    <mergeCell ref="G4:H4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65</vt:i4>
      </vt:variant>
    </vt:vector>
  </HeadingPairs>
  <TitlesOfParts>
    <vt:vector size="83" baseType="lpstr">
      <vt:lpstr>Menu</vt:lpstr>
      <vt:lpstr>Nhap lieu</vt:lpstr>
      <vt:lpstr>In Giay RDT</vt:lpstr>
      <vt:lpstr>BC Du toan</vt:lpstr>
      <vt:lpstr>Bang ke</vt:lpstr>
      <vt:lpstr>BC TT Cong trinh</vt:lpstr>
      <vt:lpstr>Nguon</vt:lpstr>
      <vt:lpstr>Quyet toan KP</vt:lpstr>
      <vt:lpstr>DS Chi</vt:lpstr>
      <vt:lpstr>Phieu chi</vt:lpstr>
      <vt:lpstr>BC Thu Chi</vt:lpstr>
      <vt:lpstr>XL</vt:lpstr>
      <vt:lpstr>TH Quy TM</vt:lpstr>
      <vt:lpstr>Mau 01</vt:lpstr>
      <vt:lpstr>Mau 02</vt:lpstr>
      <vt:lpstr>Giao  du toan</vt:lpstr>
      <vt:lpstr>ĐVHT</vt:lpstr>
      <vt:lpstr>Danh muc DA</vt:lpstr>
      <vt:lpstr>Bangke</vt:lpstr>
      <vt:lpstr>BCChi</vt:lpstr>
      <vt:lpstr>CONGTRINH</vt:lpstr>
      <vt:lpstr>Danhsach</vt:lpstr>
      <vt:lpstr>DMDA</vt:lpstr>
      <vt:lpstr>DSChi</vt:lpstr>
      <vt:lpstr>DSDVHT</vt:lpstr>
      <vt:lpstr>DSM1K</vt:lpstr>
      <vt:lpstr>DSM1L</vt:lpstr>
      <vt:lpstr>DSM2K</vt:lpstr>
      <vt:lpstr>DSM2L</vt:lpstr>
      <vt:lpstr>DSNNT</vt:lpstr>
      <vt:lpstr>DSNV</vt:lpstr>
      <vt:lpstr>DSThu</vt:lpstr>
      <vt:lpstr>DVHT</vt:lpstr>
      <vt:lpstr>GRDT</vt:lpstr>
      <vt:lpstr>GTNDKT</vt:lpstr>
      <vt:lpstr>GTNDKT1</vt:lpstr>
      <vt:lpstr>GTNDKT2</vt:lpstr>
      <vt:lpstr>GTNDKT3</vt:lpstr>
      <vt:lpstr>GTNDKT4</vt:lpstr>
      <vt:lpstr>GTNDKT5</vt:lpstr>
      <vt:lpstr>GTNDKT6</vt:lpstr>
      <vt:lpstr>GTNDKT7</vt:lpstr>
      <vt:lpstr>M1K</vt:lpstr>
      <vt:lpstr>M1L</vt:lpstr>
      <vt:lpstr>M2K</vt:lpstr>
      <vt:lpstr>M2L</vt:lpstr>
      <vt:lpstr>MaBCChi</vt:lpstr>
      <vt:lpstr>MaNDKT1</vt:lpstr>
      <vt:lpstr>MaNDKT2</vt:lpstr>
      <vt:lpstr>MaNDKT3</vt:lpstr>
      <vt:lpstr>MaNDKT4</vt:lpstr>
      <vt:lpstr>MaNDKT5</vt:lpstr>
      <vt:lpstr>MaNDKT6</vt:lpstr>
      <vt:lpstr>MaNDKT7</vt:lpstr>
      <vt:lpstr>MaNV</vt:lpstr>
      <vt:lpstr>Manguon</vt:lpstr>
      <vt:lpstr>Matonghop</vt:lpstr>
      <vt:lpstr>MLNS</vt:lpstr>
      <vt:lpstr>MUC</vt:lpstr>
      <vt:lpstr>MUCP</vt:lpstr>
      <vt:lpstr>NDKT</vt:lpstr>
      <vt:lpstr>NNT</vt:lpstr>
      <vt:lpstr>Nguon102</vt:lpstr>
      <vt:lpstr>Nguon194</vt:lpstr>
      <vt:lpstr>Nguon223</vt:lpstr>
      <vt:lpstr>Nguon373</vt:lpstr>
      <vt:lpstr>Nguon432</vt:lpstr>
      <vt:lpstr>'Bang ke'!Print_Area</vt:lpstr>
      <vt:lpstr>'BC Thu Chi'!Print_Area</vt:lpstr>
      <vt:lpstr>'In Giay RDT'!Print_Area</vt:lpstr>
      <vt:lpstr>'Mau 01'!Print_Area</vt:lpstr>
      <vt:lpstr>'Mau 02'!Print_Area</vt:lpstr>
      <vt:lpstr>'Phieu chi'!Print_Area</vt:lpstr>
      <vt:lpstr>'Quyet toan KP'!Print_Area</vt:lpstr>
      <vt:lpstr>'TH Quy TM'!Print_Area</vt:lpstr>
      <vt:lpstr>'BC Du toan'!Print_Titles</vt:lpstr>
      <vt:lpstr>'BC TT Cong trinh'!Print_Titles</vt:lpstr>
      <vt:lpstr>'Mau 02'!Print_Titles</vt:lpstr>
      <vt:lpstr>'Quyet toan KP'!Print_Titles</vt:lpstr>
      <vt:lpstr>QUY</vt:lpstr>
      <vt:lpstr>Quynam</vt:lpstr>
      <vt:lpstr>SoPC</vt:lpstr>
      <vt:lpstr>ThuChi</vt:lpstr>
    </vt:vector>
  </TitlesOfParts>
  <Company>Phong Cong Thuong Thai Thuy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gia24.vn</dc:creator>
  <cp:lastModifiedBy>HAU</cp:lastModifiedBy>
  <cp:lastPrinted>2018-01-25T03:43:32Z</cp:lastPrinted>
  <dcterms:created xsi:type="dcterms:W3CDTF">2009-01-15T00:46:41Z</dcterms:created>
  <dcterms:modified xsi:type="dcterms:W3CDTF">2018-03-15T13:32:46Z</dcterms:modified>
  <cp:contentStatus/>
</cp:coreProperties>
</file>